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chenl\Documents\Shaowei\Manuscript of Uev1A\2-eLife\"/>
    </mc:Choice>
  </mc:AlternateContent>
  <xr:revisionPtr revIDLastSave="0" documentId="13_ncr:1_{5BB6B4F9-32DE-4247-85D6-4843F289CF12}" xr6:coauthVersionLast="47" xr6:coauthVersionMax="47" xr10:uidLastSave="{00000000-0000-0000-0000-000000000000}"/>
  <bookViews>
    <workbookView xWindow="-98" yWindow="-98" windowWidth="19396" windowHeight="11746" xr2:uid="{00000000-000D-0000-FFFF-FFFF00000000}"/>
  </bookViews>
  <sheets>
    <sheet name="Raw quantification data" sheetId="1" r:id="rId1"/>
  </sheets>
  <calcPr calcId="191029"/>
</workbook>
</file>

<file path=xl/calcChain.xml><?xml version="1.0" encoding="utf-8"?>
<calcChain xmlns="http://schemas.openxmlformats.org/spreadsheetml/2006/main">
  <c r="CS13" i="1" l="1"/>
  <c r="CR13" i="1"/>
  <c r="CQ13" i="1"/>
  <c r="CS8" i="1"/>
  <c r="CR8" i="1"/>
  <c r="CQ8" i="1"/>
  <c r="CB39" i="1"/>
  <c r="CA39" i="1"/>
  <c r="CB33" i="1"/>
  <c r="CA33" i="1"/>
  <c r="CB27" i="1"/>
  <c r="CA27" i="1"/>
  <c r="CB20" i="1"/>
  <c r="CA20" i="1"/>
  <c r="CB14" i="1"/>
  <c r="CA14" i="1"/>
  <c r="CB8" i="1"/>
  <c r="CA8" i="1"/>
  <c r="CO306" i="1"/>
  <c r="CN306" i="1"/>
  <c r="CL306" i="1"/>
  <c r="CK306" i="1"/>
  <c r="AV4" i="1"/>
  <c r="AW4" i="1"/>
  <c r="AX4" i="1"/>
  <c r="AY4" i="1"/>
  <c r="AZ4" i="1"/>
  <c r="BC4" i="1"/>
  <c r="BD4" i="1"/>
  <c r="BE4" i="1"/>
  <c r="BF4" i="1"/>
  <c r="AV5" i="1"/>
  <c r="AW5" i="1"/>
  <c r="AX5" i="1"/>
  <c r="AY5" i="1"/>
  <c r="AZ5" i="1"/>
  <c r="BA5" i="1"/>
  <c r="BC5" i="1"/>
  <c r="BD5" i="1"/>
  <c r="BE5" i="1"/>
  <c r="BF5" i="1"/>
  <c r="AV6" i="1"/>
  <c r="AW6" i="1"/>
  <c r="AX6" i="1"/>
  <c r="AY6" i="1"/>
  <c r="AZ6" i="1"/>
  <c r="BA6" i="1"/>
  <c r="BC6" i="1"/>
  <c r="BD6" i="1"/>
  <c r="BE6" i="1"/>
  <c r="BF6" i="1"/>
  <c r="AV7" i="1"/>
  <c r="AW7" i="1"/>
  <c r="AX7" i="1"/>
  <c r="AY7" i="1"/>
  <c r="AZ7" i="1"/>
  <c r="BA7" i="1"/>
  <c r="BC7" i="1"/>
  <c r="BD7" i="1"/>
  <c r="BE7" i="1"/>
  <c r="BF7" i="1"/>
  <c r="AV8" i="1"/>
  <c r="AX8" i="1"/>
  <c r="AY8" i="1"/>
  <c r="AZ8" i="1"/>
  <c r="BA8" i="1"/>
  <c r="BC8" i="1"/>
  <c r="BD8" i="1"/>
  <c r="BE8" i="1"/>
  <c r="BF8" i="1"/>
  <c r="AV9" i="1"/>
  <c r="AY9" i="1"/>
  <c r="AZ9" i="1"/>
  <c r="BA9" i="1"/>
  <c r="BC9" i="1"/>
  <c r="BD9" i="1"/>
  <c r="BE9" i="1"/>
  <c r="BF9" i="1"/>
  <c r="AV10" i="1"/>
  <c r="AW10" i="1"/>
  <c r="AX10" i="1"/>
  <c r="AY10" i="1"/>
  <c r="AZ10" i="1"/>
  <c r="BA10" i="1"/>
  <c r="BC10" i="1"/>
  <c r="BD10" i="1"/>
  <c r="BE10" i="1"/>
  <c r="BF10" i="1"/>
  <c r="AV11" i="1"/>
  <c r="AW11" i="1"/>
  <c r="AX11" i="1"/>
  <c r="AY11" i="1"/>
  <c r="AZ11" i="1"/>
  <c r="BA11" i="1"/>
  <c r="BC11" i="1"/>
  <c r="BD11" i="1"/>
  <c r="BE11" i="1"/>
  <c r="BF11" i="1"/>
  <c r="AV12" i="1"/>
  <c r="AX12" i="1"/>
  <c r="AY12" i="1"/>
  <c r="AZ12" i="1"/>
  <c r="BA12" i="1"/>
  <c r="BC12" i="1"/>
  <c r="BD12" i="1"/>
  <c r="BE12" i="1"/>
  <c r="BF12" i="1"/>
  <c r="AV13" i="1"/>
  <c r="AW13" i="1"/>
  <c r="AX13" i="1"/>
  <c r="AY13" i="1"/>
  <c r="AZ13" i="1"/>
  <c r="BA13" i="1"/>
  <c r="BC13" i="1"/>
  <c r="BD13" i="1"/>
  <c r="BE13" i="1"/>
  <c r="BF13" i="1"/>
  <c r="AV14" i="1"/>
  <c r="AX14" i="1"/>
  <c r="AY14" i="1"/>
  <c r="AZ14" i="1"/>
  <c r="BA14" i="1"/>
  <c r="BC14" i="1"/>
  <c r="BD14" i="1"/>
  <c r="BE14" i="1"/>
  <c r="BF14" i="1"/>
  <c r="AV15" i="1"/>
  <c r="AW15" i="1"/>
  <c r="AX15" i="1"/>
  <c r="AZ15" i="1"/>
  <c r="BA15" i="1"/>
  <c r="BC15" i="1"/>
  <c r="BD15" i="1"/>
  <c r="BE15" i="1"/>
  <c r="BF15" i="1"/>
  <c r="AV16" i="1"/>
  <c r="AW16" i="1"/>
  <c r="AY16" i="1"/>
  <c r="AZ16" i="1"/>
  <c r="BA16" i="1"/>
  <c r="BC16" i="1"/>
  <c r="BD16" i="1"/>
  <c r="BE16" i="1"/>
  <c r="BF16" i="1"/>
  <c r="AV17" i="1"/>
  <c r="AW17" i="1"/>
  <c r="AZ17" i="1"/>
  <c r="BA17" i="1"/>
  <c r="BC17" i="1"/>
  <c r="BD17" i="1"/>
  <c r="BE17" i="1"/>
  <c r="BF17" i="1"/>
  <c r="AV18" i="1"/>
  <c r="AX18" i="1"/>
  <c r="AY18" i="1"/>
  <c r="AZ18" i="1"/>
  <c r="BA18" i="1"/>
  <c r="BC18" i="1"/>
  <c r="BD18" i="1"/>
  <c r="BE18" i="1"/>
  <c r="BF18" i="1"/>
  <c r="AV19" i="1"/>
  <c r="AY19" i="1"/>
  <c r="AZ19" i="1"/>
  <c r="BA19" i="1"/>
  <c r="BC19" i="1"/>
  <c r="BD19" i="1"/>
  <c r="BE19" i="1"/>
  <c r="BF19" i="1"/>
  <c r="AV20" i="1"/>
  <c r="AX20" i="1"/>
  <c r="AY20" i="1"/>
  <c r="AZ20" i="1"/>
  <c r="BA20" i="1"/>
  <c r="BC20" i="1"/>
  <c r="BD20" i="1"/>
  <c r="BE20" i="1"/>
  <c r="BF20" i="1"/>
  <c r="AV21" i="1"/>
  <c r="AW21" i="1"/>
  <c r="AX21" i="1"/>
  <c r="AY21" i="1"/>
  <c r="AZ21" i="1"/>
  <c r="BA21" i="1"/>
  <c r="BC21" i="1"/>
  <c r="BD21" i="1"/>
  <c r="BE21" i="1"/>
  <c r="BF21" i="1"/>
  <c r="AV22" i="1"/>
  <c r="AW22" i="1"/>
  <c r="AX22" i="1"/>
  <c r="AY22" i="1"/>
  <c r="AZ22" i="1"/>
  <c r="BA22" i="1"/>
  <c r="BC22" i="1"/>
  <c r="BD22" i="1"/>
  <c r="BE22" i="1"/>
  <c r="BF22" i="1"/>
  <c r="AV23" i="1"/>
  <c r="AW23" i="1"/>
  <c r="AX23" i="1"/>
  <c r="AY23" i="1"/>
  <c r="AZ23" i="1"/>
  <c r="BA23" i="1"/>
  <c r="BC23" i="1"/>
  <c r="BD23" i="1"/>
  <c r="BE23" i="1"/>
  <c r="BF23" i="1"/>
  <c r="AV24" i="1"/>
  <c r="AW24" i="1"/>
  <c r="AX24" i="1"/>
  <c r="AY24" i="1"/>
  <c r="AZ24" i="1"/>
  <c r="BA24" i="1"/>
  <c r="BC24" i="1"/>
  <c r="BD24" i="1"/>
  <c r="BE24" i="1"/>
  <c r="BF24" i="1"/>
  <c r="AV25" i="1"/>
  <c r="AW25" i="1"/>
  <c r="AX25" i="1"/>
  <c r="AY25" i="1"/>
  <c r="AZ25" i="1"/>
  <c r="BA25" i="1"/>
  <c r="BC25" i="1"/>
  <c r="BD25" i="1"/>
  <c r="BE25" i="1"/>
  <c r="BF25" i="1"/>
  <c r="AV26" i="1"/>
  <c r="AW26" i="1"/>
  <c r="AX26" i="1"/>
  <c r="AY26" i="1"/>
  <c r="AZ26" i="1"/>
  <c r="BA26" i="1"/>
  <c r="BC26" i="1"/>
  <c r="BD26" i="1"/>
  <c r="BE26" i="1"/>
  <c r="BF26" i="1"/>
  <c r="AV27" i="1"/>
  <c r="AX27" i="1"/>
  <c r="AZ27" i="1"/>
  <c r="BA27" i="1"/>
  <c r="BC27" i="1"/>
  <c r="BD27" i="1"/>
  <c r="BE27" i="1"/>
  <c r="BF27" i="1"/>
  <c r="AV28" i="1"/>
  <c r="AW28" i="1"/>
  <c r="AX28" i="1"/>
  <c r="AY28" i="1"/>
  <c r="AZ28" i="1"/>
  <c r="BA28" i="1"/>
  <c r="BC28" i="1"/>
  <c r="BD28" i="1"/>
  <c r="BE28" i="1"/>
  <c r="BF28" i="1"/>
  <c r="AV29" i="1"/>
  <c r="AX29" i="1"/>
  <c r="AY29" i="1"/>
  <c r="AZ29" i="1"/>
  <c r="BA29" i="1"/>
  <c r="BC29" i="1"/>
  <c r="BD29" i="1"/>
  <c r="BE29" i="1"/>
  <c r="BF29" i="1"/>
  <c r="AV30" i="1"/>
  <c r="AX30" i="1"/>
  <c r="AZ30" i="1"/>
  <c r="BA30" i="1"/>
  <c r="BC30" i="1"/>
  <c r="BD30" i="1"/>
  <c r="BE30" i="1"/>
  <c r="BF30" i="1"/>
  <c r="AV31" i="1"/>
  <c r="AX31" i="1"/>
  <c r="AZ31" i="1"/>
  <c r="BA31" i="1"/>
  <c r="BC31" i="1"/>
  <c r="BD31" i="1"/>
  <c r="BE31" i="1"/>
  <c r="BF31" i="1"/>
  <c r="AV32" i="1"/>
  <c r="AX32" i="1"/>
  <c r="AZ32" i="1"/>
  <c r="BA32" i="1"/>
  <c r="BC32" i="1"/>
  <c r="BD32" i="1"/>
  <c r="BE32" i="1"/>
  <c r="BF32" i="1"/>
  <c r="AV33" i="1"/>
  <c r="AX33" i="1"/>
  <c r="AY33" i="1"/>
  <c r="AZ33" i="1"/>
  <c r="BA33" i="1"/>
  <c r="BC33" i="1"/>
  <c r="BD33" i="1"/>
  <c r="BE33" i="1"/>
  <c r="BF33" i="1"/>
  <c r="BY104" i="1"/>
  <c r="BX104" i="1"/>
  <c r="DD52" i="1"/>
  <c r="DC52" i="1"/>
  <c r="DB52" i="1"/>
  <c r="DD43" i="1"/>
  <c r="DC43" i="1"/>
  <c r="DB43" i="1"/>
  <c r="DD34" i="1"/>
  <c r="DC34" i="1"/>
  <c r="DB34" i="1"/>
  <c r="BV34" i="1"/>
  <c r="BU34" i="1"/>
  <c r="BT34" i="1"/>
  <c r="BS34" i="1"/>
  <c r="BM33" i="1"/>
  <c r="BL33" i="1"/>
  <c r="BK33" i="1"/>
  <c r="BH33" i="1"/>
  <c r="AD33" i="1"/>
  <c r="AC33" i="1"/>
  <c r="AB33" i="1"/>
  <c r="AA33" i="1"/>
  <c r="AG33" i="1"/>
  <c r="Y33" i="1"/>
  <c r="X33" i="1"/>
  <c r="W33" i="1"/>
  <c r="V33" i="1"/>
  <c r="AQ33" i="1"/>
  <c r="AM33" i="1"/>
  <c r="AK33" i="1"/>
  <c r="AI33" i="1"/>
  <c r="T33" i="1"/>
  <c r="S33" i="1"/>
  <c r="R33" i="1"/>
  <c r="Q33" i="1"/>
  <c r="O33" i="1"/>
  <c r="M33" i="1"/>
  <c r="L33" i="1"/>
  <c r="K33" i="1"/>
  <c r="G33" i="1"/>
  <c r="F33" i="1"/>
  <c r="D33" i="1"/>
  <c r="BM32" i="1"/>
  <c r="BL32" i="1"/>
  <c r="BI32" i="1"/>
  <c r="BH32" i="1"/>
  <c r="AD32" i="1"/>
  <c r="AC32" i="1"/>
  <c r="AB32" i="1"/>
  <c r="AA32" i="1"/>
  <c r="AG32" i="1"/>
  <c r="AF32" i="1"/>
  <c r="Y32" i="1"/>
  <c r="X32" i="1"/>
  <c r="W32" i="1"/>
  <c r="AQ32" i="1"/>
  <c r="AM32" i="1"/>
  <c r="AK32" i="1"/>
  <c r="AI32" i="1"/>
  <c r="T32" i="1"/>
  <c r="S32" i="1"/>
  <c r="R32" i="1"/>
  <c r="Q32" i="1"/>
  <c r="O32" i="1"/>
  <c r="M32" i="1"/>
  <c r="L32" i="1"/>
  <c r="K32" i="1"/>
  <c r="G32" i="1"/>
  <c r="E32" i="1"/>
  <c r="D32" i="1"/>
  <c r="BM31" i="1"/>
  <c r="BL31" i="1"/>
  <c r="BI31" i="1"/>
  <c r="BH31" i="1"/>
  <c r="AD31" i="1"/>
  <c r="AC31" i="1"/>
  <c r="AB31" i="1"/>
  <c r="AA31" i="1"/>
  <c r="AG31" i="1"/>
  <c r="Y31" i="1"/>
  <c r="X31" i="1"/>
  <c r="W31" i="1"/>
  <c r="V31" i="1"/>
  <c r="AQ31" i="1"/>
  <c r="AP31" i="1"/>
  <c r="AO31" i="1"/>
  <c r="AM31" i="1"/>
  <c r="AK31" i="1"/>
  <c r="AJ31" i="1"/>
  <c r="AI31" i="1"/>
  <c r="T31" i="1"/>
  <c r="S31" i="1"/>
  <c r="R31" i="1"/>
  <c r="Q31" i="1"/>
  <c r="O31" i="1"/>
  <c r="M31" i="1"/>
  <c r="L31" i="1"/>
  <c r="K31" i="1"/>
  <c r="G31" i="1"/>
  <c r="C31" i="1"/>
  <c r="B31" i="1"/>
  <c r="BM30" i="1"/>
  <c r="BL30" i="1"/>
  <c r="BJ30" i="1"/>
  <c r="BI30" i="1"/>
  <c r="BH30" i="1"/>
  <c r="AD30" i="1"/>
  <c r="AC30" i="1"/>
  <c r="AB30" i="1"/>
  <c r="AA30" i="1"/>
  <c r="AG30" i="1"/>
  <c r="AF30" i="1"/>
  <c r="Y30" i="1"/>
  <c r="X30" i="1"/>
  <c r="W30" i="1"/>
  <c r="AQ30" i="1"/>
  <c r="AP30" i="1"/>
  <c r="AM30" i="1"/>
  <c r="AK30" i="1"/>
  <c r="AJ30" i="1"/>
  <c r="AI30" i="1"/>
  <c r="T30" i="1"/>
  <c r="S30" i="1"/>
  <c r="R30" i="1"/>
  <c r="Q30" i="1"/>
  <c r="O30" i="1"/>
  <c r="M30" i="1"/>
  <c r="L30" i="1"/>
  <c r="K30" i="1"/>
  <c r="J30" i="1"/>
  <c r="G30" i="1"/>
  <c r="F30" i="1"/>
  <c r="E30" i="1"/>
  <c r="D30" i="1"/>
  <c r="B30" i="1"/>
  <c r="BJ29" i="1"/>
  <c r="BH29" i="1"/>
  <c r="AD29" i="1"/>
  <c r="AC29" i="1"/>
  <c r="AB29" i="1"/>
  <c r="AA29" i="1"/>
  <c r="AG29" i="1"/>
  <c r="Y29" i="1"/>
  <c r="X29" i="1"/>
  <c r="W29" i="1"/>
  <c r="V29" i="1"/>
  <c r="AQ29" i="1"/>
  <c r="AN29" i="1"/>
  <c r="AM29" i="1"/>
  <c r="AK29" i="1"/>
  <c r="AJ29" i="1"/>
  <c r="AI29" i="1"/>
  <c r="T29" i="1"/>
  <c r="S29" i="1"/>
  <c r="R29" i="1"/>
  <c r="Q29" i="1"/>
  <c r="O29" i="1"/>
  <c r="M29" i="1"/>
  <c r="L29" i="1"/>
  <c r="K29" i="1"/>
  <c r="F29" i="1"/>
  <c r="E29" i="1"/>
  <c r="D29" i="1"/>
  <c r="C29" i="1"/>
  <c r="BM28" i="1"/>
  <c r="BL28" i="1"/>
  <c r="BK28" i="1"/>
  <c r="BI28" i="1"/>
  <c r="BH28" i="1"/>
  <c r="AD28" i="1"/>
  <c r="AC28" i="1"/>
  <c r="AB28" i="1"/>
  <c r="AA28" i="1"/>
  <c r="AG28" i="1"/>
  <c r="AF28" i="1"/>
  <c r="Y28" i="1"/>
  <c r="X28" i="1"/>
  <c r="W28" i="1"/>
  <c r="V28" i="1"/>
  <c r="AQ28" i="1"/>
  <c r="AP28" i="1"/>
  <c r="AN28" i="1"/>
  <c r="AM28" i="1"/>
  <c r="AK28" i="1"/>
  <c r="AJ28" i="1"/>
  <c r="AI28" i="1"/>
  <c r="T28" i="1"/>
  <c r="S28" i="1"/>
  <c r="R28" i="1"/>
  <c r="Q28" i="1"/>
  <c r="M28" i="1"/>
  <c r="L28" i="1"/>
  <c r="K28" i="1"/>
  <c r="F28" i="1"/>
  <c r="C28" i="1"/>
  <c r="BM27" i="1"/>
  <c r="BL27" i="1"/>
  <c r="BK27" i="1"/>
  <c r="BI27" i="1"/>
  <c r="BH27" i="1"/>
  <c r="AD27" i="1"/>
  <c r="AC27" i="1"/>
  <c r="AB27" i="1"/>
  <c r="AA27" i="1"/>
  <c r="AG27" i="1"/>
  <c r="AF27" i="1"/>
  <c r="Y27" i="1"/>
  <c r="X27" i="1"/>
  <c r="W27" i="1"/>
  <c r="V27" i="1"/>
  <c r="AQ27" i="1"/>
  <c r="AP27" i="1"/>
  <c r="AO27" i="1"/>
  <c r="AN27" i="1"/>
  <c r="AM27" i="1"/>
  <c r="AK27" i="1"/>
  <c r="AJ27" i="1"/>
  <c r="AI27" i="1"/>
  <c r="T27" i="1"/>
  <c r="S27" i="1"/>
  <c r="R27" i="1"/>
  <c r="Q27" i="1"/>
  <c r="O27" i="1"/>
  <c r="M27" i="1"/>
  <c r="L27" i="1"/>
  <c r="K27" i="1"/>
  <c r="G27" i="1"/>
  <c r="D27" i="1"/>
  <c r="C27" i="1"/>
  <c r="BM26" i="1"/>
  <c r="BL26" i="1"/>
  <c r="BK26" i="1"/>
  <c r="BI26" i="1"/>
  <c r="BH26" i="1"/>
  <c r="AD26" i="1"/>
  <c r="AC26" i="1"/>
  <c r="AB26" i="1"/>
  <c r="AA26" i="1"/>
  <c r="AG26" i="1"/>
  <c r="AF26" i="1"/>
  <c r="Y26" i="1"/>
  <c r="X26" i="1"/>
  <c r="W26" i="1"/>
  <c r="V26" i="1"/>
  <c r="AQ26" i="1"/>
  <c r="AP26" i="1"/>
  <c r="AO26" i="1"/>
  <c r="AM26" i="1"/>
  <c r="AJ26" i="1"/>
  <c r="AI26" i="1"/>
  <c r="T26" i="1"/>
  <c r="S26" i="1"/>
  <c r="R26" i="1"/>
  <c r="Q26" i="1"/>
  <c r="O26" i="1"/>
  <c r="N26" i="1"/>
  <c r="M26" i="1"/>
  <c r="L26" i="1"/>
  <c r="K26" i="1"/>
  <c r="F26" i="1"/>
  <c r="B26" i="1"/>
  <c r="BM25" i="1"/>
  <c r="BL25" i="1"/>
  <c r="BK25" i="1"/>
  <c r="BI25" i="1"/>
  <c r="BH25" i="1"/>
  <c r="AD25" i="1"/>
  <c r="AC25" i="1"/>
  <c r="AB25" i="1"/>
  <c r="AA25" i="1"/>
  <c r="AG25" i="1"/>
  <c r="AF25" i="1"/>
  <c r="Y25" i="1"/>
  <c r="X25" i="1"/>
  <c r="W25" i="1"/>
  <c r="V25" i="1"/>
  <c r="AQ25" i="1"/>
  <c r="AP25" i="1"/>
  <c r="AM25" i="1"/>
  <c r="AK25" i="1"/>
  <c r="AJ25" i="1"/>
  <c r="AI25" i="1"/>
  <c r="T25" i="1"/>
  <c r="S25" i="1"/>
  <c r="R25" i="1"/>
  <c r="Q25" i="1"/>
  <c r="N25" i="1"/>
  <c r="M25" i="1"/>
  <c r="L25" i="1"/>
  <c r="K25" i="1"/>
  <c r="G25" i="1"/>
  <c r="F25" i="1"/>
  <c r="E25" i="1"/>
  <c r="C25" i="1"/>
  <c r="B25" i="1"/>
  <c r="BM24" i="1"/>
  <c r="BH24" i="1"/>
  <c r="AD24" i="1"/>
  <c r="AC24" i="1"/>
  <c r="AB24" i="1"/>
  <c r="AA24" i="1"/>
  <c r="AG24" i="1"/>
  <c r="AF24" i="1"/>
  <c r="Y24" i="1"/>
  <c r="X24" i="1"/>
  <c r="W24" i="1"/>
  <c r="AQ24" i="1"/>
  <c r="AO24" i="1"/>
  <c r="AM24" i="1"/>
  <c r="AK24" i="1"/>
  <c r="AJ24" i="1"/>
  <c r="AI24" i="1"/>
  <c r="T24" i="1"/>
  <c r="S24" i="1"/>
  <c r="R24" i="1"/>
  <c r="Q24" i="1"/>
  <c r="N24" i="1"/>
  <c r="M24" i="1"/>
  <c r="L24" i="1"/>
  <c r="K24" i="1"/>
  <c r="G24" i="1"/>
  <c r="F24" i="1"/>
  <c r="D24" i="1"/>
  <c r="BM23" i="1"/>
  <c r="BL23" i="1"/>
  <c r="BI23" i="1"/>
  <c r="BH23" i="1"/>
  <c r="AD23" i="1"/>
  <c r="AC23" i="1"/>
  <c r="AB23" i="1"/>
  <c r="AA23" i="1"/>
  <c r="AG23" i="1"/>
  <c r="AF23" i="1"/>
  <c r="Y23" i="1"/>
  <c r="X23" i="1"/>
  <c r="W23" i="1"/>
  <c r="V23" i="1"/>
  <c r="AP23" i="1"/>
  <c r="AM23" i="1"/>
  <c r="AK23" i="1"/>
  <c r="AJ23" i="1"/>
  <c r="AI23" i="1"/>
  <c r="T23" i="1"/>
  <c r="S23" i="1"/>
  <c r="R23" i="1"/>
  <c r="Q23" i="1"/>
  <c r="N23" i="1"/>
  <c r="M23" i="1"/>
  <c r="L23" i="1"/>
  <c r="K23" i="1"/>
  <c r="F23" i="1"/>
  <c r="D23" i="1"/>
  <c r="C23" i="1"/>
  <c r="BM22" i="1"/>
  <c r="BL22" i="1"/>
  <c r="BK22" i="1"/>
  <c r="BI22" i="1"/>
  <c r="BH22" i="1"/>
  <c r="AD22" i="1"/>
  <c r="AC22" i="1"/>
  <c r="AB22" i="1"/>
  <c r="AA22" i="1"/>
  <c r="AG22" i="1"/>
  <c r="AF22" i="1"/>
  <c r="Y22" i="1"/>
  <c r="X22" i="1"/>
  <c r="W22" i="1"/>
  <c r="V22" i="1"/>
  <c r="AQ22" i="1"/>
  <c r="AP22" i="1"/>
  <c r="AO22" i="1"/>
  <c r="AM22" i="1"/>
  <c r="AK22" i="1"/>
  <c r="AJ22" i="1"/>
  <c r="AI22" i="1"/>
  <c r="T22" i="1"/>
  <c r="S22" i="1"/>
  <c r="R22" i="1"/>
  <c r="Q22" i="1"/>
  <c r="M22" i="1"/>
  <c r="L22" i="1"/>
  <c r="K22" i="1"/>
  <c r="G22" i="1"/>
  <c r="F22" i="1"/>
  <c r="D22" i="1"/>
  <c r="BM21" i="1"/>
  <c r="BL21" i="1"/>
  <c r="BK21" i="1"/>
  <c r="BH21" i="1"/>
  <c r="AD21" i="1"/>
  <c r="AC21" i="1"/>
  <c r="AB21" i="1"/>
  <c r="AA21" i="1"/>
  <c r="AG21" i="1"/>
  <c r="AF21" i="1"/>
  <c r="X21" i="1"/>
  <c r="W21" i="1"/>
  <c r="V21" i="1"/>
  <c r="AQ21" i="1"/>
  <c r="AP21" i="1"/>
  <c r="AO21" i="1"/>
  <c r="AM21" i="1"/>
  <c r="AK21" i="1"/>
  <c r="AI21" i="1"/>
  <c r="T21" i="1"/>
  <c r="S21" i="1"/>
  <c r="R21" i="1"/>
  <c r="Q21" i="1"/>
  <c r="O21" i="1"/>
  <c r="M21" i="1"/>
  <c r="L21" i="1"/>
  <c r="K21" i="1"/>
  <c r="G21" i="1"/>
  <c r="D21" i="1"/>
  <c r="B21" i="1"/>
  <c r="BM20" i="1"/>
  <c r="BL20" i="1"/>
  <c r="BI20" i="1"/>
  <c r="BH20" i="1"/>
  <c r="AD20" i="1"/>
  <c r="AC20" i="1"/>
  <c r="AB20" i="1"/>
  <c r="AA20" i="1"/>
  <c r="AG20" i="1"/>
  <c r="W20" i="1"/>
  <c r="AQ20" i="1"/>
  <c r="AO20" i="1"/>
  <c r="AN20" i="1"/>
  <c r="AM20" i="1"/>
  <c r="AK20" i="1"/>
  <c r="AJ20" i="1"/>
  <c r="AI20" i="1"/>
  <c r="T20" i="1"/>
  <c r="S20" i="1"/>
  <c r="R20" i="1"/>
  <c r="Q20" i="1"/>
  <c r="O20" i="1"/>
  <c r="N20" i="1"/>
  <c r="M20" i="1"/>
  <c r="L20" i="1"/>
  <c r="K20" i="1"/>
  <c r="H20" i="1"/>
  <c r="G20" i="1"/>
  <c r="C20" i="1"/>
  <c r="BM19" i="1"/>
  <c r="BL19" i="1"/>
  <c r="BI19" i="1"/>
  <c r="BH19" i="1"/>
  <c r="AD19" i="1"/>
  <c r="AC19" i="1"/>
  <c r="AB19" i="1"/>
  <c r="AA19" i="1"/>
  <c r="AG19" i="1"/>
  <c r="AF19" i="1"/>
  <c r="Y19" i="1"/>
  <c r="X19" i="1"/>
  <c r="W19" i="1"/>
  <c r="AM19" i="1"/>
  <c r="AK19" i="1"/>
  <c r="AJ19" i="1"/>
  <c r="AI19" i="1"/>
  <c r="T19" i="1"/>
  <c r="S19" i="1"/>
  <c r="R19" i="1"/>
  <c r="Q19" i="1"/>
  <c r="M19" i="1"/>
  <c r="L19" i="1"/>
  <c r="K19" i="1"/>
  <c r="G19" i="1"/>
  <c r="F19" i="1"/>
  <c r="E19" i="1"/>
  <c r="D19" i="1"/>
  <c r="BM18" i="1"/>
  <c r="BL18" i="1"/>
  <c r="BJ18" i="1"/>
  <c r="BI18" i="1"/>
  <c r="BH18" i="1"/>
  <c r="AD18" i="1"/>
  <c r="AC18" i="1"/>
  <c r="AB18" i="1"/>
  <c r="AA18" i="1"/>
  <c r="AG18" i="1"/>
  <c r="AF18" i="1"/>
  <c r="Y18" i="1"/>
  <c r="X18" i="1"/>
  <c r="W18" i="1"/>
  <c r="V18" i="1"/>
  <c r="AP18" i="1"/>
  <c r="AM18" i="1"/>
  <c r="AK18" i="1"/>
  <c r="AI18" i="1"/>
  <c r="T18" i="1"/>
  <c r="S18" i="1"/>
  <c r="R18" i="1"/>
  <c r="Q18" i="1"/>
  <c r="M18" i="1"/>
  <c r="L18" i="1"/>
  <c r="K18" i="1"/>
  <c r="G18" i="1"/>
  <c r="F18" i="1"/>
  <c r="E18" i="1"/>
  <c r="D18" i="1"/>
  <c r="B18" i="1"/>
  <c r="BM17" i="1"/>
  <c r="BL17" i="1"/>
  <c r="BK17" i="1"/>
  <c r="BH17" i="1"/>
  <c r="AD17" i="1"/>
  <c r="AC17" i="1"/>
  <c r="AB17" i="1"/>
  <c r="AA17" i="1"/>
  <c r="AG17" i="1"/>
  <c r="AF17" i="1"/>
  <c r="Y17" i="1"/>
  <c r="X17" i="1"/>
  <c r="W17" i="1"/>
  <c r="AQ17" i="1"/>
  <c r="AM17" i="1"/>
  <c r="AK17" i="1"/>
  <c r="AJ17" i="1"/>
  <c r="AI17" i="1"/>
  <c r="T17" i="1"/>
  <c r="S17" i="1"/>
  <c r="R17" i="1"/>
  <c r="Q17" i="1"/>
  <c r="O17" i="1"/>
  <c r="N17" i="1"/>
  <c r="M17" i="1"/>
  <c r="L17" i="1"/>
  <c r="K17" i="1"/>
  <c r="H17" i="1"/>
  <c r="G17" i="1"/>
  <c r="F17" i="1"/>
  <c r="B17" i="1"/>
  <c r="BM16" i="1"/>
  <c r="BL16" i="1"/>
  <c r="BJ16" i="1"/>
  <c r="BI16" i="1"/>
  <c r="BH16" i="1"/>
  <c r="AD16" i="1"/>
  <c r="AC16" i="1"/>
  <c r="AB16" i="1"/>
  <c r="AA16" i="1"/>
  <c r="AG16" i="1"/>
  <c r="AF16" i="1"/>
  <c r="Y16" i="1"/>
  <c r="X16" i="1"/>
  <c r="W16" i="1"/>
  <c r="AQ16" i="1"/>
  <c r="AN16" i="1"/>
  <c r="AM16" i="1"/>
  <c r="AK16" i="1"/>
  <c r="AJ16" i="1"/>
  <c r="AI16" i="1"/>
  <c r="T16" i="1"/>
  <c r="S16" i="1"/>
  <c r="R16" i="1"/>
  <c r="Q16" i="1"/>
  <c r="O16" i="1"/>
  <c r="M16" i="1"/>
  <c r="L16" i="1"/>
  <c r="K16" i="1"/>
  <c r="F16" i="1"/>
  <c r="D16" i="1"/>
  <c r="B16" i="1"/>
  <c r="BM15" i="1"/>
  <c r="BL15" i="1"/>
  <c r="BJ15" i="1"/>
  <c r="BH15" i="1"/>
  <c r="AD15" i="1"/>
  <c r="AC15" i="1"/>
  <c r="AB15" i="1"/>
  <c r="AA15" i="1"/>
  <c r="AG15" i="1"/>
  <c r="AF15" i="1"/>
  <c r="X15" i="1"/>
  <c r="W15" i="1"/>
  <c r="V15" i="1"/>
  <c r="AQ15" i="1"/>
  <c r="AM15" i="1"/>
  <c r="AK15" i="1"/>
  <c r="AI15" i="1"/>
  <c r="T15" i="1"/>
  <c r="S15" i="1"/>
  <c r="R15" i="1"/>
  <c r="Q15" i="1"/>
  <c r="N15" i="1"/>
  <c r="M15" i="1"/>
  <c r="L15" i="1"/>
  <c r="K15" i="1"/>
  <c r="F15" i="1"/>
  <c r="D15" i="1"/>
  <c r="B15" i="1"/>
  <c r="BM14" i="1"/>
  <c r="BL14" i="1"/>
  <c r="BH14" i="1"/>
  <c r="AD14" i="1"/>
  <c r="AC14" i="1"/>
  <c r="AB14" i="1"/>
  <c r="AA14" i="1"/>
  <c r="AG14" i="1"/>
  <c r="AF14" i="1"/>
  <c r="X14" i="1"/>
  <c r="W14" i="1"/>
  <c r="DK27" i="1"/>
  <c r="DJ27" i="1"/>
  <c r="DI27" i="1"/>
  <c r="DK14" i="1"/>
  <c r="DJ14" i="1"/>
  <c r="DI14" i="1"/>
  <c r="AQ14" i="1"/>
  <c r="AP14" i="1"/>
  <c r="AO14" i="1"/>
  <c r="AM14" i="1"/>
  <c r="AK14" i="1"/>
  <c r="AJ14" i="1"/>
  <c r="AI14" i="1"/>
  <c r="T14" i="1"/>
  <c r="S14" i="1"/>
  <c r="R14" i="1"/>
  <c r="Q14" i="1"/>
  <c r="O14" i="1"/>
  <c r="M14" i="1"/>
  <c r="L14" i="1"/>
  <c r="K14" i="1"/>
  <c r="H14" i="1"/>
  <c r="G14" i="1"/>
  <c r="F14" i="1"/>
  <c r="BM13" i="1"/>
  <c r="BL13" i="1"/>
  <c r="BH13" i="1"/>
  <c r="AD13" i="1"/>
  <c r="AC13" i="1"/>
  <c r="AB13" i="1"/>
  <c r="AA13" i="1"/>
  <c r="AG13" i="1"/>
  <c r="AF13" i="1"/>
  <c r="Y13" i="1"/>
  <c r="X13" i="1"/>
  <c r="W13" i="1"/>
  <c r="AQ13" i="1"/>
  <c r="AP13" i="1"/>
  <c r="AM13" i="1"/>
  <c r="AK13" i="1"/>
  <c r="AJ13" i="1"/>
  <c r="AI13" i="1"/>
  <c r="T13" i="1"/>
  <c r="S13" i="1"/>
  <c r="R13" i="1"/>
  <c r="Q13" i="1"/>
  <c r="O13" i="1"/>
  <c r="M13" i="1"/>
  <c r="L13" i="1"/>
  <c r="K13" i="1"/>
  <c r="H13" i="1"/>
  <c r="G13" i="1"/>
  <c r="F13" i="1"/>
  <c r="D13" i="1"/>
  <c r="B13" i="1"/>
  <c r="BM12" i="1"/>
  <c r="BL12" i="1"/>
  <c r="BK12" i="1"/>
  <c r="BI12" i="1"/>
  <c r="BH12" i="1"/>
  <c r="AD12" i="1"/>
  <c r="AC12" i="1"/>
  <c r="AB12" i="1"/>
  <c r="AA12" i="1"/>
  <c r="AG12" i="1"/>
  <c r="AF12" i="1"/>
  <c r="Y12" i="1"/>
  <c r="X12" i="1"/>
  <c r="W12" i="1"/>
  <c r="V12" i="1"/>
  <c r="AQ12" i="1"/>
  <c r="AP12" i="1"/>
  <c r="AO12" i="1"/>
  <c r="AN12" i="1"/>
  <c r="AM12" i="1"/>
  <c r="AK12" i="1"/>
  <c r="AI12" i="1"/>
  <c r="T12" i="1"/>
  <c r="S12" i="1"/>
  <c r="R12" i="1"/>
  <c r="Q12" i="1"/>
  <c r="O12" i="1"/>
  <c r="N12" i="1"/>
  <c r="M12" i="1"/>
  <c r="L12" i="1"/>
  <c r="K12" i="1"/>
  <c r="F12" i="1"/>
  <c r="D12" i="1"/>
  <c r="BM11" i="1"/>
  <c r="BL11" i="1"/>
  <c r="BJ11" i="1"/>
  <c r="BI11" i="1"/>
  <c r="BH11" i="1"/>
  <c r="AD11" i="1"/>
  <c r="AC11" i="1"/>
  <c r="AB11" i="1"/>
  <c r="AA11" i="1"/>
  <c r="AG11" i="1"/>
  <c r="AF11" i="1"/>
  <c r="Y11" i="1"/>
  <c r="X11" i="1"/>
  <c r="W11" i="1"/>
  <c r="AQ11" i="1"/>
  <c r="AP11" i="1"/>
  <c r="AN11" i="1"/>
  <c r="AM11" i="1"/>
  <c r="AK11" i="1"/>
  <c r="AJ11" i="1"/>
  <c r="AI11" i="1"/>
  <c r="T11" i="1"/>
  <c r="S11" i="1"/>
  <c r="R11" i="1"/>
  <c r="Q11" i="1"/>
  <c r="O11" i="1"/>
  <c r="N11" i="1"/>
  <c r="M11" i="1"/>
  <c r="L11" i="1"/>
  <c r="K11" i="1"/>
  <c r="G11" i="1"/>
  <c r="F11" i="1"/>
  <c r="E11" i="1"/>
  <c r="D11" i="1"/>
  <c r="BM10" i="1"/>
  <c r="BL10" i="1"/>
  <c r="BK10" i="1"/>
  <c r="BI10" i="1"/>
  <c r="BH10" i="1"/>
  <c r="AD10" i="1"/>
  <c r="AC10" i="1"/>
  <c r="AB10" i="1"/>
  <c r="AA10" i="1"/>
  <c r="AG10" i="1"/>
  <c r="AF10" i="1"/>
  <c r="Y10" i="1"/>
  <c r="X10" i="1"/>
  <c r="W10" i="1"/>
  <c r="V10" i="1"/>
  <c r="AQ10" i="1"/>
  <c r="AP10" i="1"/>
  <c r="AM10" i="1"/>
  <c r="AK10" i="1"/>
  <c r="AJ10" i="1"/>
  <c r="AI10" i="1"/>
  <c r="T10" i="1"/>
  <c r="S10" i="1"/>
  <c r="R10" i="1"/>
  <c r="Q10" i="1"/>
  <c r="O10" i="1"/>
  <c r="N10" i="1"/>
  <c r="L10" i="1"/>
  <c r="K10" i="1"/>
  <c r="J10" i="1"/>
  <c r="G10" i="1"/>
  <c r="F10" i="1"/>
  <c r="B10" i="1"/>
  <c r="BM9" i="1"/>
  <c r="BK9" i="1"/>
  <c r="BJ9" i="1"/>
  <c r="BH9" i="1"/>
  <c r="AD9" i="1"/>
  <c r="AC9" i="1"/>
  <c r="AB9" i="1"/>
  <c r="AA9" i="1"/>
  <c r="AG9" i="1"/>
  <c r="AF9" i="1"/>
  <c r="Y9" i="1"/>
  <c r="X9" i="1"/>
  <c r="W9" i="1"/>
  <c r="V9" i="1"/>
  <c r="AQ9" i="1"/>
  <c r="AP9" i="1"/>
  <c r="AO9" i="1"/>
  <c r="AM9" i="1"/>
  <c r="AK9" i="1"/>
  <c r="AJ9" i="1"/>
  <c r="AI9" i="1"/>
  <c r="T9" i="1"/>
  <c r="S9" i="1"/>
  <c r="R9" i="1"/>
  <c r="Q9" i="1"/>
  <c r="O9" i="1"/>
  <c r="M9" i="1"/>
  <c r="L9" i="1"/>
  <c r="K9" i="1"/>
  <c r="F9" i="1"/>
  <c r="D9" i="1"/>
  <c r="BM8" i="1"/>
  <c r="BL8" i="1"/>
  <c r="BI8" i="1"/>
  <c r="BH8" i="1"/>
  <c r="AD8" i="1"/>
  <c r="AC8" i="1"/>
  <c r="AB8" i="1"/>
  <c r="AA8" i="1"/>
  <c r="AG8" i="1"/>
  <c r="AF8" i="1"/>
  <c r="X8" i="1"/>
  <c r="W8" i="1"/>
  <c r="V8" i="1"/>
  <c r="DK21" i="1"/>
  <c r="DJ21" i="1"/>
  <c r="DI21" i="1"/>
  <c r="DK8" i="1"/>
  <c r="DJ8" i="1"/>
  <c r="DI8" i="1"/>
  <c r="AQ8" i="1"/>
  <c r="AN8" i="1"/>
  <c r="AM8" i="1"/>
  <c r="AK8" i="1"/>
  <c r="AJ8" i="1"/>
  <c r="AI8" i="1"/>
  <c r="T8" i="1"/>
  <c r="S8" i="1"/>
  <c r="R8" i="1"/>
  <c r="Q8" i="1"/>
  <c r="O8" i="1"/>
  <c r="M8" i="1"/>
  <c r="L8" i="1"/>
  <c r="K8" i="1"/>
  <c r="G8" i="1"/>
  <c r="F8" i="1"/>
  <c r="D8" i="1"/>
  <c r="C8" i="1"/>
  <c r="BM7" i="1"/>
  <c r="BL7" i="1"/>
  <c r="BH7" i="1"/>
  <c r="AD7" i="1"/>
  <c r="AC7" i="1"/>
  <c r="AB7" i="1"/>
  <c r="AA7" i="1"/>
  <c r="AG7" i="1"/>
  <c r="AF7" i="1"/>
  <c r="Y7" i="1"/>
  <c r="W7" i="1"/>
  <c r="V7" i="1"/>
  <c r="AQ7" i="1"/>
  <c r="AP7" i="1"/>
  <c r="AN7" i="1"/>
  <c r="AM7" i="1"/>
  <c r="AK7" i="1"/>
  <c r="AJ7" i="1"/>
  <c r="AI7" i="1"/>
  <c r="T7" i="1"/>
  <c r="S7" i="1"/>
  <c r="R7" i="1"/>
  <c r="Q7" i="1"/>
  <c r="O7" i="1"/>
  <c r="N7" i="1"/>
  <c r="M7" i="1"/>
  <c r="L7" i="1"/>
  <c r="K7" i="1"/>
  <c r="H7" i="1"/>
  <c r="F7" i="1"/>
  <c r="E7" i="1"/>
  <c r="C7" i="1"/>
  <c r="BM6" i="1"/>
  <c r="BL6" i="1"/>
  <c r="BK6" i="1"/>
  <c r="BJ6" i="1"/>
  <c r="BI6" i="1"/>
  <c r="BH6" i="1"/>
  <c r="AD6" i="1"/>
  <c r="AC6" i="1"/>
  <c r="AB6" i="1"/>
  <c r="AA6" i="1"/>
  <c r="AG6" i="1"/>
  <c r="AF6" i="1"/>
  <c r="Y6" i="1"/>
  <c r="X6" i="1"/>
  <c r="W6" i="1"/>
  <c r="V6" i="1"/>
  <c r="AQ6" i="1"/>
  <c r="AM6" i="1"/>
  <c r="AK6" i="1"/>
  <c r="AJ6" i="1"/>
  <c r="AI6" i="1"/>
  <c r="T6" i="1"/>
  <c r="S6" i="1"/>
  <c r="R6" i="1"/>
  <c r="Q6" i="1"/>
  <c r="O6" i="1"/>
  <c r="N6" i="1"/>
  <c r="M6" i="1"/>
  <c r="L6" i="1"/>
  <c r="K6" i="1"/>
  <c r="G6" i="1"/>
  <c r="F6" i="1"/>
  <c r="E6" i="1"/>
  <c r="D6" i="1"/>
  <c r="B6" i="1"/>
  <c r="BM5" i="1"/>
  <c r="BL5" i="1"/>
  <c r="BI5" i="1"/>
  <c r="BH5" i="1"/>
  <c r="AD5" i="1"/>
  <c r="AC5" i="1"/>
  <c r="AB5" i="1"/>
  <c r="AA5" i="1"/>
  <c r="AG5" i="1"/>
  <c r="AF5" i="1"/>
  <c r="Y5" i="1"/>
  <c r="W5" i="1"/>
  <c r="AQ5" i="1"/>
  <c r="AP5" i="1"/>
  <c r="AN5" i="1"/>
  <c r="AM5" i="1"/>
  <c r="AK5" i="1"/>
  <c r="AJ5" i="1"/>
  <c r="AI5" i="1"/>
  <c r="T5" i="1"/>
  <c r="S5" i="1"/>
  <c r="R5" i="1"/>
  <c r="Q5" i="1"/>
  <c r="O5" i="1"/>
  <c r="N5" i="1"/>
  <c r="M5" i="1"/>
  <c r="L5" i="1"/>
  <c r="K5" i="1"/>
  <c r="J5" i="1"/>
  <c r="H5" i="1"/>
  <c r="G5" i="1"/>
  <c r="F5" i="1"/>
  <c r="E5" i="1"/>
  <c r="D5" i="1"/>
  <c r="B5" i="1"/>
  <c r="BM4" i="1"/>
  <c r="BL4" i="1"/>
  <c r="BK4" i="1"/>
  <c r="BJ4" i="1"/>
  <c r="BI4" i="1"/>
  <c r="BH4" i="1"/>
  <c r="AD4" i="1"/>
  <c r="AC4" i="1"/>
  <c r="AB4" i="1"/>
  <c r="AA4" i="1"/>
  <c r="AG4" i="1"/>
  <c r="AF4" i="1"/>
  <c r="X4" i="1"/>
  <c r="W4" i="1"/>
  <c r="V4" i="1"/>
  <c r="AQ4" i="1"/>
  <c r="AM4" i="1"/>
  <c r="AK4" i="1"/>
  <c r="AJ4" i="1"/>
  <c r="AI4" i="1"/>
  <c r="T4" i="1"/>
  <c r="S4" i="1"/>
  <c r="R4" i="1"/>
  <c r="Q4" i="1"/>
  <c r="O4" i="1"/>
  <c r="N4" i="1"/>
  <c r="L4" i="1"/>
  <c r="K4" i="1"/>
  <c r="J4" i="1"/>
  <c r="D4" i="1"/>
  <c r="C4" i="1"/>
  <c r="J34" i="1" l="1"/>
  <c r="K34" i="1"/>
  <c r="BI34" i="1"/>
  <c r="X34" i="1"/>
  <c r="F34" i="1"/>
  <c r="AI34" i="1"/>
  <c r="H34" i="1"/>
  <c r="AY34" i="1"/>
  <c r="AQ34" i="1"/>
  <c r="AO34" i="1"/>
  <c r="BE34" i="1"/>
  <c r="AJ34" i="1"/>
  <c r="BJ34" i="1"/>
  <c r="G34" i="1"/>
  <c r="AN34" i="1"/>
  <c r="BA34" i="1"/>
  <c r="R34" i="1"/>
  <c r="AZ34" i="1"/>
  <c r="AK34" i="1"/>
  <c r="AP34" i="1"/>
  <c r="L34" i="1"/>
  <c r="AF34" i="1"/>
  <c r="N34" i="1"/>
  <c r="BC34" i="1"/>
  <c r="AG34" i="1"/>
  <c r="BK34" i="1"/>
  <c r="O34" i="1"/>
  <c r="AM34" i="1"/>
  <c r="BD34" i="1"/>
  <c r="AA34" i="1"/>
  <c r="BL34" i="1"/>
  <c r="C34" i="1"/>
  <c r="AV34" i="1"/>
  <c r="BF34" i="1"/>
  <c r="AC34" i="1"/>
  <c r="B34" i="1"/>
  <c r="BM34" i="1"/>
  <c r="D34" i="1"/>
  <c r="S34" i="1"/>
  <c r="AW34" i="1"/>
  <c r="V34" i="1"/>
  <c r="AD34" i="1"/>
  <c r="M34" i="1"/>
  <c r="Q34" i="1"/>
  <c r="AB34" i="1"/>
  <c r="T34" i="1"/>
  <c r="AX34" i="1"/>
  <c r="W34" i="1"/>
  <c r="BH34" i="1"/>
  <c r="E34" i="1"/>
  <c r="Y34" i="1"/>
</calcChain>
</file>

<file path=xl/sharedStrings.xml><?xml version="1.0" encoding="utf-8"?>
<sst xmlns="http://schemas.openxmlformats.org/spreadsheetml/2006/main" count="329" uniqueCount="140">
  <si>
    <r>
      <rPr>
        <b/>
        <i/>
        <sz val="11"/>
        <rFont val="Arial"/>
        <charset val="134"/>
      </rPr>
      <t>bam&gt;Ras</t>
    </r>
    <r>
      <rPr>
        <b/>
        <i/>
        <vertAlign val="superscript"/>
        <sz val="11"/>
        <rFont val="Arial"/>
        <charset val="134"/>
      </rPr>
      <t>G12V</t>
    </r>
  </si>
  <si>
    <t>Df#7584/+</t>
  </si>
  <si>
    <r>
      <rPr>
        <b/>
        <i/>
        <sz val="11"/>
        <rFont val="Arial"/>
        <charset val="134"/>
      </rPr>
      <t>bam&gt;Ras</t>
    </r>
    <r>
      <rPr>
        <b/>
        <i/>
        <vertAlign val="superscript"/>
        <sz val="11"/>
        <rFont val="Arial"/>
        <charset val="134"/>
      </rPr>
      <t>G12V</t>
    </r>
    <r>
      <rPr>
        <b/>
        <i/>
        <sz val="11"/>
        <rFont val="Arial"/>
        <charset val="134"/>
      </rPr>
      <t>;
Df#7584/+</t>
    </r>
  </si>
  <si>
    <r>
      <rPr>
        <b/>
        <i/>
        <sz val="11"/>
        <rFont val="Arial"/>
        <charset val="134"/>
      </rPr>
      <t>bam&gt;Ras</t>
    </r>
    <r>
      <rPr>
        <b/>
        <i/>
        <vertAlign val="superscript"/>
        <sz val="11"/>
        <rFont val="Arial"/>
        <charset val="134"/>
      </rPr>
      <t xml:space="preserve">G12V
</t>
    </r>
    <r>
      <rPr>
        <b/>
        <i/>
        <sz val="11"/>
        <rFont val="Arial"/>
        <charset val="134"/>
      </rPr>
      <t>+GFP-i</t>
    </r>
  </si>
  <si>
    <r>
      <rPr>
        <b/>
        <i/>
        <sz val="11"/>
        <rFont val="Arial"/>
        <charset val="134"/>
      </rPr>
      <t>bam&gt;Ras</t>
    </r>
    <r>
      <rPr>
        <b/>
        <i/>
        <vertAlign val="superscript"/>
        <sz val="11"/>
        <rFont val="Arial"/>
        <charset val="134"/>
      </rPr>
      <t xml:space="preserve">G12V
</t>
    </r>
    <r>
      <rPr>
        <b/>
        <i/>
        <sz val="11"/>
        <rFont val="Arial"/>
        <charset val="134"/>
      </rPr>
      <t>+uev1a-i</t>
    </r>
  </si>
  <si>
    <r>
      <rPr>
        <b/>
        <i/>
        <sz val="11"/>
        <rFont val="Arial"/>
        <charset val="134"/>
      </rPr>
      <t>bam&gt;Ras</t>
    </r>
    <r>
      <rPr>
        <b/>
        <i/>
        <vertAlign val="superscript"/>
        <sz val="11"/>
        <rFont val="Arial"/>
        <charset val="134"/>
      </rPr>
      <t>G12V</t>
    </r>
    <r>
      <rPr>
        <b/>
        <i/>
        <sz val="11"/>
        <rFont val="Arial"/>
        <charset val="134"/>
      </rPr>
      <t>+GFP;
Df#7584/+</t>
    </r>
  </si>
  <si>
    <r>
      <rPr>
        <b/>
        <i/>
        <sz val="11"/>
        <rFont val="Arial"/>
        <charset val="134"/>
      </rPr>
      <t>bam&gt;Ras</t>
    </r>
    <r>
      <rPr>
        <b/>
        <i/>
        <vertAlign val="superscript"/>
        <sz val="11"/>
        <rFont val="Arial"/>
        <charset val="134"/>
      </rPr>
      <t>G12V</t>
    </r>
    <r>
      <rPr>
        <b/>
        <i/>
        <sz val="11"/>
        <rFont val="Arial"/>
        <charset val="134"/>
      </rPr>
      <t>+Uev1A;
Df#7584/+</t>
    </r>
  </si>
  <si>
    <t>nos&gt;GFP</t>
  </si>
  <si>
    <r>
      <rPr>
        <b/>
        <i/>
        <sz val="11"/>
        <rFont val="Arial"/>
        <charset val="134"/>
      </rPr>
      <t>nos&gt;Ras</t>
    </r>
    <r>
      <rPr>
        <b/>
        <i/>
        <vertAlign val="superscript"/>
        <sz val="11"/>
        <rFont val="Arial"/>
        <charset val="134"/>
      </rPr>
      <t>G12V</t>
    </r>
  </si>
  <si>
    <r>
      <rPr>
        <b/>
        <i/>
        <sz val="11"/>
        <rFont val="Arial"/>
        <charset val="134"/>
      </rPr>
      <t>nos&gt;Ras</t>
    </r>
    <r>
      <rPr>
        <b/>
        <i/>
        <vertAlign val="superscript"/>
        <sz val="11"/>
        <rFont val="Arial"/>
        <charset val="134"/>
      </rPr>
      <t xml:space="preserve">G12V
</t>
    </r>
    <r>
      <rPr>
        <b/>
        <i/>
        <sz val="11"/>
        <rFont val="Arial"/>
        <charset val="134"/>
      </rPr>
      <t>+GFP-i</t>
    </r>
  </si>
  <si>
    <r>
      <rPr>
        <b/>
        <i/>
        <sz val="11"/>
        <rFont val="Arial"/>
        <charset val="134"/>
      </rPr>
      <t>nos&gt;Ras</t>
    </r>
    <r>
      <rPr>
        <b/>
        <i/>
        <vertAlign val="superscript"/>
        <sz val="11"/>
        <rFont val="Arial"/>
        <charset val="134"/>
      </rPr>
      <t xml:space="preserve">G12V
</t>
    </r>
    <r>
      <rPr>
        <b/>
        <i/>
        <sz val="11"/>
        <rFont val="Arial"/>
        <charset val="134"/>
      </rPr>
      <t>+uev1a-i</t>
    </r>
  </si>
  <si>
    <r>
      <rPr>
        <b/>
        <i/>
        <sz val="11"/>
        <rFont val="Arial"/>
        <charset val="134"/>
      </rPr>
      <t>nos&gt;Ras</t>
    </r>
    <r>
      <rPr>
        <b/>
        <i/>
        <vertAlign val="superscript"/>
        <sz val="11"/>
        <rFont val="Arial"/>
        <charset val="134"/>
      </rPr>
      <t>G12V</t>
    </r>
    <r>
      <rPr>
        <b/>
        <i/>
        <sz val="11"/>
        <rFont val="Arial"/>
        <charset val="134"/>
      </rPr>
      <t>;
uev1a</t>
    </r>
    <r>
      <rPr>
        <b/>
        <i/>
        <vertAlign val="superscript"/>
        <sz val="11"/>
        <rFont val="Arial"/>
        <charset val="134"/>
      </rPr>
      <t>Δ1</t>
    </r>
    <r>
      <rPr>
        <b/>
        <i/>
        <sz val="11"/>
        <rFont val="Arial"/>
        <charset val="134"/>
      </rPr>
      <t>/+</t>
    </r>
  </si>
  <si>
    <r>
      <rPr>
        <b/>
        <i/>
        <sz val="11"/>
        <rFont val="Arial"/>
        <charset val="134"/>
      </rPr>
      <t>nos&gt;Ras</t>
    </r>
    <r>
      <rPr>
        <b/>
        <i/>
        <vertAlign val="superscript"/>
        <sz val="11"/>
        <rFont val="Arial"/>
        <charset val="134"/>
      </rPr>
      <t>G12V</t>
    </r>
    <r>
      <rPr>
        <b/>
        <i/>
        <sz val="11"/>
        <rFont val="Arial"/>
        <charset val="134"/>
      </rPr>
      <t>;
uev1a</t>
    </r>
    <r>
      <rPr>
        <b/>
        <i/>
        <vertAlign val="superscript"/>
        <sz val="11"/>
        <rFont val="Arial"/>
        <charset val="134"/>
      </rPr>
      <t>Δ2</t>
    </r>
    <r>
      <rPr>
        <b/>
        <i/>
        <sz val="11"/>
        <rFont val="Arial"/>
        <charset val="134"/>
      </rPr>
      <t>/+</t>
    </r>
  </si>
  <si>
    <r>
      <rPr>
        <b/>
        <i/>
        <sz val="11"/>
        <rFont val="Arial"/>
        <charset val="134"/>
      </rPr>
      <t>nos&gt;Ras</t>
    </r>
    <r>
      <rPr>
        <b/>
        <i/>
        <vertAlign val="superscript"/>
        <sz val="11"/>
        <rFont val="Arial"/>
        <charset val="134"/>
      </rPr>
      <t xml:space="preserve">G12V
</t>
    </r>
    <r>
      <rPr>
        <b/>
        <i/>
        <sz val="11"/>
        <rFont val="Arial"/>
        <charset val="134"/>
      </rPr>
      <t>+lacZ</t>
    </r>
  </si>
  <si>
    <r>
      <rPr>
        <b/>
        <i/>
        <sz val="11"/>
        <rFont val="Arial"/>
        <charset val="134"/>
      </rPr>
      <t>nos&gt;Ras</t>
    </r>
    <r>
      <rPr>
        <b/>
        <i/>
        <vertAlign val="superscript"/>
        <sz val="11"/>
        <rFont val="Arial"/>
        <charset val="134"/>
      </rPr>
      <t xml:space="preserve">G12V
</t>
    </r>
    <r>
      <rPr>
        <b/>
        <i/>
        <sz val="11"/>
        <rFont val="Arial"/>
        <charset val="134"/>
      </rPr>
      <t>+Uev1A</t>
    </r>
  </si>
  <si>
    <r>
      <rPr>
        <b/>
        <i/>
        <sz val="11"/>
        <rFont val="Arial"/>
        <charset val="134"/>
      </rPr>
      <t>nos&gt;Ras</t>
    </r>
    <r>
      <rPr>
        <b/>
        <i/>
        <vertAlign val="superscript"/>
        <sz val="11"/>
        <rFont val="Arial"/>
        <charset val="134"/>
      </rPr>
      <t xml:space="preserve">G12V
</t>
    </r>
    <r>
      <rPr>
        <b/>
        <i/>
        <sz val="11"/>
        <rFont val="Arial"/>
        <charset val="134"/>
      </rPr>
      <t>+UBE2V1</t>
    </r>
  </si>
  <si>
    <r>
      <rPr>
        <b/>
        <i/>
        <sz val="11"/>
        <rFont val="Arial"/>
        <charset val="134"/>
      </rPr>
      <t>nos&gt;Ras</t>
    </r>
    <r>
      <rPr>
        <b/>
        <i/>
        <vertAlign val="superscript"/>
        <sz val="11"/>
        <rFont val="Arial"/>
        <charset val="134"/>
      </rPr>
      <t xml:space="preserve">G12V
</t>
    </r>
    <r>
      <rPr>
        <b/>
        <i/>
        <sz val="11"/>
        <rFont val="Arial"/>
        <charset val="134"/>
      </rPr>
      <t>+UBE2V2</t>
    </r>
  </si>
  <si>
    <r>
      <t>nos&gt;Ras</t>
    </r>
    <r>
      <rPr>
        <b/>
        <i/>
        <vertAlign val="superscript"/>
        <sz val="11"/>
        <rFont val="Arial"/>
        <charset val="134"/>
      </rPr>
      <t xml:space="preserve">G12V
</t>
    </r>
    <r>
      <rPr>
        <b/>
        <i/>
        <sz val="11"/>
        <rFont val="Arial"/>
        <charset val="134"/>
      </rPr>
      <t>+dsor1-i</t>
    </r>
  </si>
  <si>
    <r>
      <rPr>
        <b/>
        <i/>
        <sz val="11"/>
        <rFont val="Arial"/>
        <charset val="134"/>
      </rPr>
      <t>nos&gt;Ras</t>
    </r>
    <r>
      <rPr>
        <b/>
        <i/>
        <vertAlign val="superscript"/>
        <sz val="11"/>
        <rFont val="Arial"/>
        <charset val="134"/>
      </rPr>
      <t xml:space="preserve">G12V
</t>
    </r>
    <r>
      <rPr>
        <b/>
        <i/>
        <sz val="11"/>
        <rFont val="Arial"/>
        <charset val="134"/>
      </rPr>
      <t>+rl-i</t>
    </r>
  </si>
  <si>
    <t>nos&gt;CycA</t>
  </si>
  <si>
    <t>nos&gt;CycB</t>
  </si>
  <si>
    <t>nos&gt;Cdk1</t>
  </si>
  <si>
    <t>nos&gt;Stg</t>
  </si>
  <si>
    <t>nos&gt;CycA
+Uev1A</t>
  </si>
  <si>
    <r>
      <rPr>
        <b/>
        <i/>
        <sz val="11"/>
        <rFont val="Arial"/>
        <charset val="134"/>
      </rPr>
      <t>bam&gt;Ras</t>
    </r>
    <r>
      <rPr>
        <b/>
        <i/>
        <vertAlign val="superscript"/>
        <sz val="11"/>
        <rFont val="Arial"/>
        <charset val="134"/>
      </rPr>
      <t>G12V</t>
    </r>
    <r>
      <rPr>
        <b/>
        <i/>
        <sz val="11"/>
        <rFont val="Arial"/>
        <charset val="134"/>
      </rPr>
      <t>+cdc27-i</t>
    </r>
  </si>
  <si>
    <r>
      <rPr>
        <b/>
        <i/>
        <sz val="11"/>
        <rFont val="Arial"/>
        <charset val="134"/>
      </rPr>
      <t>bam&gt;Ras</t>
    </r>
    <r>
      <rPr>
        <b/>
        <i/>
        <vertAlign val="superscript"/>
        <sz val="11"/>
        <rFont val="Arial"/>
        <charset val="134"/>
      </rPr>
      <t>G12V</t>
    </r>
    <r>
      <rPr>
        <b/>
        <i/>
        <sz val="11"/>
        <rFont val="Arial"/>
        <charset val="134"/>
      </rPr>
      <t>+ cdc27-i; uev1a</t>
    </r>
    <r>
      <rPr>
        <b/>
        <i/>
        <vertAlign val="superscript"/>
        <sz val="11"/>
        <rFont val="Arial"/>
        <charset val="134"/>
      </rPr>
      <t>Δ1</t>
    </r>
    <r>
      <rPr>
        <b/>
        <i/>
        <sz val="11"/>
        <rFont val="Arial"/>
        <charset val="134"/>
      </rPr>
      <t>/+</t>
    </r>
  </si>
  <si>
    <r>
      <rPr>
        <b/>
        <i/>
        <sz val="11"/>
        <rFont val="Arial"/>
        <charset val="134"/>
      </rPr>
      <t>bam&gt;Ras</t>
    </r>
    <r>
      <rPr>
        <b/>
        <i/>
        <vertAlign val="superscript"/>
        <sz val="11"/>
        <rFont val="Arial"/>
        <charset val="134"/>
      </rPr>
      <t>G12V</t>
    </r>
    <r>
      <rPr>
        <b/>
        <i/>
        <sz val="11"/>
        <rFont val="Arial"/>
        <charset val="134"/>
      </rPr>
      <t>+cdc27-i; uev1a</t>
    </r>
    <r>
      <rPr>
        <b/>
        <i/>
        <vertAlign val="superscript"/>
        <sz val="11"/>
        <rFont val="Arial"/>
        <charset val="134"/>
      </rPr>
      <t>Δ2</t>
    </r>
    <r>
      <rPr>
        <b/>
        <i/>
        <sz val="11"/>
        <rFont val="Arial"/>
        <charset val="134"/>
      </rPr>
      <t>/+</t>
    </r>
  </si>
  <si>
    <r>
      <rPr>
        <b/>
        <i/>
        <sz val="11"/>
        <rFont val="Arial"/>
        <charset val="134"/>
      </rPr>
      <t>bam&gt;Ras</t>
    </r>
    <r>
      <rPr>
        <b/>
        <i/>
        <vertAlign val="superscript"/>
        <sz val="11"/>
        <rFont val="Arial"/>
        <charset val="134"/>
      </rPr>
      <t>G12V</t>
    </r>
    <r>
      <rPr>
        <b/>
        <i/>
        <sz val="11"/>
        <rFont val="Arial"/>
        <charset val="134"/>
      </rPr>
      <t>+uev1a-i
+GFP-i</t>
    </r>
  </si>
  <si>
    <r>
      <rPr>
        <b/>
        <i/>
        <sz val="11"/>
        <rFont val="Arial"/>
        <charset val="134"/>
      </rPr>
      <t>bam&gt;Ras</t>
    </r>
    <r>
      <rPr>
        <b/>
        <i/>
        <vertAlign val="superscript"/>
        <sz val="11"/>
        <rFont val="Arial"/>
        <charset val="134"/>
      </rPr>
      <t>G12V</t>
    </r>
    <r>
      <rPr>
        <b/>
        <i/>
        <sz val="11"/>
        <rFont val="Arial"/>
        <charset val="134"/>
      </rPr>
      <t>+uev1a-i
+cdc27-i</t>
    </r>
  </si>
  <si>
    <r>
      <rPr>
        <b/>
        <i/>
        <sz val="11"/>
        <rFont val="Arial"/>
        <charset val="134"/>
      </rPr>
      <t>bam&gt;Ras</t>
    </r>
    <r>
      <rPr>
        <b/>
        <i/>
        <vertAlign val="superscript"/>
        <sz val="11"/>
        <rFont val="Arial"/>
        <charset val="134"/>
      </rPr>
      <t>G12V</t>
    </r>
    <r>
      <rPr>
        <b/>
        <i/>
        <sz val="11"/>
        <rFont val="Arial"/>
        <charset val="134"/>
      </rPr>
      <t>+uev1a-i
+fzr-i</t>
    </r>
  </si>
  <si>
    <r>
      <rPr>
        <b/>
        <i/>
        <sz val="11"/>
        <rFont val="Arial"/>
        <charset val="134"/>
      </rPr>
      <t>nos&gt;Ras</t>
    </r>
    <r>
      <rPr>
        <b/>
        <i/>
        <vertAlign val="superscript"/>
        <sz val="11"/>
        <rFont val="Arial"/>
        <charset val="134"/>
      </rPr>
      <t xml:space="preserve">G12V
</t>
    </r>
    <r>
      <rPr>
        <b/>
        <i/>
        <sz val="11"/>
        <rFont val="Arial"/>
        <charset val="134"/>
      </rPr>
      <t>+shtd-i</t>
    </r>
  </si>
  <si>
    <r>
      <rPr>
        <b/>
        <i/>
        <sz val="11"/>
        <rFont val="Arial"/>
        <charset val="134"/>
      </rPr>
      <t>nos&gt;Ras</t>
    </r>
    <r>
      <rPr>
        <b/>
        <i/>
        <vertAlign val="superscript"/>
        <sz val="11"/>
        <rFont val="Arial"/>
        <charset val="134"/>
      </rPr>
      <t xml:space="preserve">G12V
</t>
    </r>
    <r>
      <rPr>
        <b/>
        <i/>
        <sz val="11"/>
        <rFont val="Arial"/>
        <charset val="134"/>
      </rPr>
      <t>+mr-i</t>
    </r>
  </si>
  <si>
    <r>
      <rPr>
        <b/>
        <i/>
        <sz val="11"/>
        <rFont val="Arial"/>
        <charset val="134"/>
      </rPr>
      <t>nos&gt;Ras</t>
    </r>
    <r>
      <rPr>
        <b/>
        <i/>
        <vertAlign val="superscript"/>
        <sz val="11"/>
        <rFont val="Arial"/>
        <charset val="134"/>
      </rPr>
      <t>G12V</t>
    </r>
    <r>
      <rPr>
        <b/>
        <i/>
        <sz val="11"/>
        <rFont val="Arial"/>
        <charset val="134"/>
      </rPr>
      <t>+bam-i</t>
    </r>
    <r>
      <rPr>
        <b/>
        <i/>
        <vertAlign val="superscript"/>
        <sz val="11"/>
        <rFont val="Arial"/>
        <charset val="134"/>
      </rPr>
      <t xml:space="preserve">
</t>
    </r>
    <r>
      <rPr>
        <b/>
        <i/>
        <sz val="11"/>
        <rFont val="Arial"/>
        <charset val="134"/>
      </rPr>
      <t>+GFP-i</t>
    </r>
  </si>
  <si>
    <r>
      <rPr>
        <b/>
        <i/>
        <sz val="11"/>
        <rFont val="Arial"/>
        <charset val="134"/>
      </rPr>
      <t>nos&gt;Ras</t>
    </r>
    <r>
      <rPr>
        <b/>
        <i/>
        <vertAlign val="superscript"/>
        <sz val="11"/>
        <rFont val="Arial"/>
        <charset val="134"/>
      </rPr>
      <t>G12V</t>
    </r>
    <r>
      <rPr>
        <b/>
        <i/>
        <sz val="11"/>
        <rFont val="Arial"/>
        <charset val="134"/>
      </rPr>
      <t>+bam-i</t>
    </r>
    <r>
      <rPr>
        <b/>
        <i/>
        <vertAlign val="superscript"/>
        <sz val="11"/>
        <rFont val="Arial"/>
        <charset val="134"/>
      </rPr>
      <t xml:space="preserve">
</t>
    </r>
    <r>
      <rPr>
        <b/>
        <i/>
        <sz val="11"/>
        <rFont val="Arial"/>
        <charset val="134"/>
      </rPr>
      <t>+uev1a-i</t>
    </r>
  </si>
  <si>
    <r>
      <rPr>
        <b/>
        <i/>
        <sz val="11"/>
        <rFont val="Arial"/>
        <charset val="134"/>
      </rPr>
      <t>nos&gt;Ras</t>
    </r>
    <r>
      <rPr>
        <b/>
        <i/>
        <vertAlign val="superscript"/>
        <sz val="11"/>
        <rFont val="Arial"/>
        <charset val="134"/>
      </rPr>
      <t>G12V</t>
    </r>
    <r>
      <rPr>
        <b/>
        <i/>
        <sz val="11"/>
        <rFont val="Arial"/>
        <charset val="134"/>
      </rPr>
      <t>+bam-i</t>
    </r>
    <r>
      <rPr>
        <b/>
        <i/>
        <vertAlign val="superscript"/>
        <sz val="11"/>
        <rFont val="Arial"/>
        <charset val="134"/>
      </rPr>
      <t xml:space="preserve">
</t>
    </r>
    <r>
      <rPr>
        <b/>
        <i/>
        <sz val="11"/>
        <rFont val="Arial"/>
        <charset val="134"/>
      </rPr>
      <t>+GFP</t>
    </r>
  </si>
  <si>
    <r>
      <rPr>
        <b/>
        <i/>
        <sz val="11"/>
        <rFont val="Arial"/>
        <charset val="134"/>
      </rPr>
      <t>nos&gt;Ras</t>
    </r>
    <r>
      <rPr>
        <b/>
        <i/>
        <vertAlign val="superscript"/>
        <sz val="11"/>
        <rFont val="Arial"/>
        <charset val="134"/>
      </rPr>
      <t>G12V</t>
    </r>
    <r>
      <rPr>
        <b/>
        <i/>
        <sz val="11"/>
        <rFont val="Arial"/>
        <charset val="134"/>
      </rPr>
      <t>+bam-i</t>
    </r>
    <r>
      <rPr>
        <b/>
        <i/>
        <vertAlign val="superscript"/>
        <sz val="11"/>
        <rFont val="Arial"/>
        <charset val="134"/>
      </rPr>
      <t xml:space="preserve">
</t>
    </r>
    <r>
      <rPr>
        <b/>
        <i/>
        <sz val="11"/>
        <rFont val="Arial"/>
        <charset val="134"/>
      </rPr>
      <t>+Uev1A</t>
    </r>
  </si>
  <si>
    <t>nos&gt;lacZ</t>
  </si>
  <si>
    <t>nos&gt;Uev1A</t>
  </si>
  <si>
    <r>
      <rPr>
        <b/>
        <i/>
        <sz val="11"/>
        <rFont val="Arial"/>
        <charset val="134"/>
      </rPr>
      <t xml:space="preserve">RAS </t>
    </r>
    <r>
      <rPr>
        <b/>
        <sz val="11"/>
        <rFont val="Arial"/>
        <charset val="134"/>
      </rPr>
      <t>WT</t>
    </r>
  </si>
  <si>
    <r>
      <rPr>
        <b/>
        <i/>
        <sz val="11"/>
        <rFont val="Arial"/>
        <charset val="134"/>
      </rPr>
      <t xml:space="preserve">RAS </t>
    </r>
    <r>
      <rPr>
        <b/>
        <sz val="11"/>
        <rFont val="Arial"/>
        <charset val="134"/>
      </rPr>
      <t>mutation</t>
    </r>
  </si>
  <si>
    <t>SW480</t>
  </si>
  <si>
    <t>HCT116</t>
  </si>
  <si>
    <t>cell viability (OD 450 nm)</t>
  </si>
  <si>
    <r>
      <rPr>
        <b/>
        <i/>
        <sz val="11"/>
        <rFont val="Arial"/>
        <charset val="134"/>
      </rPr>
      <t>nos&gt;Yki</t>
    </r>
    <r>
      <rPr>
        <b/>
        <i/>
        <vertAlign val="superscript"/>
        <sz val="11"/>
        <rFont val="Arial"/>
        <charset val="134"/>
      </rPr>
      <t>3SA</t>
    </r>
  </si>
  <si>
    <r>
      <rPr>
        <b/>
        <i/>
        <sz val="11"/>
        <rFont val="Arial"/>
        <charset val="134"/>
      </rPr>
      <t>nos&gt;Yki</t>
    </r>
    <r>
      <rPr>
        <b/>
        <i/>
        <vertAlign val="superscript"/>
        <sz val="11"/>
        <rFont val="Arial"/>
        <charset val="134"/>
      </rPr>
      <t>3SA</t>
    </r>
    <r>
      <rPr>
        <b/>
        <i/>
        <sz val="11"/>
        <rFont val="Arial"/>
        <charset val="134"/>
      </rPr>
      <t xml:space="preserve">
+GFP</t>
    </r>
  </si>
  <si>
    <r>
      <rPr>
        <b/>
        <i/>
        <sz val="11"/>
        <rFont val="Arial"/>
        <charset val="134"/>
      </rPr>
      <t>nos&gt;Yki</t>
    </r>
    <r>
      <rPr>
        <b/>
        <i/>
        <vertAlign val="superscript"/>
        <sz val="11"/>
        <rFont val="Arial"/>
        <charset val="134"/>
      </rPr>
      <t>3SA</t>
    </r>
    <r>
      <rPr>
        <b/>
        <i/>
        <sz val="11"/>
        <rFont val="Arial"/>
        <charset val="134"/>
      </rPr>
      <t xml:space="preserve">
+Uev1A</t>
    </r>
  </si>
  <si>
    <t>nos&gt;BicD-i
+GFP</t>
  </si>
  <si>
    <r>
      <rPr>
        <b/>
        <i/>
        <sz val="11"/>
        <rFont val="Arial"/>
        <charset val="134"/>
      </rPr>
      <t>nos&gt;BicD-i
+Ras</t>
    </r>
    <r>
      <rPr>
        <b/>
        <i/>
        <vertAlign val="superscript"/>
        <sz val="11"/>
        <rFont val="Arial"/>
        <charset val="134"/>
      </rPr>
      <t>G12V</t>
    </r>
  </si>
  <si>
    <r>
      <rPr>
        <b/>
        <i/>
        <sz val="11"/>
        <rFont val="Arial"/>
        <charset val="134"/>
      </rPr>
      <t>nos&gt;Ras</t>
    </r>
    <r>
      <rPr>
        <b/>
        <i/>
        <vertAlign val="superscript"/>
        <sz val="11"/>
        <rFont val="Arial"/>
        <charset val="134"/>
      </rPr>
      <t xml:space="preserve">G12V
</t>
    </r>
    <r>
      <rPr>
        <b/>
        <i/>
        <sz val="11"/>
        <rFont val="Arial"/>
        <charset val="134"/>
      </rPr>
      <t>+tefu-i</t>
    </r>
  </si>
  <si>
    <r>
      <rPr>
        <b/>
        <i/>
        <sz val="11"/>
        <rFont val="Arial"/>
        <charset val="134"/>
      </rPr>
      <t>nos&gt;Ras</t>
    </r>
    <r>
      <rPr>
        <b/>
        <i/>
        <vertAlign val="superscript"/>
        <sz val="11"/>
        <rFont val="Arial"/>
        <charset val="134"/>
      </rPr>
      <t xml:space="preserve">G12V
</t>
    </r>
    <r>
      <rPr>
        <b/>
        <i/>
        <sz val="11"/>
        <rFont val="Arial"/>
        <charset val="134"/>
      </rPr>
      <t>+lok-i</t>
    </r>
  </si>
  <si>
    <r>
      <rPr>
        <b/>
        <i/>
        <sz val="11"/>
        <rFont val="Arial"/>
        <charset val="134"/>
      </rPr>
      <t>nos&gt;Ras</t>
    </r>
    <r>
      <rPr>
        <b/>
        <i/>
        <vertAlign val="superscript"/>
        <sz val="11"/>
        <rFont val="Arial"/>
        <charset val="134"/>
      </rPr>
      <t xml:space="preserve">G12V
</t>
    </r>
    <r>
      <rPr>
        <b/>
        <i/>
        <sz val="11"/>
        <rFont val="Arial"/>
        <charset val="134"/>
      </rPr>
      <t>+p53-i</t>
    </r>
  </si>
  <si>
    <t>bam&gt;fzr-i</t>
  </si>
  <si>
    <t>bam&gt;cdc27-i</t>
  </si>
  <si>
    <t>bam&gt;cdc27-i
+uev1a-i</t>
  </si>
  <si>
    <t>bam&gt;cdc27-i
+ben-i</t>
  </si>
  <si>
    <r>
      <rPr>
        <b/>
        <i/>
        <sz val="11"/>
        <rFont val="Arial"/>
        <charset val="134"/>
      </rPr>
      <t>bam&gt;cdc27-i
+ben-i; uev1a</t>
    </r>
    <r>
      <rPr>
        <b/>
        <i/>
        <vertAlign val="superscript"/>
        <sz val="11"/>
        <rFont val="Arial"/>
        <charset val="134"/>
      </rPr>
      <t>Δ1</t>
    </r>
    <r>
      <rPr>
        <b/>
        <i/>
        <sz val="11"/>
        <rFont val="Arial"/>
        <charset val="134"/>
      </rPr>
      <t>/+</t>
    </r>
  </si>
  <si>
    <r>
      <rPr>
        <b/>
        <i/>
        <sz val="11"/>
        <rFont val="Arial"/>
        <charset val="134"/>
      </rPr>
      <t>bam&gt;cdc27-i
+ben-i; uev1a</t>
    </r>
    <r>
      <rPr>
        <b/>
        <i/>
        <vertAlign val="superscript"/>
        <sz val="11"/>
        <rFont val="Arial"/>
        <charset val="134"/>
      </rPr>
      <t>Δ2</t>
    </r>
    <r>
      <rPr>
        <b/>
        <i/>
        <sz val="11"/>
        <rFont val="Arial"/>
        <charset val="134"/>
      </rPr>
      <t>/+</t>
    </r>
  </si>
  <si>
    <t>degrading/total egg chambers (%)</t>
  </si>
  <si>
    <r>
      <rPr>
        <b/>
        <sz val="11"/>
        <color theme="1"/>
        <rFont val="Arial"/>
        <charset val="134"/>
      </rPr>
      <t>ovarian size 
(μm</t>
    </r>
    <r>
      <rPr>
        <b/>
        <vertAlign val="superscript"/>
        <sz val="11"/>
        <color theme="1"/>
        <rFont val="Arial"/>
        <charset val="134"/>
      </rPr>
      <t>2</t>
    </r>
    <r>
      <rPr>
        <b/>
        <sz val="11"/>
        <color theme="1"/>
        <rFont val="Arial"/>
        <charset val="134"/>
      </rPr>
      <t>)</t>
    </r>
  </si>
  <si>
    <t>GSC numbers/
germarium</t>
  </si>
  <si>
    <t>UBE2V1 
expression 
level</t>
  </si>
  <si>
    <t>UBE2V2
expression 
level</t>
  </si>
  <si>
    <t>control</t>
  </si>
  <si>
    <t>UBE2V1-OE</t>
  </si>
  <si>
    <t>UBE2V2-OE</t>
  </si>
  <si>
    <r>
      <rPr>
        <b/>
        <sz val="11"/>
        <color theme="1"/>
        <rFont val="Arial"/>
        <charset val="134"/>
      </rPr>
      <t>tumor volume (mm</t>
    </r>
    <r>
      <rPr>
        <b/>
        <vertAlign val="superscript"/>
        <sz val="11"/>
        <color theme="1"/>
        <rFont val="Arial"/>
        <charset val="134"/>
      </rPr>
      <t>3</t>
    </r>
    <r>
      <rPr>
        <b/>
        <sz val="11"/>
        <color theme="1"/>
        <rFont val="Arial"/>
        <charset val="134"/>
      </rPr>
      <t>)</t>
    </r>
  </si>
  <si>
    <t>degrading/
total egg chambers (%)</t>
  </si>
  <si>
    <r>
      <rPr>
        <b/>
        <sz val="11"/>
        <color theme="1"/>
        <rFont val="Arial"/>
        <charset val="134"/>
      </rPr>
      <t>EdU</t>
    </r>
    <r>
      <rPr>
        <b/>
        <vertAlign val="superscript"/>
        <sz val="11"/>
        <color theme="1"/>
        <rFont val="Arial"/>
        <charset val="134"/>
      </rPr>
      <t>+</t>
    </r>
    <r>
      <rPr>
        <b/>
        <sz val="11"/>
        <color theme="1"/>
        <rFont val="Arial"/>
        <charset val="134"/>
      </rPr>
      <t xml:space="preserve"> cells 
(%)</t>
    </r>
  </si>
  <si>
    <t>0 day</t>
  </si>
  <si>
    <t>8 days</t>
  </si>
  <si>
    <t>1 day</t>
  </si>
  <si>
    <t>12 days</t>
  </si>
  <si>
    <t>mean</t>
  </si>
  <si>
    <t>2 days</t>
  </si>
  <si>
    <t>16 days</t>
  </si>
  <si>
    <t>3 days</t>
  </si>
  <si>
    <t>20 days</t>
  </si>
  <si>
    <t>4 days</t>
  </si>
  <si>
    <t>24 days</t>
  </si>
  <si>
    <t>clonogenic 
capacity
(relative fold)</t>
  </si>
  <si>
    <t>28 days</t>
  </si>
  <si>
    <t>tumor
weight (g)</t>
  </si>
  <si>
    <r>
      <rPr>
        <b/>
        <sz val="11"/>
        <color theme="1"/>
        <rFont val="Arial"/>
        <charset val="134"/>
      </rPr>
      <t>CycA</t>
    </r>
    <r>
      <rPr>
        <b/>
        <vertAlign val="superscript"/>
        <sz val="11"/>
        <color theme="1"/>
        <rFont val="Arial"/>
        <charset val="134"/>
      </rPr>
      <t>+</t>
    </r>
    <r>
      <rPr>
        <b/>
        <sz val="11"/>
        <color theme="1"/>
        <rFont val="Arial"/>
        <charset val="134"/>
      </rPr>
      <t xml:space="preserve"> cells
(%)</t>
    </r>
  </si>
  <si>
    <r>
      <rPr>
        <b/>
        <sz val="11"/>
        <color theme="1"/>
        <rFont val="Arial"/>
        <charset val="134"/>
      </rPr>
      <t>Ki67</t>
    </r>
    <r>
      <rPr>
        <b/>
        <vertAlign val="superscript"/>
        <sz val="11"/>
        <color theme="1"/>
        <rFont val="Arial"/>
        <charset val="134"/>
      </rPr>
      <t>+</t>
    </r>
    <r>
      <rPr>
        <b/>
        <sz val="11"/>
        <color theme="1"/>
        <rFont val="Arial"/>
        <charset val="134"/>
      </rPr>
      <t xml:space="preserve"> cells
(%)</t>
    </r>
  </si>
  <si>
    <t>GFP-RNAi</t>
  </si>
  <si>
    <t>relative levels of CycA proteins</t>
  </si>
  <si>
    <t>time after CHX treatment (hours)</t>
  </si>
  <si>
    <t>uev1a-RNAi</t>
  </si>
  <si>
    <t>ben-RNAi</t>
  </si>
  <si>
    <t>cdc27-RNAi</t>
  </si>
  <si>
    <t>Figure 1</t>
  </si>
  <si>
    <t>Figure 1E</t>
  </si>
  <si>
    <t>Figure 2D</t>
  </si>
  <si>
    <t>Figure 2</t>
  </si>
  <si>
    <t>Figure 3</t>
  </si>
  <si>
    <t>Figure 4</t>
  </si>
  <si>
    <t>Figure 4B</t>
  </si>
  <si>
    <t>Figure 5B</t>
  </si>
  <si>
    <t>Figure 5</t>
  </si>
  <si>
    <r>
      <t>nos&gt;Ras</t>
    </r>
    <r>
      <rPr>
        <b/>
        <i/>
        <vertAlign val="superscript"/>
        <sz val="11"/>
        <rFont val="Arial"/>
        <charset val="134"/>
      </rPr>
      <t xml:space="preserve">G12V
</t>
    </r>
    <r>
      <rPr>
        <b/>
        <i/>
        <sz val="11"/>
        <rFont val="Arial"/>
        <charset val="134"/>
      </rPr>
      <t>+lmgA-i</t>
    </r>
  </si>
  <si>
    <t>Figure 2-figure supplement 1</t>
  </si>
  <si>
    <t>Figure 2-figure supplement 1B</t>
  </si>
  <si>
    <t>Figure 2G</t>
  </si>
  <si>
    <t>Figure 3B</t>
  </si>
  <si>
    <t>Figure 3-figure supplement 1</t>
  </si>
  <si>
    <t>Figure 3-figure supplement 1B</t>
  </si>
  <si>
    <t>Figure 4D</t>
  </si>
  <si>
    <r>
      <t>nos&gt;Ras</t>
    </r>
    <r>
      <rPr>
        <b/>
        <i/>
        <vertAlign val="superscript"/>
        <sz val="11"/>
        <rFont val="Arial"/>
        <charset val="134"/>
      </rPr>
      <t xml:space="preserve">G12V
</t>
    </r>
    <r>
      <rPr>
        <b/>
        <i/>
        <sz val="11"/>
        <rFont val="Arial"/>
        <charset val="134"/>
      </rPr>
      <t>+uev1a-i</t>
    </r>
  </si>
  <si>
    <t>Figure 4G</t>
  </si>
  <si>
    <t>relative 
CycA 
expression</t>
  </si>
  <si>
    <t>Figure 5D</t>
  </si>
  <si>
    <t>Figure 5-figure supplement 2</t>
  </si>
  <si>
    <t>Figure 5-figure supplement 2B</t>
  </si>
  <si>
    <t>Figure 6</t>
  </si>
  <si>
    <t>Figure 6D</t>
  </si>
  <si>
    <t>Figure 7</t>
  </si>
  <si>
    <t>Figure 7B</t>
  </si>
  <si>
    <t>Figure 7E</t>
  </si>
  <si>
    <t>Figure 8 figure supplement 1</t>
  </si>
  <si>
    <t>Figure 8 figure supplement 1A</t>
  </si>
  <si>
    <t>Figure 8 figure supplement 1B</t>
  </si>
  <si>
    <t>Figure 8</t>
  </si>
  <si>
    <t>Figure 9</t>
  </si>
  <si>
    <t>Figures 9B and 9D</t>
  </si>
  <si>
    <t>Figure 9 figure supplement 2</t>
  </si>
  <si>
    <t>Figure 9 figure supplement 2B and 2D</t>
  </si>
  <si>
    <t>Figure 9 figure supplement 2E</t>
  </si>
  <si>
    <t>Figure 8B, 8C, 8E, and 8F</t>
  </si>
  <si>
    <r>
      <rPr>
        <b/>
        <i/>
        <sz val="11"/>
        <color theme="1"/>
        <rFont val="Arial"/>
        <family val="2"/>
      </rPr>
      <t>UBE2V1</t>
    </r>
    <r>
      <rPr>
        <b/>
        <sz val="11"/>
        <color theme="1"/>
        <rFont val="Arial"/>
        <family val="2"/>
      </rPr>
      <t xml:space="preserve"> knock-down efficiency</t>
    </r>
  </si>
  <si>
    <r>
      <rPr>
        <b/>
        <i/>
        <sz val="11"/>
        <color theme="1"/>
        <rFont val="Arial"/>
        <family val="2"/>
      </rPr>
      <t>UBE2V2</t>
    </r>
    <r>
      <rPr>
        <b/>
        <sz val="11"/>
        <color theme="1"/>
        <rFont val="Arial"/>
        <family val="2"/>
      </rPr>
      <t xml:space="preserve"> knock-down efficiency</t>
    </r>
  </si>
  <si>
    <t>Figure 8 figure supplement 2</t>
  </si>
  <si>
    <t>Figure 8 figure supplement 2A and 2C</t>
  </si>
  <si>
    <t>Figure 8 figure supplement 2B and 2D</t>
  </si>
  <si>
    <t>shNC</t>
  </si>
  <si>
    <t>shUBE2V1 #1</t>
  </si>
  <si>
    <t>shUBE2V2 #1</t>
  </si>
  <si>
    <t>shUBE2V1 #2</t>
  </si>
  <si>
    <t>shUBE2V2 #2</t>
  </si>
  <si>
    <t>shUBE2V1+shUBE2V2</t>
  </si>
  <si>
    <t>Figure 8D and 8G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</si>
</sst>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"/>
  </numFmts>
  <fonts count="21">
    <font>
      <sz val="11"/>
      <color theme="1"/>
      <name val="Calibri"/>
      <charset val="134"/>
      <scheme val="minor"/>
    </font>
    <font>
      <sz val="11"/>
      <color theme="1"/>
      <name val="Arial"/>
      <family val="2"/>
    </font>
    <font>
      <sz val="11"/>
      <color theme="1"/>
      <name val="Arial"/>
      <charset val="134"/>
    </font>
    <font>
      <b/>
      <sz val="11"/>
      <color theme="1"/>
      <name val="Arial"/>
      <charset val="134"/>
    </font>
    <font>
      <b/>
      <i/>
      <sz val="11"/>
      <name val="Arial"/>
      <charset val="134"/>
    </font>
    <font>
      <b/>
      <sz val="11"/>
      <name val="Arial"/>
      <charset val="134"/>
    </font>
    <font>
      <sz val="11"/>
      <name val="Arial"/>
    </font>
    <font>
      <sz val="11"/>
      <name val="Arial"/>
      <charset val="134"/>
    </font>
    <font>
      <b/>
      <sz val="11"/>
      <color theme="1"/>
      <name val="Calibri"/>
      <charset val="134"/>
      <scheme val="minor"/>
    </font>
    <font>
      <b/>
      <i/>
      <vertAlign val="superscript"/>
      <sz val="11"/>
      <name val="Arial"/>
      <charset val="134"/>
    </font>
    <font>
      <b/>
      <vertAlign val="superscript"/>
      <sz val="11"/>
      <color theme="1"/>
      <name val="Arial"/>
      <charset val="134"/>
    </font>
    <font>
      <sz val="11"/>
      <color theme="1"/>
      <name val="Calibri"/>
      <charset val="134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/>
    </xf>
    <xf numFmtId="10" fontId="0" fillId="0" borderId="0" xfId="1" applyNumberFormat="1" applyFont="1"/>
    <xf numFmtId="0" fontId="2" fillId="0" borderId="0" xfId="0" applyFont="1" applyAlignment="1">
      <alignment horizontal="center"/>
    </xf>
    <xf numFmtId="2" fontId="2" fillId="0" borderId="0" xfId="0" applyNumberFormat="1" applyFont="1"/>
    <xf numFmtId="2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/>
    </xf>
    <xf numFmtId="10" fontId="3" fillId="0" borderId="0" xfId="1" applyNumberFormat="1" applyFont="1" applyAlignment="1">
      <alignment horizontal="center" wrapText="1"/>
    </xf>
    <xf numFmtId="10" fontId="5" fillId="0" borderId="0" xfId="1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3" fillId="0" borderId="0" xfId="1" applyNumberFormat="1" applyFont="1" applyAlignment="1">
      <alignment horizontal="center"/>
    </xf>
    <xf numFmtId="10" fontId="3" fillId="0" borderId="0" xfId="1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" fontId="3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wrapText="1"/>
    </xf>
    <xf numFmtId="2" fontId="0" fillId="0" borderId="0" xfId="0" applyNumberFormat="1" applyAlignment="1">
      <alignment horizontal="center" wrapText="1"/>
    </xf>
    <xf numFmtId="2" fontId="8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0" fontId="1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2" fontId="3" fillId="0" borderId="0" xfId="1" applyNumberFormat="1" applyFont="1" applyAlignment="1">
      <alignment horizontal="center"/>
    </xf>
    <xf numFmtId="2" fontId="17" fillId="0" borderId="0" xfId="0" applyNumberFormat="1" applyFont="1" applyAlignment="1">
      <alignment horizontal="center" wrapText="1"/>
    </xf>
    <xf numFmtId="2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2" fontId="1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8" fillId="0" borderId="0" xfId="0" applyFont="1" applyAlignment="1">
      <alignment horizontal="center" wrapText="1"/>
    </xf>
    <xf numFmtId="2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2" fontId="3" fillId="0" borderId="0" xfId="0" applyNumberFormat="1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2" fontId="0" fillId="0" borderId="0" xfId="0" applyNumberFormat="1" applyAlignment="1">
      <alignment horizontal="center" wrapText="1"/>
    </xf>
    <xf numFmtId="10" fontId="12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 wrapText="1"/>
    </xf>
    <xf numFmtId="10" fontId="14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10" fontId="12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2" fontId="12" fillId="0" borderId="0" xfId="0" applyNumberFormat="1" applyFont="1" applyAlignment="1">
      <alignment horizontal="center" wrapText="1"/>
    </xf>
    <xf numFmtId="0" fontId="18" fillId="0" borderId="0" xfId="0" applyFont="1" applyAlignment="1">
      <alignment horizontal="center"/>
    </xf>
    <xf numFmtId="2" fontId="12" fillId="0" borderId="0" xfId="0" applyNumberFormat="1" applyFont="1" applyAlignment="1">
      <alignment horizontal="center" vertical="center"/>
    </xf>
    <xf numFmtId="0" fontId="16" fillId="0" borderId="0" xfId="0" applyFont="1"/>
    <xf numFmtId="2" fontId="14" fillId="0" borderId="0" xfId="0" applyNumberFormat="1" applyFont="1" applyAlignment="1">
      <alignment horizontal="center"/>
    </xf>
    <xf numFmtId="0" fontId="0" fillId="0" borderId="0" xfId="0" applyAlignment="1">
      <alignment horizontal="center" vertical="center" wrapText="1"/>
    </xf>
    <xf numFmtId="2" fontId="20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19" fillId="0" borderId="0" xfId="0" applyNumberFormat="1" applyFont="1" applyAlignment="1">
      <alignment horizontal="center"/>
    </xf>
    <xf numFmtId="2" fontId="14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2" fontId="20" fillId="0" borderId="0" xfId="0" applyNumberFormat="1" applyFont="1"/>
    <xf numFmtId="2" fontId="19" fillId="0" borderId="0" xfId="0" applyNumberFormat="1" applyFont="1"/>
    <xf numFmtId="2" fontId="18" fillId="0" borderId="0" xfId="0" applyNumberFormat="1" applyFont="1" applyAlignment="1">
      <alignment horizontal="center"/>
    </xf>
  </cellXfs>
  <cellStyles count="2">
    <cellStyle name="常规" xfId="0" builtinId="0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Q312"/>
  <sheetViews>
    <sheetView tabSelected="1" workbookViewId="0">
      <pane ySplit="3" topLeftCell="A4" activePane="bottomLeft" state="frozen"/>
      <selection pane="bottomLeft" sqref="A1:H1"/>
    </sheetView>
  </sheetViews>
  <sheetFormatPr defaultColWidth="9" defaultRowHeight="14.25"/>
  <cols>
    <col min="1" max="1" width="10.6640625" customWidth="1"/>
    <col min="2" max="2" width="13.796875" style="1" customWidth="1"/>
    <col min="3" max="3" width="9.9296875" style="1" customWidth="1"/>
    <col min="4" max="4" width="14.796875" style="1" customWidth="1"/>
    <col min="5" max="6" width="13.796875" style="1" customWidth="1"/>
    <col min="7" max="7" width="20" style="1" customWidth="1"/>
    <col min="8" max="8" width="22" style="1" customWidth="1"/>
    <col min="9" max="9" width="10.59765625" customWidth="1"/>
    <col min="10" max="10" width="11.265625" customWidth="1"/>
    <col min="11" max="13" width="13.265625" customWidth="1"/>
    <col min="14" max="15" width="14.265625" customWidth="1"/>
    <col min="16" max="16" width="10.73046875" customWidth="1"/>
    <col min="17" max="20" width="13.265625" customWidth="1"/>
    <col min="21" max="21" width="10.9296875" customWidth="1"/>
    <col min="22" max="22" width="10" customWidth="1"/>
    <col min="23" max="23" width="11.73046875" customWidth="1"/>
    <col min="24" max="25" width="12.06640625" customWidth="1"/>
    <col min="26" max="26" width="10.9296875" customWidth="1"/>
    <col min="27" max="30" width="13.265625" customWidth="1"/>
    <col min="31" max="31" width="10.6640625" customWidth="1"/>
    <col min="32" max="33" width="12.06640625" customWidth="1"/>
    <col min="34" max="34" width="10.59765625" customWidth="1"/>
    <col min="35" max="37" width="13.265625" customWidth="1"/>
    <col min="38" max="38" width="10.6640625" customWidth="1"/>
    <col min="39" max="39" width="10.796875" customWidth="1"/>
    <col min="40" max="40" width="10.86328125" customWidth="1"/>
    <col min="41" max="41" width="10.6640625" customWidth="1"/>
    <col min="42" max="42" width="9.1328125" customWidth="1"/>
    <col min="43" max="44" width="10.796875" customWidth="1"/>
    <col min="45" max="46" width="13.265625" style="5" bestFit="1" customWidth="1"/>
    <col min="47" max="47" width="11" customWidth="1"/>
    <col min="48" max="48" width="22.06640625" customWidth="1"/>
    <col min="49" max="49" width="23.265625" customWidth="1"/>
    <col min="50" max="50" width="22.73046875" customWidth="1"/>
    <col min="51" max="53" width="22.06640625" customWidth="1"/>
    <col min="54" max="54" width="10.53125" customWidth="1"/>
    <col min="55" max="58" width="13.265625" customWidth="1"/>
    <col min="59" max="59" width="10.9296875" customWidth="1"/>
    <col min="60" max="60" width="10.1328125" customWidth="1"/>
    <col min="61" max="61" width="14.1328125" customWidth="1"/>
    <col min="62" max="63" width="13.265625" customWidth="1"/>
    <col min="64" max="65" width="17.9296875" customWidth="1"/>
    <col min="66" max="66" width="31.06640625" bestFit="1" customWidth="1"/>
    <col min="67" max="67" width="11.796875" customWidth="1"/>
    <col min="68" max="68" width="10.3984375" customWidth="1"/>
    <col min="69" max="69" width="11.06640625" customWidth="1"/>
    <col min="70" max="70" width="15.265625" customWidth="1"/>
    <col min="71" max="74" width="20.33203125" customWidth="1"/>
    <col min="75" max="75" width="14.265625" customWidth="1"/>
    <col min="76" max="76" width="9.86328125" customWidth="1"/>
    <col min="77" max="77" width="11.9296875" customWidth="1"/>
    <col min="78" max="78" width="13.3984375" customWidth="1"/>
    <col min="79" max="79" width="6.3984375" style="74" bestFit="1" customWidth="1"/>
    <col min="80" max="80" width="22.33203125" style="74" bestFit="1" customWidth="1"/>
    <col min="81" max="81" width="6.73046875" bestFit="1" customWidth="1"/>
    <col min="82" max="87" width="4.46484375" style="78" bestFit="1" customWidth="1"/>
    <col min="88" max="88" width="10.9296875" customWidth="1"/>
    <col min="89" max="89" width="13.53125" style="1" customWidth="1"/>
    <col min="90" max="90" width="13.6640625" style="3" customWidth="1"/>
    <col min="91" max="91" width="10.9296875" customWidth="1"/>
    <col min="92" max="92" width="13.53125" customWidth="1"/>
    <col min="93" max="94" width="13.6640625" customWidth="1"/>
    <col min="95" max="95" width="9.19921875" style="74" bestFit="1" customWidth="1"/>
    <col min="96" max="96" width="13.9296875" style="74" bestFit="1" customWidth="1"/>
    <col min="97" max="97" width="13.6640625" style="74" customWidth="1"/>
    <col min="98" max="98" width="6.73046875" bestFit="1" customWidth="1"/>
    <col min="99" max="104" width="5.33203125" style="74" customWidth="1"/>
    <col min="105" max="105" width="11.06640625" style="5" customWidth="1"/>
    <col min="106" max="106" width="7.33203125" style="5" customWidth="1"/>
    <col min="107" max="108" width="11.53125" style="5" customWidth="1"/>
    <col min="109" max="109" width="6.59765625" style="5" customWidth="1"/>
    <col min="110" max="110" width="7.6640625" style="5" customWidth="1"/>
    <col min="111" max="111" width="6.59765625" style="5" customWidth="1"/>
    <col min="112" max="112" width="13.06640625" customWidth="1"/>
    <col min="113" max="113" width="7.33203125" customWidth="1"/>
    <col min="114" max="115" width="11.53125" customWidth="1"/>
    <col min="116" max="116" width="6.73046875" style="4" customWidth="1"/>
    <col min="117" max="121" width="4.46484375" style="4" customWidth="1"/>
  </cols>
  <sheetData>
    <row r="1" spans="1:121">
      <c r="A1" s="37" t="s">
        <v>90</v>
      </c>
      <c r="B1" s="38"/>
      <c r="C1" s="38"/>
      <c r="D1" s="38"/>
      <c r="E1" s="38"/>
      <c r="F1" s="38"/>
      <c r="G1" s="38"/>
      <c r="H1" s="38"/>
      <c r="I1" s="36" t="s">
        <v>93</v>
      </c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 t="s">
        <v>100</v>
      </c>
      <c r="V1" s="37"/>
      <c r="W1" s="37"/>
      <c r="X1" s="37"/>
      <c r="Y1" s="37"/>
      <c r="Z1" s="36" t="s">
        <v>94</v>
      </c>
      <c r="AA1" s="39"/>
      <c r="AB1" s="39"/>
      <c r="AC1" s="39"/>
      <c r="AD1" s="39"/>
      <c r="AE1" s="36" t="s">
        <v>104</v>
      </c>
      <c r="AF1" s="38"/>
      <c r="AG1" s="38"/>
      <c r="AH1" s="36" t="s">
        <v>95</v>
      </c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6" t="s">
        <v>98</v>
      </c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 t="s">
        <v>111</v>
      </c>
      <c r="BH1" s="37"/>
      <c r="BI1" s="37"/>
      <c r="BJ1" s="37"/>
      <c r="BK1" s="37"/>
      <c r="BL1" s="37"/>
      <c r="BM1" s="37"/>
      <c r="BN1" s="36" t="s">
        <v>113</v>
      </c>
      <c r="BO1" s="37"/>
      <c r="BP1" s="37"/>
      <c r="BQ1" s="37"/>
      <c r="BR1" s="36" t="s">
        <v>115</v>
      </c>
      <c r="BS1" s="37"/>
      <c r="BT1" s="37"/>
      <c r="BU1" s="37"/>
      <c r="BV1" s="37"/>
      <c r="BW1" s="37"/>
      <c r="BX1" s="37"/>
      <c r="BY1" s="37"/>
      <c r="BZ1" s="36" t="s">
        <v>121</v>
      </c>
      <c r="CA1" s="38"/>
      <c r="CB1" s="38"/>
      <c r="CC1" s="38"/>
      <c r="CD1" s="38"/>
      <c r="CE1" s="38"/>
      <c r="CF1" s="38"/>
      <c r="CG1" s="38"/>
      <c r="CH1" s="38"/>
      <c r="CI1" s="38"/>
      <c r="CJ1" s="36" t="s">
        <v>118</v>
      </c>
      <c r="CK1" s="38"/>
      <c r="CL1" s="38"/>
      <c r="CM1" s="38"/>
      <c r="CN1" s="38"/>
      <c r="CO1" s="38"/>
      <c r="CP1" s="36" t="s">
        <v>130</v>
      </c>
      <c r="CQ1" s="38"/>
      <c r="CR1" s="38"/>
      <c r="CS1" s="38"/>
      <c r="CT1" s="38"/>
      <c r="CU1" s="38"/>
      <c r="CV1" s="38"/>
      <c r="CW1" s="38"/>
      <c r="CX1" s="38"/>
      <c r="CY1" s="38"/>
      <c r="CZ1" s="38"/>
      <c r="DA1" s="36" t="s">
        <v>122</v>
      </c>
      <c r="DB1" s="36"/>
      <c r="DC1" s="36"/>
      <c r="DD1" s="36"/>
      <c r="DE1" s="36"/>
      <c r="DF1" s="36"/>
      <c r="DG1" s="36"/>
      <c r="DH1" s="36" t="s">
        <v>124</v>
      </c>
      <c r="DI1" s="36"/>
      <c r="DJ1" s="36"/>
      <c r="DK1" s="36"/>
      <c r="DL1" s="36"/>
      <c r="DM1" s="36"/>
      <c r="DN1" s="36"/>
      <c r="DO1" s="36"/>
      <c r="DP1" s="36"/>
      <c r="DQ1" s="36"/>
    </row>
    <row r="2" spans="1:121">
      <c r="A2" s="37" t="s">
        <v>91</v>
      </c>
      <c r="B2" s="37"/>
      <c r="C2" s="37"/>
      <c r="D2" s="37"/>
      <c r="E2" s="37"/>
      <c r="F2" s="37"/>
      <c r="G2" s="37"/>
      <c r="H2" s="37"/>
      <c r="I2" s="36" t="s">
        <v>92</v>
      </c>
      <c r="J2" s="37"/>
      <c r="K2" s="37"/>
      <c r="L2" s="37"/>
      <c r="M2" s="37"/>
      <c r="N2" s="37"/>
      <c r="O2" s="37"/>
      <c r="P2" s="36" t="s">
        <v>102</v>
      </c>
      <c r="Q2" s="38"/>
      <c r="R2" s="38"/>
      <c r="S2" s="38"/>
      <c r="T2" s="38"/>
      <c r="U2" s="36" t="s">
        <v>101</v>
      </c>
      <c r="V2" s="37"/>
      <c r="W2" s="37"/>
      <c r="X2" s="37"/>
      <c r="Y2" s="37"/>
      <c r="Z2" s="36" t="s">
        <v>103</v>
      </c>
      <c r="AA2" s="37"/>
      <c r="AB2" s="37"/>
      <c r="AC2" s="37"/>
      <c r="AD2" s="37"/>
      <c r="AE2" s="36" t="s">
        <v>105</v>
      </c>
      <c r="AF2" s="38"/>
      <c r="AG2" s="38"/>
      <c r="AH2" s="36" t="s">
        <v>96</v>
      </c>
      <c r="AI2" s="37"/>
      <c r="AJ2" s="37"/>
      <c r="AK2" s="37"/>
      <c r="AL2" s="36" t="s">
        <v>106</v>
      </c>
      <c r="AM2" s="37"/>
      <c r="AN2" s="37"/>
      <c r="AO2" s="37"/>
      <c r="AP2" s="37"/>
      <c r="AQ2" s="37"/>
      <c r="AR2" s="36" t="s">
        <v>108</v>
      </c>
      <c r="AS2" s="38"/>
      <c r="AT2" s="38"/>
      <c r="AU2" s="36" t="s">
        <v>97</v>
      </c>
      <c r="AV2" s="38"/>
      <c r="AW2" s="38"/>
      <c r="AX2" s="38"/>
      <c r="AY2" s="38"/>
      <c r="AZ2" s="38"/>
      <c r="BA2" s="38"/>
      <c r="BB2" s="36" t="s">
        <v>110</v>
      </c>
      <c r="BC2" s="37"/>
      <c r="BD2" s="37"/>
      <c r="BE2" s="37"/>
      <c r="BF2" s="37"/>
      <c r="BG2" s="36" t="s">
        <v>112</v>
      </c>
      <c r="BH2" s="37"/>
      <c r="BI2" s="37"/>
      <c r="BJ2" s="37"/>
      <c r="BK2" s="37"/>
      <c r="BL2" s="37"/>
      <c r="BM2" s="37"/>
      <c r="BN2" s="36" t="s">
        <v>114</v>
      </c>
      <c r="BO2" s="38"/>
      <c r="BP2" s="38"/>
      <c r="BQ2" s="38"/>
      <c r="BR2" s="36" t="s">
        <v>116</v>
      </c>
      <c r="BS2" s="37"/>
      <c r="BT2" s="37"/>
      <c r="BU2" s="37"/>
      <c r="BV2" s="37"/>
      <c r="BW2" s="36" t="s">
        <v>117</v>
      </c>
      <c r="BX2" s="37"/>
      <c r="BY2" s="37"/>
      <c r="BZ2" s="36" t="s">
        <v>127</v>
      </c>
      <c r="CA2" s="38"/>
      <c r="CB2" s="38"/>
      <c r="CC2" s="36" t="s">
        <v>139</v>
      </c>
      <c r="CD2" s="38"/>
      <c r="CE2" s="38"/>
      <c r="CF2" s="38"/>
      <c r="CG2" s="38"/>
      <c r="CH2" s="38"/>
      <c r="CI2" s="38"/>
      <c r="CJ2" s="36" t="s">
        <v>119</v>
      </c>
      <c r="CK2" s="38"/>
      <c r="CL2" s="38"/>
      <c r="CM2" s="36" t="s">
        <v>120</v>
      </c>
      <c r="CN2" s="38"/>
      <c r="CO2" s="38"/>
      <c r="CP2" s="36" t="s">
        <v>131</v>
      </c>
      <c r="CQ2" s="38"/>
      <c r="CR2" s="38"/>
      <c r="CS2" s="38"/>
      <c r="CT2" s="36" t="s">
        <v>132</v>
      </c>
      <c r="CU2" s="38"/>
      <c r="CV2" s="38"/>
      <c r="CW2" s="38"/>
      <c r="CX2" s="38"/>
      <c r="CY2" s="38"/>
      <c r="CZ2" s="38"/>
      <c r="DA2" s="40" t="s">
        <v>123</v>
      </c>
      <c r="DB2" s="42"/>
      <c r="DC2" s="42"/>
      <c r="DD2" s="42"/>
      <c r="DE2" s="42"/>
      <c r="DF2" s="42"/>
      <c r="DG2" s="42"/>
      <c r="DH2" s="36" t="s">
        <v>125</v>
      </c>
      <c r="DI2" s="38"/>
      <c r="DJ2" s="38"/>
      <c r="DK2" s="38"/>
      <c r="DL2" s="40" t="s">
        <v>126</v>
      </c>
      <c r="DM2" s="41"/>
      <c r="DN2" s="41"/>
      <c r="DO2" s="41"/>
      <c r="DP2" s="41"/>
      <c r="DQ2" s="41"/>
    </row>
    <row r="3" spans="1:121" s="1" customFormat="1" ht="33.4" customHeight="1">
      <c r="B3" s="7" t="s">
        <v>0</v>
      </c>
      <c r="C3" s="8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8"/>
      <c r="J3" s="8" t="s">
        <v>7</v>
      </c>
      <c r="K3" s="7" t="s">
        <v>8</v>
      </c>
      <c r="L3" s="7" t="s">
        <v>9</v>
      </c>
      <c r="M3" s="7" t="s">
        <v>10</v>
      </c>
      <c r="N3" s="7" t="s">
        <v>11</v>
      </c>
      <c r="O3" s="7" t="s">
        <v>12</v>
      </c>
      <c r="P3" s="7"/>
      <c r="Q3" s="7" t="s">
        <v>13</v>
      </c>
      <c r="R3" s="7" t="s">
        <v>14</v>
      </c>
      <c r="S3" s="7" t="s">
        <v>15</v>
      </c>
      <c r="T3" s="7" t="s">
        <v>16</v>
      </c>
      <c r="V3" s="8" t="s">
        <v>7</v>
      </c>
      <c r="W3" s="7" t="s">
        <v>43</v>
      </c>
      <c r="X3" s="7" t="s">
        <v>44</v>
      </c>
      <c r="Y3" s="7" t="s">
        <v>45</v>
      </c>
      <c r="Z3" s="7"/>
      <c r="AA3" s="7" t="s">
        <v>9</v>
      </c>
      <c r="AB3" s="7" t="s">
        <v>48</v>
      </c>
      <c r="AC3" s="7" t="s">
        <v>49</v>
      </c>
      <c r="AD3" s="7" t="s">
        <v>50</v>
      </c>
      <c r="AE3" s="7"/>
      <c r="AF3" s="7" t="s">
        <v>46</v>
      </c>
      <c r="AG3" s="7" t="s">
        <v>47</v>
      </c>
      <c r="AH3" s="7"/>
      <c r="AI3" s="7" t="s">
        <v>9</v>
      </c>
      <c r="AJ3" s="7" t="s">
        <v>17</v>
      </c>
      <c r="AK3" s="7" t="s">
        <v>18</v>
      </c>
      <c r="AM3" s="8" t="s">
        <v>19</v>
      </c>
      <c r="AN3" s="8" t="s">
        <v>20</v>
      </c>
      <c r="AO3" s="8" t="s">
        <v>21</v>
      </c>
      <c r="AP3" s="8" t="s">
        <v>22</v>
      </c>
      <c r="AQ3" s="7" t="s">
        <v>23</v>
      </c>
      <c r="AR3" s="7"/>
      <c r="AS3" s="32" t="s">
        <v>9</v>
      </c>
      <c r="AT3" s="34" t="s">
        <v>107</v>
      </c>
      <c r="AU3" s="7"/>
      <c r="AV3" s="7" t="s">
        <v>24</v>
      </c>
      <c r="AW3" s="7" t="s">
        <v>25</v>
      </c>
      <c r="AX3" s="7" t="s">
        <v>26</v>
      </c>
      <c r="AY3" s="7" t="s">
        <v>27</v>
      </c>
      <c r="AZ3" s="7" t="s">
        <v>28</v>
      </c>
      <c r="BA3" s="7" t="s">
        <v>29</v>
      </c>
      <c r="BB3" s="7"/>
      <c r="BC3" s="7" t="s">
        <v>9</v>
      </c>
      <c r="BD3" s="7" t="s">
        <v>30</v>
      </c>
      <c r="BE3" s="7" t="s">
        <v>31</v>
      </c>
      <c r="BF3" s="7" t="s">
        <v>99</v>
      </c>
      <c r="BH3" s="7" t="s">
        <v>51</v>
      </c>
      <c r="BI3" s="7" t="s">
        <v>52</v>
      </c>
      <c r="BJ3" s="7" t="s">
        <v>53</v>
      </c>
      <c r="BK3" s="7" t="s">
        <v>54</v>
      </c>
      <c r="BL3" s="7" t="s">
        <v>55</v>
      </c>
      <c r="BM3" s="7" t="s">
        <v>56</v>
      </c>
      <c r="BN3" s="38"/>
      <c r="BO3" s="38"/>
      <c r="BP3" s="38"/>
      <c r="BQ3" s="38"/>
      <c r="BS3" s="7" t="s">
        <v>32</v>
      </c>
      <c r="BT3" s="7" t="s">
        <v>33</v>
      </c>
      <c r="BU3" s="7" t="s">
        <v>34</v>
      </c>
      <c r="BV3" s="7" t="s">
        <v>35</v>
      </c>
      <c r="BW3" s="7"/>
      <c r="BX3" s="7" t="s">
        <v>36</v>
      </c>
      <c r="BY3" s="7" t="s">
        <v>37</v>
      </c>
      <c r="BZ3" s="45" t="s">
        <v>40</v>
      </c>
      <c r="CA3" s="64"/>
      <c r="CB3" s="64"/>
      <c r="CC3" s="45" t="s">
        <v>42</v>
      </c>
      <c r="CD3" s="64"/>
      <c r="CE3" s="64"/>
      <c r="CF3" s="64"/>
      <c r="CG3" s="64"/>
      <c r="CH3" s="64"/>
      <c r="CI3" s="64"/>
      <c r="CJ3" s="7"/>
      <c r="CK3" s="7" t="s">
        <v>38</v>
      </c>
      <c r="CL3" s="7" t="s">
        <v>39</v>
      </c>
      <c r="CM3" s="7"/>
      <c r="CN3" s="7" t="s">
        <v>38</v>
      </c>
      <c r="CO3" s="7" t="s">
        <v>39</v>
      </c>
      <c r="CP3" s="45" t="s">
        <v>40</v>
      </c>
      <c r="CQ3" s="64"/>
      <c r="CR3" s="64"/>
      <c r="CS3" s="64"/>
      <c r="CT3" s="45" t="s">
        <v>42</v>
      </c>
      <c r="CU3" s="64"/>
      <c r="CV3" s="64"/>
      <c r="CW3" s="64"/>
      <c r="CX3" s="64"/>
      <c r="CY3" s="64"/>
      <c r="CZ3" s="64"/>
      <c r="DA3" s="24"/>
      <c r="DB3" s="24"/>
      <c r="DC3" s="24"/>
      <c r="DD3" s="24"/>
      <c r="DE3" s="24"/>
      <c r="DF3" s="24"/>
      <c r="DG3" s="25"/>
      <c r="DH3" s="43" t="s">
        <v>40</v>
      </c>
      <c r="DI3" s="44"/>
      <c r="DJ3" s="44"/>
      <c r="DK3" s="44"/>
      <c r="DL3" s="66" t="s">
        <v>42</v>
      </c>
      <c r="DM3" s="46"/>
      <c r="DN3" s="46"/>
      <c r="DO3" s="46"/>
      <c r="DP3" s="46"/>
      <c r="DQ3" s="46"/>
    </row>
    <row r="4" spans="1:121" ht="16.25" customHeight="1">
      <c r="A4" s="47" t="s">
        <v>57</v>
      </c>
      <c r="B4" s="10">
        <v>0</v>
      </c>
      <c r="C4" s="10">
        <f>1/47</f>
        <v>2.1276595744680851E-2</v>
      </c>
      <c r="D4" s="10">
        <f>3/69</f>
        <v>4.3478260869565216E-2</v>
      </c>
      <c r="E4" s="10">
        <v>0</v>
      </c>
      <c r="F4" s="10">
        <v>0</v>
      </c>
      <c r="G4" s="10">
        <v>0</v>
      </c>
      <c r="H4" s="10">
        <v>0</v>
      </c>
      <c r="I4" s="47" t="s">
        <v>57</v>
      </c>
      <c r="J4" s="13">
        <f>0</f>
        <v>0</v>
      </c>
      <c r="K4" s="13">
        <f>1-14/76</f>
        <v>0.81578947368421051</v>
      </c>
      <c r="L4" s="13">
        <f>47/110</f>
        <v>0.42727272727272725</v>
      </c>
      <c r="M4" s="13">
        <v>1</v>
      </c>
      <c r="N4" s="13">
        <f>1-1/44</f>
        <v>0.97727272727272729</v>
      </c>
      <c r="O4" s="13">
        <f>1-6/51</f>
        <v>0.88235294117647056</v>
      </c>
      <c r="P4" s="47" t="s">
        <v>57</v>
      </c>
      <c r="Q4" s="13">
        <f>1-22/98</f>
        <v>0.77551020408163263</v>
      </c>
      <c r="R4" s="13">
        <f>37/100</f>
        <v>0.37</v>
      </c>
      <c r="S4" s="13">
        <f>20/98</f>
        <v>0.20408163265306123</v>
      </c>
      <c r="T4" s="13">
        <f>54/102</f>
        <v>0.52941176470588236</v>
      </c>
      <c r="U4" s="47" t="s">
        <v>57</v>
      </c>
      <c r="V4" s="13">
        <f>2/98</f>
        <v>2.0408163265306121E-2</v>
      </c>
      <c r="W4" s="13">
        <f>2/48</f>
        <v>4.1666666666666664E-2</v>
      </c>
      <c r="X4" s="13">
        <f>2/50</f>
        <v>0.04</v>
      </c>
      <c r="Y4" s="13">
        <v>0</v>
      </c>
      <c r="Z4" s="47" t="s">
        <v>57</v>
      </c>
      <c r="AA4" s="13">
        <f>47/110</f>
        <v>0.42727272727272725</v>
      </c>
      <c r="AB4" s="13">
        <f>1</f>
        <v>1</v>
      </c>
      <c r="AC4" s="13">
        <f>1-7/90</f>
        <v>0.92222222222222228</v>
      </c>
      <c r="AD4" s="13">
        <f>8/131</f>
        <v>6.1068702290076333E-2</v>
      </c>
      <c r="AE4" s="59" t="s">
        <v>66</v>
      </c>
      <c r="AF4" s="13">
        <f>4/92</f>
        <v>4.3478260869565216E-2</v>
      </c>
      <c r="AG4" s="13">
        <f>14/148</f>
        <v>9.45945945945946E-2</v>
      </c>
      <c r="AH4" s="47" t="s">
        <v>57</v>
      </c>
      <c r="AI4" s="13">
        <f>47/110</f>
        <v>0.42727272727272725</v>
      </c>
      <c r="AJ4" s="13">
        <f>1/38</f>
        <v>2.6315789473684209E-2</v>
      </c>
      <c r="AK4" s="13">
        <f>13/80</f>
        <v>0.16250000000000001</v>
      </c>
      <c r="AL4" s="47" t="s">
        <v>57</v>
      </c>
      <c r="AM4" s="13">
        <f>37/73</f>
        <v>0.50684931506849318</v>
      </c>
      <c r="AN4" s="13">
        <v>0</v>
      </c>
      <c r="AO4" s="13">
        <v>0</v>
      </c>
      <c r="AP4" s="13">
        <v>0</v>
      </c>
      <c r="AQ4" s="13">
        <f>2/67</f>
        <v>2.9850746268656716E-2</v>
      </c>
      <c r="AR4" s="57" t="s">
        <v>109</v>
      </c>
      <c r="AS4" s="20">
        <v>1.9386041666666667</v>
      </c>
      <c r="AT4" s="20">
        <v>3.5037916666666664</v>
      </c>
      <c r="AU4" s="47" t="s">
        <v>57</v>
      </c>
      <c r="AV4" s="13">
        <f>23/119</f>
        <v>0.19327731092436976</v>
      </c>
      <c r="AW4" s="13">
        <f>37/71</f>
        <v>0.52112676056338025</v>
      </c>
      <c r="AX4" s="13">
        <f>37/41</f>
        <v>0.90243902439024393</v>
      </c>
      <c r="AY4" s="13">
        <f>3/76</f>
        <v>3.9473684210526314E-2</v>
      </c>
      <c r="AZ4" s="13">
        <f>2/45</f>
        <v>4.4444444444444446E-2</v>
      </c>
      <c r="BA4" s="13">
        <v>1</v>
      </c>
      <c r="BB4" s="47" t="s">
        <v>57</v>
      </c>
      <c r="BC4" s="13">
        <f>47/110</f>
        <v>0.42727272727272725</v>
      </c>
      <c r="BD4" s="13">
        <f>1</f>
        <v>1</v>
      </c>
      <c r="BE4" s="13">
        <f>1</f>
        <v>1</v>
      </c>
      <c r="BF4" s="13">
        <f>1-6/99</f>
        <v>0.93939393939393945</v>
      </c>
      <c r="BG4" s="47" t="s">
        <v>57</v>
      </c>
      <c r="BH4" s="13">
        <f>1</f>
        <v>1</v>
      </c>
      <c r="BI4" s="13">
        <f>2/69</f>
        <v>2.8985507246376812E-2</v>
      </c>
      <c r="BJ4" s="13">
        <f>1/41</f>
        <v>2.4390243902439025E-2</v>
      </c>
      <c r="BK4" s="13">
        <f>2/60</f>
        <v>3.3333333333333333E-2</v>
      </c>
      <c r="BL4" s="13">
        <f>4/68</f>
        <v>5.8823529411764705E-2</v>
      </c>
      <c r="BM4" s="13">
        <f>11/54</f>
        <v>0.20370370370370369</v>
      </c>
      <c r="BN4" s="60" t="s">
        <v>84</v>
      </c>
      <c r="BO4" s="61"/>
      <c r="BP4" s="61"/>
      <c r="BQ4" s="61"/>
      <c r="BR4" s="47" t="s">
        <v>58</v>
      </c>
      <c r="BS4" s="16">
        <v>495408.98</v>
      </c>
      <c r="BT4" s="16">
        <v>831283.46</v>
      </c>
      <c r="BU4" s="16">
        <v>284372</v>
      </c>
      <c r="BV4" s="16">
        <v>348656.31</v>
      </c>
      <c r="BW4" s="52" t="s">
        <v>59</v>
      </c>
      <c r="BX4" s="3">
        <v>2</v>
      </c>
      <c r="BY4" s="3">
        <v>2</v>
      </c>
      <c r="BZ4" s="3"/>
      <c r="CA4" s="70" t="s">
        <v>133</v>
      </c>
      <c r="CB4" s="70" t="s">
        <v>138</v>
      </c>
      <c r="CC4" s="36" t="s">
        <v>40</v>
      </c>
      <c r="CD4" s="63"/>
      <c r="CE4" s="63"/>
      <c r="CF4" s="63"/>
      <c r="CG4" s="63"/>
      <c r="CH4" s="63"/>
      <c r="CI4" s="63"/>
      <c r="CJ4" s="47" t="s">
        <v>60</v>
      </c>
      <c r="CK4" s="18">
        <v>0.92895770485761497</v>
      </c>
      <c r="CL4" s="18">
        <v>0.59445300366860898</v>
      </c>
      <c r="CM4" s="47" t="s">
        <v>61</v>
      </c>
      <c r="CN4" s="18">
        <v>3.7375353461887402</v>
      </c>
      <c r="CO4" s="18">
        <v>3.11192437139134</v>
      </c>
      <c r="CP4" s="3"/>
      <c r="CQ4" s="70" t="s">
        <v>133</v>
      </c>
      <c r="CR4" s="70" t="s">
        <v>134</v>
      </c>
      <c r="CS4" s="70" t="s">
        <v>136</v>
      </c>
      <c r="CT4" s="67" t="s">
        <v>40</v>
      </c>
      <c r="CU4" s="63"/>
      <c r="CV4" s="63"/>
      <c r="CW4" s="63"/>
      <c r="CX4" s="63"/>
      <c r="CY4" s="63"/>
      <c r="CZ4" s="63"/>
      <c r="DA4" s="42" t="s">
        <v>65</v>
      </c>
      <c r="DB4" s="42"/>
      <c r="DC4" s="42"/>
      <c r="DD4" s="42"/>
      <c r="DE4" s="42"/>
      <c r="DF4" s="42"/>
      <c r="DG4" s="42"/>
      <c r="DH4" s="3"/>
      <c r="DI4" s="6" t="s">
        <v>62</v>
      </c>
      <c r="DJ4" s="6" t="s">
        <v>63</v>
      </c>
      <c r="DK4" s="6" t="s">
        <v>64</v>
      </c>
      <c r="DL4" s="50" t="s">
        <v>40</v>
      </c>
      <c r="DM4" s="41"/>
      <c r="DN4" s="41"/>
      <c r="DO4" s="41"/>
      <c r="DP4" s="41"/>
      <c r="DQ4" s="41"/>
    </row>
    <row r="5" spans="1:121" ht="14.25" customHeight="1">
      <c r="A5" s="51"/>
      <c r="B5" s="10">
        <f>2/43</f>
        <v>4.6511627906976744E-2</v>
      </c>
      <c r="C5" s="10">
        <v>0</v>
      </c>
      <c r="D5" s="10">
        <f>5/50</f>
        <v>0.1</v>
      </c>
      <c r="E5" s="10">
        <f>1/76</f>
        <v>1.3157894736842105E-2</v>
      </c>
      <c r="F5" s="10">
        <f>1/62</f>
        <v>1.6129032258064516E-2</v>
      </c>
      <c r="G5" s="10">
        <f>1/52</f>
        <v>1.9230769230769232E-2</v>
      </c>
      <c r="H5" s="10">
        <f>1/68</f>
        <v>1.4705882352941176E-2</v>
      </c>
      <c r="I5" s="51"/>
      <c r="J5" s="13">
        <f>1/77</f>
        <v>1.2987012987012988E-2</v>
      </c>
      <c r="K5" s="13">
        <f>1-3/82</f>
        <v>0.96341463414634143</v>
      </c>
      <c r="L5" s="13">
        <f>38/88</f>
        <v>0.43181818181818182</v>
      </c>
      <c r="M5" s="13">
        <f>1-20/102</f>
        <v>0.80392156862745101</v>
      </c>
      <c r="N5" s="13">
        <f>1-4/62</f>
        <v>0.93548387096774199</v>
      </c>
      <c r="O5" s="13">
        <f>1-2/76</f>
        <v>0.97368421052631582</v>
      </c>
      <c r="P5" s="51"/>
      <c r="Q5" s="13">
        <f>1-37/108</f>
        <v>0.65740740740740744</v>
      </c>
      <c r="R5" s="13">
        <f>26/105</f>
        <v>0.24761904761904763</v>
      </c>
      <c r="S5" s="13">
        <f>108/123</f>
        <v>0.87804878048780488</v>
      </c>
      <c r="T5" s="13">
        <f>46/90</f>
        <v>0.51111111111111107</v>
      </c>
      <c r="U5" s="51"/>
      <c r="V5" s="13">
        <v>0</v>
      </c>
      <c r="W5" s="13">
        <f>4/38</f>
        <v>0.10526315789473684</v>
      </c>
      <c r="X5" s="13">
        <v>0</v>
      </c>
      <c r="Y5" s="13">
        <f>1/24</f>
        <v>4.1666666666666664E-2</v>
      </c>
      <c r="Z5" s="51"/>
      <c r="AA5" s="13">
        <f>38/88</f>
        <v>0.43181818181818182</v>
      </c>
      <c r="AB5" s="13">
        <f>1-5/49</f>
        <v>0.89795918367346939</v>
      </c>
      <c r="AC5" s="13">
        <f>1-8/113</f>
        <v>0.92920353982300885</v>
      </c>
      <c r="AD5" s="13">
        <f>25/108</f>
        <v>0.23148148148148148</v>
      </c>
      <c r="AE5" s="48"/>
      <c r="AF5" s="13">
        <f>5/98</f>
        <v>5.1020408163265307E-2</v>
      </c>
      <c r="AG5" s="13">
        <f>28/127</f>
        <v>0.22047244094488189</v>
      </c>
      <c r="AH5" s="51"/>
      <c r="AI5" s="13">
        <f>38/88</f>
        <v>0.43181818181818182</v>
      </c>
      <c r="AJ5" s="13">
        <f>1/52</f>
        <v>1.9230769230769232E-2</v>
      </c>
      <c r="AK5" s="13">
        <f>10/83</f>
        <v>0.12048192771084337</v>
      </c>
      <c r="AL5" s="51"/>
      <c r="AM5" s="13">
        <f>26/53</f>
        <v>0.49056603773584906</v>
      </c>
      <c r="AN5" s="13">
        <f>3/77</f>
        <v>3.896103896103896E-2</v>
      </c>
      <c r="AO5" s="13">
        <v>0</v>
      </c>
      <c r="AP5" s="13">
        <f>2/90</f>
        <v>2.2222222222222223E-2</v>
      </c>
      <c r="AQ5" s="13">
        <f>3/83</f>
        <v>3.614457831325301E-2</v>
      </c>
      <c r="AR5" s="58"/>
      <c r="AS5" s="20">
        <v>1.7678125</v>
      </c>
      <c r="AT5" s="20">
        <v>3.4863124999999999</v>
      </c>
      <c r="AU5" s="51"/>
      <c r="AV5" s="13">
        <f>14/89</f>
        <v>0.15730337078651685</v>
      </c>
      <c r="AW5" s="13">
        <f>37/67</f>
        <v>0.55223880597014929</v>
      </c>
      <c r="AX5" s="13">
        <f>53/60</f>
        <v>0.8833333333333333</v>
      </c>
      <c r="AY5" s="13">
        <f>3/74</f>
        <v>4.0540540540540543E-2</v>
      </c>
      <c r="AZ5" s="13">
        <f>5/62</f>
        <v>8.0645161290322578E-2</v>
      </c>
      <c r="BA5" s="13">
        <f>1-1/51</f>
        <v>0.98039215686274506</v>
      </c>
      <c r="BB5" s="51"/>
      <c r="BC5" s="13">
        <f>38/88</f>
        <v>0.43181818181818182</v>
      </c>
      <c r="BD5" s="13">
        <f>1-7/81</f>
        <v>0.91358024691358031</v>
      </c>
      <c r="BE5" s="13">
        <f>1-5/79</f>
        <v>0.93670886075949367</v>
      </c>
      <c r="BF5" s="13">
        <f>1-25/106</f>
        <v>0.76415094339622636</v>
      </c>
      <c r="BG5" s="51"/>
      <c r="BH5" s="13">
        <f>1-3/92</f>
        <v>0.96739130434782605</v>
      </c>
      <c r="BI5" s="13">
        <f>2/98</f>
        <v>2.0408163265306121E-2</v>
      </c>
      <c r="BJ5" s="13">
        <v>0</v>
      </c>
      <c r="BK5" s="13">
        <v>0</v>
      </c>
      <c r="BL5" s="13">
        <f>9/51</f>
        <v>0.17647058823529413</v>
      </c>
      <c r="BM5" s="13">
        <f>8/44</f>
        <v>0.18181818181818182</v>
      </c>
      <c r="BN5" s="29" t="s">
        <v>86</v>
      </c>
      <c r="BO5" s="62" t="s">
        <v>85</v>
      </c>
      <c r="BP5" s="63"/>
      <c r="BQ5" s="63"/>
      <c r="BR5" s="51"/>
      <c r="BS5" s="16">
        <v>362450.92</v>
      </c>
      <c r="BT5" s="16">
        <v>447685.9</v>
      </c>
      <c r="BU5" s="16">
        <v>347664.75</v>
      </c>
      <c r="BV5" s="16">
        <v>333415.01</v>
      </c>
      <c r="BW5" s="53"/>
      <c r="BX5" s="3">
        <v>3</v>
      </c>
      <c r="BY5" s="3">
        <v>2</v>
      </c>
      <c r="BZ5" s="65" t="s">
        <v>128</v>
      </c>
      <c r="CA5" s="72">
        <v>0.84674531200000003</v>
      </c>
      <c r="CB5" s="72">
        <v>0.61415157499999995</v>
      </c>
      <c r="CC5" s="3"/>
      <c r="CD5" s="75" t="s">
        <v>133</v>
      </c>
      <c r="CE5" s="76"/>
      <c r="CF5" s="76"/>
      <c r="CG5" s="76"/>
      <c r="CH5" s="76"/>
      <c r="CI5" s="76"/>
      <c r="CJ5" s="47"/>
      <c r="CK5" s="18">
        <v>0.60511500168943799</v>
      </c>
      <c r="CL5" s="18">
        <v>0.23278353412245301</v>
      </c>
      <c r="CM5" s="47"/>
      <c r="CN5" s="18">
        <v>2.0015860923540298</v>
      </c>
      <c r="CO5" s="18">
        <v>2.3852377445270001</v>
      </c>
      <c r="CP5" s="65" t="s">
        <v>128</v>
      </c>
      <c r="CQ5" s="72">
        <v>1.099362113</v>
      </c>
      <c r="CR5" s="72">
        <v>0.57170124300000003</v>
      </c>
      <c r="CS5" s="72">
        <v>0.88679138899999999</v>
      </c>
      <c r="CT5" s="3"/>
      <c r="CU5" s="75" t="s">
        <v>133</v>
      </c>
      <c r="CV5" s="76"/>
      <c r="CW5" s="76"/>
      <c r="CX5" s="76"/>
      <c r="CY5" s="76"/>
      <c r="CZ5" s="76"/>
      <c r="DA5" s="20"/>
      <c r="DB5" s="42" t="s">
        <v>62</v>
      </c>
      <c r="DC5" s="49"/>
      <c r="DD5" s="49"/>
      <c r="DE5" s="49"/>
      <c r="DF5" s="49"/>
      <c r="DG5" s="49"/>
      <c r="DH5" s="47" t="s">
        <v>67</v>
      </c>
      <c r="DI5" s="19">
        <v>65.849999999999994</v>
      </c>
      <c r="DJ5" s="19">
        <v>27.78</v>
      </c>
      <c r="DK5" s="19">
        <v>46.67</v>
      </c>
      <c r="DL5" s="21"/>
      <c r="DM5" s="50" t="s">
        <v>62</v>
      </c>
      <c r="DN5" s="41"/>
      <c r="DO5" s="41"/>
      <c r="DP5" s="41"/>
      <c r="DQ5" s="41"/>
    </row>
    <row r="6" spans="1:121" ht="14.25" customHeight="1">
      <c r="A6" s="51"/>
      <c r="B6" s="10">
        <f>1/44</f>
        <v>2.2727272727272728E-2</v>
      </c>
      <c r="C6" s="10">
        <v>0</v>
      </c>
      <c r="D6" s="10">
        <f>6/52</f>
        <v>0.11538461538461539</v>
      </c>
      <c r="E6" s="10">
        <f>1/82</f>
        <v>1.2195121951219513E-2</v>
      </c>
      <c r="F6" s="10">
        <f>2/81</f>
        <v>2.4691358024691357E-2</v>
      </c>
      <c r="G6" s="10">
        <f>2/50</f>
        <v>0.04</v>
      </c>
      <c r="H6" s="10">
        <v>0</v>
      </c>
      <c r="I6" s="51"/>
      <c r="J6" s="13">
        <v>0</v>
      </c>
      <c r="K6" s="13">
        <f>1-21/91</f>
        <v>0.76923076923076916</v>
      </c>
      <c r="L6" s="13">
        <f>64/122</f>
        <v>0.52459016393442626</v>
      </c>
      <c r="M6" s="13">
        <f>1-3/118</f>
        <v>0.97457627118644063</v>
      </c>
      <c r="N6" s="13">
        <f>1-7/79</f>
        <v>0.91139240506329111</v>
      </c>
      <c r="O6" s="13">
        <f>1-10/96</f>
        <v>0.89583333333333337</v>
      </c>
      <c r="P6" s="51"/>
      <c r="Q6" s="13">
        <f>1-11/70</f>
        <v>0.84285714285714286</v>
      </c>
      <c r="R6" s="13">
        <f>13/110</f>
        <v>0.11818181818181818</v>
      </c>
      <c r="S6" s="13">
        <f>56/101</f>
        <v>0.5544554455445545</v>
      </c>
      <c r="T6" s="13">
        <f>30/67</f>
        <v>0.44776119402985076</v>
      </c>
      <c r="U6" s="51"/>
      <c r="V6" s="13">
        <f>2/51</f>
        <v>3.9215686274509803E-2</v>
      </c>
      <c r="W6" s="13">
        <f>5/48</f>
        <v>0.10416666666666667</v>
      </c>
      <c r="X6" s="13">
        <f>4/63</f>
        <v>6.3492063492063489E-2</v>
      </c>
      <c r="Y6" s="13">
        <f>1/12</f>
        <v>8.3333333333333329E-2</v>
      </c>
      <c r="Z6" s="51"/>
      <c r="AA6" s="13">
        <f>64/122</f>
        <v>0.52459016393442626</v>
      </c>
      <c r="AB6" s="13">
        <f>1</f>
        <v>1</v>
      </c>
      <c r="AC6" s="13">
        <f>1</f>
        <v>1</v>
      </c>
      <c r="AD6" s="13">
        <f>25/149</f>
        <v>0.16778523489932887</v>
      </c>
      <c r="AE6" s="48"/>
      <c r="AF6" s="13">
        <f>10/111</f>
        <v>9.0090090090090086E-2</v>
      </c>
      <c r="AG6" s="13">
        <f>29/109</f>
        <v>0.26605504587155965</v>
      </c>
      <c r="AH6" s="51"/>
      <c r="AI6" s="13">
        <f>64/122</f>
        <v>0.52459016393442626</v>
      </c>
      <c r="AJ6" s="13">
        <f>1/58</f>
        <v>1.7241379310344827E-2</v>
      </c>
      <c r="AK6" s="13">
        <f>21/89</f>
        <v>0.23595505617977527</v>
      </c>
      <c r="AL6" s="51"/>
      <c r="AM6" s="13">
        <f>39/74</f>
        <v>0.52702702702702697</v>
      </c>
      <c r="AN6" s="13">
        <v>0</v>
      </c>
      <c r="AO6" s="13">
        <v>0</v>
      </c>
      <c r="AP6" s="13">
        <v>0</v>
      </c>
      <c r="AQ6" s="13">
        <f>6/69</f>
        <v>8.6956521739130432E-2</v>
      </c>
      <c r="AR6" s="58"/>
      <c r="AS6" s="20">
        <v>1.7160416666666667</v>
      </c>
      <c r="AT6" s="20">
        <v>3.2208541666666668</v>
      </c>
      <c r="AU6" s="51"/>
      <c r="AV6" s="13">
        <f>24/96</f>
        <v>0.25</v>
      </c>
      <c r="AW6" s="13">
        <f>44/47</f>
        <v>0.93617021276595747</v>
      </c>
      <c r="AX6" s="13">
        <f>60/69</f>
        <v>0.86956521739130432</v>
      </c>
      <c r="AY6" s="13">
        <f>5/59</f>
        <v>8.4745762711864403E-2</v>
      </c>
      <c r="AZ6" s="13">
        <f>9/77</f>
        <v>0.11688311688311688</v>
      </c>
      <c r="BA6" s="13">
        <f>1</f>
        <v>1</v>
      </c>
      <c r="BB6" s="51"/>
      <c r="BC6" s="13">
        <f>64/122</f>
        <v>0.52459016393442626</v>
      </c>
      <c r="BD6" s="13">
        <f>1</f>
        <v>1</v>
      </c>
      <c r="BE6" s="13">
        <f>1-2/71</f>
        <v>0.971830985915493</v>
      </c>
      <c r="BF6" s="13">
        <f>1-19/83</f>
        <v>0.77108433734939763</v>
      </c>
      <c r="BG6" s="51"/>
      <c r="BH6" s="13">
        <f>1-1/64</f>
        <v>0.984375</v>
      </c>
      <c r="BI6" s="13">
        <f>2/114</f>
        <v>1.7543859649122806E-2</v>
      </c>
      <c r="BJ6" s="13">
        <f>3/69</f>
        <v>4.3478260869565216E-2</v>
      </c>
      <c r="BK6" s="13">
        <f>2/46</f>
        <v>4.3478260869565216E-2</v>
      </c>
      <c r="BL6" s="13">
        <f>2/34</f>
        <v>5.8823529411764705E-2</v>
      </c>
      <c r="BM6" s="13">
        <f>13/57</f>
        <v>0.22807017543859648</v>
      </c>
      <c r="BN6" s="30">
        <v>0</v>
      </c>
      <c r="BO6" s="31">
        <v>1</v>
      </c>
      <c r="BP6" s="31">
        <v>1</v>
      </c>
      <c r="BQ6" s="31">
        <v>1</v>
      </c>
      <c r="BR6" s="51"/>
      <c r="BS6" s="16">
        <v>356122.47</v>
      </c>
      <c r="BT6" s="16">
        <v>672771.04</v>
      </c>
      <c r="BU6" s="16">
        <v>882464.57</v>
      </c>
      <c r="BV6" s="16">
        <v>392230.81</v>
      </c>
      <c r="BW6" s="53"/>
      <c r="BX6" s="3">
        <v>2</v>
      </c>
      <c r="BY6" s="3">
        <v>2</v>
      </c>
      <c r="BZ6" s="48"/>
      <c r="CA6" s="72">
        <v>1.094293701</v>
      </c>
      <c r="CB6" s="72">
        <v>0.65823136000000004</v>
      </c>
      <c r="CC6" s="23" t="s">
        <v>68</v>
      </c>
      <c r="CD6" s="77">
        <v>0.25900000000000001</v>
      </c>
      <c r="CE6" s="77">
        <v>0.255</v>
      </c>
      <c r="CF6" s="77">
        <v>0.25700000000000001</v>
      </c>
      <c r="CG6" s="77">
        <v>0.252</v>
      </c>
      <c r="CH6" s="77">
        <v>0.26600000000000001</v>
      </c>
      <c r="CI6" s="77">
        <v>0.25800000000000001</v>
      </c>
      <c r="CJ6" s="47"/>
      <c r="CK6" s="18">
        <v>0.19786539135373801</v>
      </c>
      <c r="CL6" s="18">
        <v>0.44964060511718101</v>
      </c>
      <c r="CM6" s="47"/>
      <c r="CN6" s="18">
        <v>2.7273977231800002</v>
      </c>
      <c r="CO6" s="18">
        <v>3.1333991254172</v>
      </c>
      <c r="CP6" s="48"/>
      <c r="CQ6" s="72">
        <v>0.95043947799999995</v>
      </c>
      <c r="CR6" s="72">
        <v>0.52607242399999998</v>
      </c>
      <c r="CS6" s="72">
        <v>0.83316068399999998</v>
      </c>
      <c r="CT6" s="23" t="s">
        <v>68</v>
      </c>
      <c r="CU6" s="72">
        <v>0.29299999999999998</v>
      </c>
      <c r="CV6" s="72">
        <v>0.30199999999999999</v>
      </c>
      <c r="CW6" s="72">
        <v>0.29499999999999998</v>
      </c>
      <c r="CX6" s="72">
        <v>0.29799999999999999</v>
      </c>
      <c r="CY6" s="72">
        <v>0.28999999999999998</v>
      </c>
      <c r="CZ6" s="72">
        <v>0.29599999999999999</v>
      </c>
      <c r="DA6" s="23" t="s">
        <v>69</v>
      </c>
      <c r="DB6" s="19">
        <v>91.292500000000004</v>
      </c>
      <c r="DC6" s="19">
        <v>94.101500000000001</v>
      </c>
      <c r="DD6" s="19">
        <v>83.105999999999995</v>
      </c>
      <c r="DE6" s="19">
        <v>91.853999999999999</v>
      </c>
      <c r="DF6" s="19">
        <v>85.05</v>
      </c>
      <c r="DG6" s="19">
        <v>59.643000000000001</v>
      </c>
      <c r="DH6" s="48"/>
      <c r="DI6" s="19">
        <v>64.709999999999994</v>
      </c>
      <c r="DJ6" s="19">
        <v>37.5</v>
      </c>
      <c r="DK6" s="19">
        <v>32</v>
      </c>
      <c r="DL6" s="23" t="s">
        <v>68</v>
      </c>
      <c r="DM6" s="19">
        <v>0.20499999999999999</v>
      </c>
      <c r="DN6" s="19">
        <v>0.24</v>
      </c>
      <c r="DO6" s="19">
        <v>0.21199999999999999</v>
      </c>
      <c r="DP6" s="19">
        <v>0.23799999999999999</v>
      </c>
      <c r="DQ6" s="19">
        <v>0.23599999999999999</v>
      </c>
    </row>
    <row r="7" spans="1:121">
      <c r="A7" s="51"/>
      <c r="B7" s="10">
        <v>0</v>
      </c>
      <c r="C7" s="10">
        <f>3/76</f>
        <v>3.9473684210526314E-2</v>
      </c>
      <c r="D7" s="10">
        <v>0</v>
      </c>
      <c r="E7" s="10">
        <f>1/41</f>
        <v>2.4390243902439025E-2</v>
      </c>
      <c r="F7" s="10">
        <f>2/81</f>
        <v>2.4691358024691357E-2</v>
      </c>
      <c r="G7" s="10">
        <v>0</v>
      </c>
      <c r="H7" s="10">
        <f>1/62</f>
        <v>1.6129032258064516E-2</v>
      </c>
      <c r="I7" s="51"/>
      <c r="J7" s="13">
        <v>0</v>
      </c>
      <c r="K7" s="13">
        <f>1-20/88</f>
        <v>0.77272727272727271</v>
      </c>
      <c r="L7" s="13">
        <f>36/102</f>
        <v>0.35294117647058826</v>
      </c>
      <c r="M7" s="13">
        <f>1-9/92</f>
        <v>0.90217391304347827</v>
      </c>
      <c r="N7" s="13">
        <f>1-9/84</f>
        <v>0.8928571428571429</v>
      </c>
      <c r="O7" s="13">
        <f>1-7/98</f>
        <v>0.9285714285714286</v>
      </c>
      <c r="P7" s="51"/>
      <c r="Q7" s="13">
        <f>1-7/54</f>
        <v>0.87037037037037035</v>
      </c>
      <c r="R7" s="13">
        <f>33/87</f>
        <v>0.37931034482758619</v>
      </c>
      <c r="S7" s="13">
        <f>14/88</f>
        <v>0.15909090909090909</v>
      </c>
      <c r="T7" s="13">
        <f>29/61</f>
        <v>0.47540983606557374</v>
      </c>
      <c r="U7" s="51"/>
      <c r="V7" s="13">
        <f>1/50</f>
        <v>0.02</v>
      </c>
      <c r="W7" s="13">
        <f>5/57</f>
        <v>8.771929824561403E-2</v>
      </c>
      <c r="X7" s="13">
        <v>0</v>
      </c>
      <c r="Y7" s="13">
        <f>3/19</f>
        <v>0.15789473684210525</v>
      </c>
      <c r="Z7" s="51"/>
      <c r="AA7" s="13">
        <f>36/102</f>
        <v>0.35294117647058826</v>
      </c>
      <c r="AB7" s="13">
        <f>1</f>
        <v>1</v>
      </c>
      <c r="AC7" s="13">
        <f>1</f>
        <v>1</v>
      </c>
      <c r="AD7" s="13">
        <f>24/115</f>
        <v>0.20869565217391303</v>
      </c>
      <c r="AE7" s="48"/>
      <c r="AF7" s="13">
        <f>4/96</f>
        <v>4.1666666666666664E-2</v>
      </c>
      <c r="AG7" s="13">
        <f>29/99</f>
        <v>0.29292929292929293</v>
      </c>
      <c r="AH7" s="51"/>
      <c r="AI7" s="13">
        <f>36/102</f>
        <v>0.35294117647058826</v>
      </c>
      <c r="AJ7" s="13">
        <f>4/81</f>
        <v>4.9382716049382713E-2</v>
      </c>
      <c r="AK7" s="13">
        <f>13/64</f>
        <v>0.203125</v>
      </c>
      <c r="AL7" s="51"/>
      <c r="AM7" s="13">
        <f>13/59</f>
        <v>0.22033898305084745</v>
      </c>
      <c r="AN7" s="13">
        <f>3/92</f>
        <v>3.2608695652173912E-2</v>
      </c>
      <c r="AO7" s="13">
        <v>0</v>
      </c>
      <c r="AP7" s="13">
        <f>1/90</f>
        <v>1.1111111111111112E-2</v>
      </c>
      <c r="AQ7" s="13">
        <f>3/85</f>
        <v>3.5294117647058823E-2</v>
      </c>
      <c r="AR7" s="58"/>
      <c r="AS7" s="20">
        <v>1.1474166666666668</v>
      </c>
      <c r="AT7" s="20">
        <v>3.0294166666666666</v>
      </c>
      <c r="AU7" s="51"/>
      <c r="AV7" s="13">
        <f>11/75</f>
        <v>0.14666666666666667</v>
      </c>
      <c r="AW7" s="13">
        <f>54/55</f>
        <v>0.98181818181818181</v>
      </c>
      <c r="AX7" s="13">
        <f>55/71</f>
        <v>0.77464788732394363</v>
      </c>
      <c r="AY7" s="13">
        <f>3/80</f>
        <v>3.7499999999999999E-2</v>
      </c>
      <c r="AZ7" s="13">
        <f>4/55</f>
        <v>7.2727272727272724E-2</v>
      </c>
      <c r="BA7" s="13">
        <f>1</f>
        <v>1</v>
      </c>
      <c r="BB7" s="51"/>
      <c r="BC7" s="13">
        <f>36/102</f>
        <v>0.35294117647058826</v>
      </c>
      <c r="BD7" s="13">
        <f>1-4/94</f>
        <v>0.95744680851063835</v>
      </c>
      <c r="BE7" s="13">
        <f t="shared" ref="BE7:BE13" si="0">1</f>
        <v>1</v>
      </c>
      <c r="BF7" s="13">
        <f>1-22/106</f>
        <v>0.79245283018867929</v>
      </c>
      <c r="BG7" s="51"/>
      <c r="BH7" s="13">
        <f>1</f>
        <v>1</v>
      </c>
      <c r="BI7" s="13">
        <v>0</v>
      </c>
      <c r="BJ7" s="13">
        <v>0</v>
      </c>
      <c r="BK7" s="13">
        <v>0</v>
      </c>
      <c r="BL7" s="13">
        <f>2/47</f>
        <v>4.2553191489361701E-2</v>
      </c>
      <c r="BM7" s="13">
        <f>2/61</f>
        <v>3.2786885245901641E-2</v>
      </c>
      <c r="BN7" s="30">
        <v>2</v>
      </c>
      <c r="BO7" s="31">
        <v>0.77724400000000005</v>
      </c>
      <c r="BP7" s="31">
        <v>0.84810799999999997</v>
      </c>
      <c r="BQ7" s="31">
        <v>0.87966200000000005</v>
      </c>
      <c r="BR7" s="39"/>
      <c r="BS7" s="16">
        <v>365341.69</v>
      </c>
      <c r="BT7" s="16">
        <v>755669.24</v>
      </c>
      <c r="BU7" s="16">
        <v>734602.82</v>
      </c>
      <c r="BV7" s="16">
        <v>297791.12</v>
      </c>
      <c r="BW7" s="53"/>
      <c r="BX7" s="3">
        <v>3</v>
      </c>
      <c r="BY7" s="3">
        <v>2</v>
      </c>
      <c r="BZ7" s="48"/>
      <c r="CA7" s="72">
        <v>1.0792282369999999</v>
      </c>
      <c r="CB7" s="72">
        <v>0.73035342199999997</v>
      </c>
      <c r="CC7" s="23" t="s">
        <v>70</v>
      </c>
      <c r="CD7" s="77">
        <v>0.32600000000000001</v>
      </c>
      <c r="CE7" s="77">
        <v>0.36499999999999999</v>
      </c>
      <c r="CF7" s="77">
        <v>0.36599999999999999</v>
      </c>
      <c r="CG7" s="77">
        <v>0.34100000000000003</v>
      </c>
      <c r="CH7" s="77">
        <v>0.36</v>
      </c>
      <c r="CI7" s="77">
        <v>0.33700000000000002</v>
      </c>
      <c r="CJ7" s="47"/>
      <c r="CK7" s="18">
        <v>0.69099807955690795</v>
      </c>
      <c r="CL7" s="18">
        <v>2.8545941516615998</v>
      </c>
      <c r="CM7" s="47"/>
      <c r="CN7" s="18">
        <v>2.7013494389004902</v>
      </c>
      <c r="CO7" s="18">
        <v>3.6610312652896</v>
      </c>
      <c r="CP7" s="48"/>
      <c r="CQ7" s="72">
        <v>0.95705030700000004</v>
      </c>
      <c r="CR7" s="72">
        <v>0.54086233299999997</v>
      </c>
      <c r="CS7" s="72">
        <v>0.77736640499999998</v>
      </c>
      <c r="CT7" s="68" t="s">
        <v>73</v>
      </c>
      <c r="CU7" s="72">
        <v>0.437</v>
      </c>
      <c r="CV7" s="72">
        <v>0.45600000000000002</v>
      </c>
      <c r="CW7" s="72">
        <v>0.42599999999999999</v>
      </c>
      <c r="CX7" s="72">
        <v>0.43099999999999999</v>
      </c>
      <c r="CY7" s="72">
        <v>0.42499999999999999</v>
      </c>
      <c r="CZ7" s="72">
        <v>0.43</v>
      </c>
      <c r="DA7" s="23" t="s">
        <v>71</v>
      </c>
      <c r="DB7" s="19">
        <v>117.6</v>
      </c>
      <c r="DC7" s="19">
        <v>163.35</v>
      </c>
      <c r="DD7" s="19">
        <v>160.55000000000001</v>
      </c>
      <c r="DE7" s="19">
        <v>166.88749999999999</v>
      </c>
      <c r="DF7" s="19">
        <v>196.46549999999999</v>
      </c>
      <c r="DG7" s="19">
        <v>106.434</v>
      </c>
      <c r="DH7" s="48"/>
      <c r="DI7" s="19">
        <v>57.57</v>
      </c>
      <c r="DJ7" s="19">
        <v>35</v>
      </c>
      <c r="DK7" s="19">
        <v>38.46</v>
      </c>
      <c r="DL7" s="23" t="s">
        <v>70</v>
      </c>
      <c r="DM7" s="19">
        <v>0.28299999999999997</v>
      </c>
      <c r="DN7" s="19">
        <v>0.313</v>
      </c>
      <c r="DO7" s="19">
        <v>0.30599999999999999</v>
      </c>
      <c r="DP7" s="19">
        <v>0.317</v>
      </c>
      <c r="DQ7" s="19">
        <v>0.30399999999999999</v>
      </c>
    </row>
    <row r="8" spans="1:121">
      <c r="A8" s="51"/>
      <c r="B8" s="10">
        <v>0</v>
      </c>
      <c r="C8" s="10">
        <f>1/71</f>
        <v>1.4084507042253521E-2</v>
      </c>
      <c r="D8" s="10">
        <f>8/54</f>
        <v>0.14814814814814814</v>
      </c>
      <c r="E8" s="10">
        <v>0</v>
      </c>
      <c r="F8" s="10">
        <f>3/56</f>
        <v>5.3571428571428568E-2</v>
      </c>
      <c r="G8" s="10">
        <f>2/52</f>
        <v>3.8461538461538464E-2</v>
      </c>
      <c r="H8" s="10">
        <v>0</v>
      </c>
      <c r="I8" s="51"/>
      <c r="J8" s="13">
        <v>0</v>
      </c>
      <c r="K8" s="13">
        <f>1-22/67</f>
        <v>0.67164179104477606</v>
      </c>
      <c r="L8" s="13">
        <f>40/124</f>
        <v>0.32258064516129031</v>
      </c>
      <c r="M8" s="13">
        <f>1-8/117</f>
        <v>0.93162393162393164</v>
      </c>
      <c r="N8" s="13">
        <v>1</v>
      </c>
      <c r="O8" s="13">
        <f>1-7/86</f>
        <v>0.91860465116279066</v>
      </c>
      <c r="P8" s="51"/>
      <c r="Q8" s="13">
        <f>1-51/100</f>
        <v>0.49</v>
      </c>
      <c r="R8" s="13">
        <f>29/90</f>
        <v>0.32222222222222224</v>
      </c>
      <c r="S8" s="13">
        <f>34/87</f>
        <v>0.39080459770114945</v>
      </c>
      <c r="T8" s="13">
        <f>35/45</f>
        <v>0.77777777777777779</v>
      </c>
      <c r="U8" s="51"/>
      <c r="V8" s="13">
        <f>2/58</f>
        <v>3.4482758620689655E-2</v>
      </c>
      <c r="W8" s="13">
        <f>3/62</f>
        <v>4.8387096774193547E-2</v>
      </c>
      <c r="X8" s="13">
        <f>6/45</f>
        <v>0.13333333333333333</v>
      </c>
      <c r="Y8" s="13">
        <v>0</v>
      </c>
      <c r="Z8" s="51"/>
      <c r="AA8" s="13">
        <f>40/124</f>
        <v>0.32258064516129031</v>
      </c>
      <c r="AB8" s="13">
        <f>1</f>
        <v>1</v>
      </c>
      <c r="AC8" s="13">
        <f>1-2/108</f>
        <v>0.98148148148148151</v>
      </c>
      <c r="AD8" s="13">
        <f>31/128</f>
        <v>0.2421875</v>
      </c>
      <c r="AE8" s="48"/>
      <c r="AF8" s="13">
        <f>9/106</f>
        <v>8.4905660377358486E-2</v>
      </c>
      <c r="AG8" s="13">
        <f>16/87</f>
        <v>0.18390804597701149</v>
      </c>
      <c r="AH8" s="51"/>
      <c r="AI8" s="13">
        <f>40/124</f>
        <v>0.32258064516129031</v>
      </c>
      <c r="AJ8" s="13">
        <f>2/78</f>
        <v>2.564102564102564E-2</v>
      </c>
      <c r="AK8" s="13">
        <f>14/75</f>
        <v>0.18666666666666668</v>
      </c>
      <c r="AL8" s="51"/>
      <c r="AM8" s="13">
        <f>30/63</f>
        <v>0.47619047619047616</v>
      </c>
      <c r="AN8" s="13">
        <f>1/99</f>
        <v>1.0101010101010102E-2</v>
      </c>
      <c r="AO8" s="13">
        <v>0</v>
      </c>
      <c r="AP8" s="13">
        <v>0</v>
      </c>
      <c r="AQ8" s="13">
        <f>26/72</f>
        <v>0.3611111111111111</v>
      </c>
      <c r="AR8" s="58"/>
      <c r="AS8" s="20">
        <v>1.0675625</v>
      </c>
      <c r="AT8" s="20">
        <v>2.8847499999999999</v>
      </c>
      <c r="AU8" s="51"/>
      <c r="AV8" s="13">
        <f>17/108</f>
        <v>0.15740740740740741</v>
      </c>
      <c r="AW8" s="13">
        <v>1</v>
      </c>
      <c r="AX8" s="13">
        <f>53/58</f>
        <v>0.91379310344827591</v>
      </c>
      <c r="AY8" s="13">
        <f>2/62</f>
        <v>3.2258064516129031E-2</v>
      </c>
      <c r="AZ8" s="13">
        <f>3/32</f>
        <v>9.375E-2</v>
      </c>
      <c r="BA8" s="13">
        <f>1-1/36</f>
        <v>0.97222222222222221</v>
      </c>
      <c r="BB8" s="51"/>
      <c r="BC8" s="13">
        <f>40/124</f>
        <v>0.32258064516129031</v>
      </c>
      <c r="BD8" s="13">
        <f>1-12/105</f>
        <v>0.88571428571428568</v>
      </c>
      <c r="BE8" s="13">
        <f t="shared" si="0"/>
        <v>1</v>
      </c>
      <c r="BF8" s="13">
        <f>1-10/82</f>
        <v>0.87804878048780488</v>
      </c>
      <c r="BG8" s="51"/>
      <c r="BH8" s="13">
        <f>1</f>
        <v>1</v>
      </c>
      <c r="BI8" s="13">
        <f>1/59</f>
        <v>1.6949152542372881E-2</v>
      </c>
      <c r="BJ8" s="13">
        <v>0</v>
      </c>
      <c r="BK8" s="13">
        <v>0</v>
      </c>
      <c r="BL8" s="13">
        <f>24/50</f>
        <v>0.48</v>
      </c>
      <c r="BM8" s="13">
        <f>16/45</f>
        <v>0.35555555555555557</v>
      </c>
      <c r="BN8" s="30">
        <v>4</v>
      </c>
      <c r="BO8" s="31">
        <v>0.14283399999999999</v>
      </c>
      <c r="BP8" s="31">
        <v>0.32075799999999999</v>
      </c>
      <c r="BQ8" s="31">
        <v>0.44570100000000001</v>
      </c>
      <c r="BR8" s="39"/>
      <c r="BS8" s="16">
        <v>449185.01</v>
      </c>
      <c r="BT8" s="16">
        <v>468474.49</v>
      </c>
      <c r="BU8" s="16">
        <v>371764.81</v>
      </c>
      <c r="BV8" s="16">
        <v>365398.2</v>
      </c>
      <c r="BW8" s="53"/>
      <c r="BX8" s="3">
        <v>3</v>
      </c>
      <c r="BY8" s="3">
        <v>2</v>
      </c>
      <c r="BZ8" s="6" t="s">
        <v>72</v>
      </c>
      <c r="CA8" s="35">
        <f>AVERAGE(CA5:CA7)</f>
        <v>1.0067557499999999</v>
      </c>
      <c r="CB8" s="35">
        <f>AVERAGE(CB5:CB7)</f>
        <v>0.66757878566666662</v>
      </c>
      <c r="CC8" s="23" t="s">
        <v>73</v>
      </c>
      <c r="CD8" s="77">
        <v>0.435</v>
      </c>
      <c r="CE8" s="77">
        <v>0.46</v>
      </c>
      <c r="CF8" s="77">
        <v>0.439</v>
      </c>
      <c r="CG8" s="77">
        <v>0.47699999999999998</v>
      </c>
      <c r="CH8" s="77">
        <v>0.44600000000000001</v>
      </c>
      <c r="CI8" s="77">
        <v>0.44400000000000001</v>
      </c>
      <c r="CJ8" s="47"/>
      <c r="CK8" s="18">
        <v>3.5462894812350898</v>
      </c>
      <c r="CL8" s="18">
        <v>0.69474650057790699</v>
      </c>
      <c r="CM8" s="47"/>
      <c r="CN8" s="18">
        <v>2.3147255242601399</v>
      </c>
      <c r="CO8" s="18">
        <v>4.1931172578688303</v>
      </c>
      <c r="CP8" s="6" t="s">
        <v>72</v>
      </c>
      <c r="CQ8" s="35">
        <f>AVERAGE(CQ5:CQ7)</f>
        <v>1.002283966</v>
      </c>
      <c r="CR8" s="35">
        <f>AVERAGE(CR5:CR7)</f>
        <v>0.54621200000000003</v>
      </c>
      <c r="CS8" s="79">
        <f>AVERAGE(CS5:CS7)</f>
        <v>0.83243949266666661</v>
      </c>
      <c r="CT8" s="68" t="s">
        <v>77</v>
      </c>
      <c r="CU8" s="72">
        <v>0.45400000000000001</v>
      </c>
      <c r="CV8" s="72">
        <v>0.46300000000000002</v>
      </c>
      <c r="CW8" s="72">
        <v>0.435</v>
      </c>
      <c r="CX8" s="72">
        <v>0.46100000000000002</v>
      </c>
      <c r="CY8" s="72">
        <v>0.44500000000000001</v>
      </c>
      <c r="CZ8" s="72">
        <v>0.46500000000000002</v>
      </c>
      <c r="DA8" s="23" t="s">
        <v>74</v>
      </c>
      <c r="DB8" s="19">
        <v>215.62200000000001</v>
      </c>
      <c r="DC8" s="19">
        <v>372.00599999999997</v>
      </c>
      <c r="DD8" s="19">
        <v>334.036</v>
      </c>
      <c r="DE8" s="19">
        <v>205.16650000000001</v>
      </c>
      <c r="DF8" s="19">
        <v>357.1875</v>
      </c>
      <c r="DG8" s="19">
        <v>208.08</v>
      </c>
      <c r="DH8" s="6" t="s">
        <v>72</v>
      </c>
      <c r="DI8" s="35">
        <f>AVERAGE(DI5:DI7)</f>
        <v>62.71</v>
      </c>
      <c r="DJ8" s="35">
        <f>AVERAGE(DJ5:DJ7)</f>
        <v>33.426666666666669</v>
      </c>
      <c r="DK8" s="35">
        <f>AVERAGE(DK5:DK7)</f>
        <v>39.043333333333329</v>
      </c>
      <c r="DL8" s="23" t="s">
        <v>73</v>
      </c>
      <c r="DM8" s="19">
        <v>0.34399999999999997</v>
      </c>
      <c r="DN8" s="19">
        <v>0.35499999999999998</v>
      </c>
      <c r="DO8" s="19">
        <v>0.34899999999999998</v>
      </c>
      <c r="DP8" s="19">
        <v>0.35199999999999998</v>
      </c>
      <c r="DQ8" s="19">
        <v>0.36799999999999999</v>
      </c>
    </row>
    <row r="9" spans="1:121">
      <c r="A9" s="51"/>
      <c r="B9" s="10">
        <v>0</v>
      </c>
      <c r="C9" s="10">
        <v>0</v>
      </c>
      <c r="D9" s="10">
        <f>3/68</f>
        <v>4.4117647058823532E-2</v>
      </c>
      <c r="E9" s="10">
        <v>0</v>
      </c>
      <c r="F9" s="10">
        <f>2/62</f>
        <v>3.2258064516129031E-2</v>
      </c>
      <c r="G9" s="10">
        <v>0</v>
      </c>
      <c r="H9" s="10">
        <v>0</v>
      </c>
      <c r="I9" s="51"/>
      <c r="J9" s="13">
        <v>0</v>
      </c>
      <c r="K9" s="13">
        <f>1-28/75</f>
        <v>0.62666666666666671</v>
      </c>
      <c r="L9" s="13">
        <f>18/93</f>
        <v>0.19354838709677419</v>
      </c>
      <c r="M9" s="13">
        <f>1-16/115</f>
        <v>0.86086956521739133</v>
      </c>
      <c r="N9" s="13">
        <v>1</v>
      </c>
      <c r="O9" s="13">
        <f>1-8/79</f>
        <v>0.89873417721518989</v>
      </c>
      <c r="P9" s="51"/>
      <c r="Q9" s="13">
        <f>1-37/99</f>
        <v>0.6262626262626263</v>
      </c>
      <c r="R9" s="13">
        <f>14/110</f>
        <v>0.12727272727272726</v>
      </c>
      <c r="S9" s="13">
        <f>18/79</f>
        <v>0.22784810126582278</v>
      </c>
      <c r="T9" s="13">
        <f>51/89</f>
        <v>0.5730337078651685</v>
      </c>
      <c r="U9" s="51"/>
      <c r="V9" s="13">
        <f>1/58</f>
        <v>1.7241379310344827E-2</v>
      </c>
      <c r="W9" s="13">
        <f>9/74</f>
        <v>0.12162162162162163</v>
      </c>
      <c r="X9" s="13">
        <f>4/69</f>
        <v>5.7971014492753624E-2</v>
      </c>
      <c r="Y9" s="13">
        <f>1/16</f>
        <v>6.25E-2</v>
      </c>
      <c r="Z9" s="51"/>
      <c r="AA9" s="13">
        <f>18/93</f>
        <v>0.19354838709677419</v>
      </c>
      <c r="AB9" s="13">
        <f>1</f>
        <v>1</v>
      </c>
      <c r="AC9" s="13">
        <f>1</f>
        <v>1</v>
      </c>
      <c r="AD9" s="13">
        <f>25/95</f>
        <v>0.26315789473684209</v>
      </c>
      <c r="AE9" s="48"/>
      <c r="AF9" s="13">
        <f>4/83</f>
        <v>4.8192771084337352E-2</v>
      </c>
      <c r="AG9" s="13">
        <f>22/91</f>
        <v>0.24175824175824176</v>
      </c>
      <c r="AH9" s="51"/>
      <c r="AI9" s="13">
        <f>18/93</f>
        <v>0.19354838709677419</v>
      </c>
      <c r="AJ9" s="13">
        <f>4/89</f>
        <v>4.49438202247191E-2</v>
      </c>
      <c r="AK9" s="13">
        <f>11/72</f>
        <v>0.15277777777777779</v>
      </c>
      <c r="AL9" s="51"/>
      <c r="AM9" s="13">
        <f>16/68</f>
        <v>0.23529411764705882</v>
      </c>
      <c r="AN9" s="13">
        <v>0</v>
      </c>
      <c r="AO9" s="13">
        <f>1/94</f>
        <v>1.0638297872340425E-2</v>
      </c>
      <c r="AP9" s="13">
        <f>1/78</f>
        <v>1.282051282051282E-2</v>
      </c>
      <c r="AQ9" s="13">
        <f>29/67</f>
        <v>0.43283582089552236</v>
      </c>
      <c r="AR9" s="58"/>
      <c r="AS9" s="20">
        <v>0.93977083333333333</v>
      </c>
      <c r="AT9" s="20">
        <v>2.7709791666666668</v>
      </c>
      <c r="AU9" s="51"/>
      <c r="AV9" s="13">
        <f>31/110</f>
        <v>0.2818181818181818</v>
      </c>
      <c r="AW9" s="13">
        <v>1</v>
      </c>
      <c r="AX9" s="13">
        <v>1</v>
      </c>
      <c r="AY9" s="13">
        <f>3/69</f>
        <v>4.3478260869565216E-2</v>
      </c>
      <c r="AZ9" s="13">
        <f>2/44</f>
        <v>4.5454545454545456E-2</v>
      </c>
      <c r="BA9" s="13">
        <f>1-4/49</f>
        <v>0.91836734693877553</v>
      </c>
      <c r="BB9" s="51"/>
      <c r="BC9" s="13">
        <f>18/93</f>
        <v>0.19354838709677419</v>
      </c>
      <c r="BD9" s="13">
        <f>1-30/120</f>
        <v>0.75</v>
      </c>
      <c r="BE9" s="13">
        <f t="shared" si="0"/>
        <v>1</v>
      </c>
      <c r="BF9" s="13">
        <f>1-24/108</f>
        <v>0.77777777777777779</v>
      </c>
      <c r="BG9" s="51"/>
      <c r="BH9" s="13">
        <f>1</f>
        <v>1</v>
      </c>
      <c r="BI9" s="13">
        <v>0</v>
      </c>
      <c r="BJ9" s="13">
        <f>2/73</f>
        <v>2.7397260273972601E-2</v>
      </c>
      <c r="BK9" s="13">
        <f>2/54</f>
        <v>3.7037037037037035E-2</v>
      </c>
      <c r="BL9" s="13">
        <v>0</v>
      </c>
      <c r="BM9" s="13">
        <f>7/55</f>
        <v>0.12727272727272726</v>
      </c>
      <c r="BN9" s="30">
        <v>6</v>
      </c>
      <c r="BO9" s="31">
        <v>0.127218</v>
      </c>
      <c r="BP9" s="31">
        <v>0.22390499999999999</v>
      </c>
      <c r="BQ9" s="31">
        <v>0.110906</v>
      </c>
      <c r="BR9" s="39"/>
      <c r="BS9" s="16">
        <v>398840.72</v>
      </c>
      <c r="BT9" s="16">
        <v>471402.81</v>
      </c>
      <c r="BU9" s="16">
        <v>363145.2</v>
      </c>
      <c r="BV9" s="16">
        <v>312751.34000000003</v>
      </c>
      <c r="BW9" s="53"/>
      <c r="BX9" s="3">
        <v>2</v>
      </c>
      <c r="BY9" s="3">
        <v>2</v>
      </c>
      <c r="BZ9" s="36" t="s">
        <v>40</v>
      </c>
      <c r="CA9" s="63"/>
      <c r="CB9" s="63"/>
      <c r="CC9" s="23" t="s">
        <v>75</v>
      </c>
      <c r="CD9" s="77">
        <v>0.54600000000000004</v>
      </c>
      <c r="CE9" s="77">
        <v>0.54400000000000004</v>
      </c>
      <c r="CF9" s="77">
        <v>0.53200000000000003</v>
      </c>
      <c r="CG9" s="77">
        <v>0.61599999999999999</v>
      </c>
      <c r="CH9" s="77">
        <v>0.51400000000000001</v>
      </c>
      <c r="CI9" s="77">
        <v>0.56499999999999995</v>
      </c>
      <c r="CJ9" s="47"/>
      <c r="CK9" s="18">
        <v>0.56423181845004899</v>
      </c>
      <c r="CL9" s="18">
        <v>0.418783638511739</v>
      </c>
      <c r="CM9" s="47"/>
      <c r="CN9" s="18">
        <v>3.3380820639248898</v>
      </c>
      <c r="CO9" s="18">
        <v>3.60229058486114</v>
      </c>
      <c r="CP9" s="3"/>
      <c r="CQ9" s="70" t="s">
        <v>133</v>
      </c>
      <c r="CR9" s="70" t="s">
        <v>135</v>
      </c>
      <c r="CS9" s="70" t="s">
        <v>137</v>
      </c>
      <c r="CT9" s="3"/>
      <c r="CU9" s="75" t="s">
        <v>134</v>
      </c>
      <c r="CV9" s="76"/>
      <c r="CW9" s="76"/>
      <c r="CX9" s="76"/>
      <c r="CY9" s="76"/>
      <c r="CZ9" s="76"/>
      <c r="DA9" s="23" t="s">
        <v>76</v>
      </c>
      <c r="DB9" s="19">
        <v>521.12350000000004</v>
      </c>
      <c r="DC9" s="19">
        <v>681.16949999999997</v>
      </c>
      <c r="DD9" s="19">
        <v>450.52800000000002</v>
      </c>
      <c r="DE9" s="19">
        <v>331.57799999999997</v>
      </c>
      <c r="DF9" s="19">
        <v>543.60599999999999</v>
      </c>
      <c r="DG9" s="19">
        <v>349.49599999999998</v>
      </c>
      <c r="DH9" s="43" t="s">
        <v>40</v>
      </c>
      <c r="DI9" s="44"/>
      <c r="DJ9" s="44"/>
      <c r="DK9" s="44"/>
      <c r="DL9" s="23" t="s">
        <v>75</v>
      </c>
      <c r="DM9" s="19">
        <v>0.497</v>
      </c>
      <c r="DN9" s="19">
        <v>0.48899999999999999</v>
      </c>
      <c r="DO9" s="19">
        <v>0.502</v>
      </c>
      <c r="DP9" s="19">
        <v>0.52100000000000002</v>
      </c>
      <c r="DQ9" s="19">
        <v>0.49099999999999999</v>
      </c>
    </row>
    <row r="10" spans="1:121">
      <c r="A10" s="51"/>
      <c r="B10" s="10">
        <f>1/51</f>
        <v>1.9607843137254902E-2</v>
      </c>
      <c r="C10" s="10">
        <v>0</v>
      </c>
      <c r="D10" s="10">
        <v>0</v>
      </c>
      <c r="E10" s="10">
        <v>0</v>
      </c>
      <c r="F10" s="10">
        <f>2/63</f>
        <v>3.1746031746031744E-2</v>
      </c>
      <c r="G10" s="10">
        <f>1/50</f>
        <v>0.02</v>
      </c>
      <c r="H10" s="10">
        <v>0</v>
      </c>
      <c r="I10" s="51"/>
      <c r="J10" s="13">
        <f>2/64</f>
        <v>3.125E-2</v>
      </c>
      <c r="K10" s="13">
        <f>1-13/66</f>
        <v>0.80303030303030298</v>
      </c>
      <c r="L10" s="13">
        <f>12/87</f>
        <v>0.13793103448275862</v>
      </c>
      <c r="M10" s="13">
        <v>1</v>
      </c>
      <c r="N10" s="13">
        <f>1-3/79</f>
        <v>0.96202531645569622</v>
      </c>
      <c r="O10" s="13">
        <f>1-10/81</f>
        <v>0.87654320987654322</v>
      </c>
      <c r="P10" s="51"/>
      <c r="Q10" s="13">
        <f>1-29/82</f>
        <v>0.64634146341463417</v>
      </c>
      <c r="R10" s="13">
        <f>23/86</f>
        <v>0.26744186046511625</v>
      </c>
      <c r="S10" s="13">
        <f>13/51</f>
        <v>0.25490196078431371</v>
      </c>
      <c r="T10" s="13">
        <f>59/99</f>
        <v>0.59595959595959591</v>
      </c>
      <c r="U10" s="51"/>
      <c r="V10" s="13">
        <f>1/55</f>
        <v>1.8181818181818181E-2</v>
      </c>
      <c r="W10" s="13">
        <f>5/71</f>
        <v>7.0422535211267609E-2</v>
      </c>
      <c r="X10" s="13">
        <f>2/72</f>
        <v>2.7777777777777776E-2</v>
      </c>
      <c r="Y10" s="13">
        <f>4/31</f>
        <v>0.12903225806451613</v>
      </c>
      <c r="Z10" s="51"/>
      <c r="AA10" s="13">
        <f>12/87</f>
        <v>0.13793103448275862</v>
      </c>
      <c r="AB10" s="13">
        <f>1</f>
        <v>1</v>
      </c>
      <c r="AC10" s="13">
        <f>1</f>
        <v>1</v>
      </c>
      <c r="AD10" s="13">
        <f>41/103</f>
        <v>0.39805825242718446</v>
      </c>
      <c r="AE10" s="48"/>
      <c r="AF10" s="13">
        <f>3/93</f>
        <v>3.2258064516129031E-2</v>
      </c>
      <c r="AG10" s="13">
        <f>44/113</f>
        <v>0.38938053097345132</v>
      </c>
      <c r="AH10" s="51"/>
      <c r="AI10" s="13">
        <f>12/87</f>
        <v>0.13793103448275862</v>
      </c>
      <c r="AJ10" s="13">
        <f>3/59</f>
        <v>5.0847457627118647E-2</v>
      </c>
      <c r="AK10" s="13">
        <f>5/77</f>
        <v>6.4935064935064929E-2</v>
      </c>
      <c r="AL10" s="51"/>
      <c r="AM10" s="13">
        <f>39/79</f>
        <v>0.49367088607594939</v>
      </c>
      <c r="AN10" s="13">
        <v>0</v>
      </c>
      <c r="AO10" s="13">
        <v>0</v>
      </c>
      <c r="AP10" s="13">
        <f>6/94</f>
        <v>6.3829787234042548E-2</v>
      </c>
      <c r="AQ10" s="13">
        <f>25/69</f>
        <v>0.36231884057971014</v>
      </c>
      <c r="AR10" s="58"/>
      <c r="AS10" s="20">
        <v>0.91418750000000004</v>
      </c>
      <c r="AT10" s="20">
        <v>2.6815833333333337</v>
      </c>
      <c r="AU10" s="51"/>
      <c r="AV10" s="13">
        <f>15/63</f>
        <v>0.23809523809523808</v>
      </c>
      <c r="AW10" s="13">
        <f>35/38</f>
        <v>0.92105263157894735</v>
      </c>
      <c r="AX10" s="13">
        <f>39/58</f>
        <v>0.67241379310344829</v>
      </c>
      <c r="AY10" s="13">
        <f>9/82</f>
        <v>0.10975609756097561</v>
      </c>
      <c r="AZ10" s="13">
        <f>13/42</f>
        <v>0.30952380952380953</v>
      </c>
      <c r="BA10" s="13">
        <f>1-4/66</f>
        <v>0.93939393939393945</v>
      </c>
      <c r="BB10" s="51"/>
      <c r="BC10" s="13">
        <f>12/87</f>
        <v>0.13793103448275862</v>
      </c>
      <c r="BD10" s="13">
        <f>1-6/101</f>
        <v>0.94059405940594054</v>
      </c>
      <c r="BE10" s="13">
        <f t="shared" si="0"/>
        <v>1</v>
      </c>
      <c r="BF10" s="13">
        <f>1-15/97</f>
        <v>0.84536082474226804</v>
      </c>
      <c r="BG10" s="51"/>
      <c r="BH10" s="13">
        <f>1-2/69</f>
        <v>0.97101449275362317</v>
      </c>
      <c r="BI10" s="13">
        <f>2/94</f>
        <v>2.1276595744680851E-2</v>
      </c>
      <c r="BJ10" s="13">
        <v>0</v>
      </c>
      <c r="BK10" s="13">
        <f>2/51</f>
        <v>3.9215686274509803E-2</v>
      </c>
      <c r="BL10" s="13">
        <f>15/46</f>
        <v>0.32608695652173914</v>
      </c>
      <c r="BM10" s="13">
        <f>7/38</f>
        <v>0.18421052631578946</v>
      </c>
      <c r="BN10" s="30">
        <v>8</v>
      </c>
      <c r="BO10" s="31">
        <v>5.0221000000000002E-2</v>
      </c>
      <c r="BP10" s="31">
        <v>8.8364999999999999E-2</v>
      </c>
      <c r="BQ10" s="31">
        <v>4.3736999999999998E-2</v>
      </c>
      <c r="BR10" s="39"/>
      <c r="BS10" s="16">
        <v>502399.24</v>
      </c>
      <c r="BT10" s="16">
        <v>329904.82</v>
      </c>
      <c r="BU10" s="16">
        <v>407392.29</v>
      </c>
      <c r="BV10" s="16">
        <v>366376.04</v>
      </c>
      <c r="BW10" s="53"/>
      <c r="BX10" s="3">
        <v>2</v>
      </c>
      <c r="BY10" s="3">
        <v>2</v>
      </c>
      <c r="BZ10" s="3"/>
      <c r="CA10" s="70" t="s">
        <v>133</v>
      </c>
      <c r="CB10" s="70" t="s">
        <v>138</v>
      </c>
      <c r="CC10" s="23" t="s">
        <v>77</v>
      </c>
      <c r="CD10" s="77">
        <v>0.85599999999999998</v>
      </c>
      <c r="CE10" s="77">
        <v>0.80800000000000005</v>
      </c>
      <c r="CF10" s="77">
        <v>0.75800000000000001</v>
      </c>
      <c r="CG10" s="77">
        <v>0.72199999999999998</v>
      </c>
      <c r="CH10" s="77">
        <v>0.82</v>
      </c>
      <c r="CI10" s="77">
        <v>0.80800000000000005</v>
      </c>
      <c r="CJ10" s="47"/>
      <c r="CK10" s="18">
        <v>0.30404369647354101</v>
      </c>
      <c r="CL10" s="18">
        <v>0.42320164970806001</v>
      </c>
      <c r="CM10" s="47"/>
      <c r="CN10" s="18">
        <v>3.0057233451601202</v>
      </c>
      <c r="CO10" s="18">
        <v>3.9669748822767499</v>
      </c>
      <c r="CP10" s="65" t="s">
        <v>129</v>
      </c>
      <c r="CQ10" s="72">
        <v>1.064370182</v>
      </c>
      <c r="CR10" s="72">
        <v>0.21915143000000001</v>
      </c>
      <c r="CS10" s="72">
        <v>1.554732811</v>
      </c>
      <c r="CT10" s="23" t="s">
        <v>68</v>
      </c>
      <c r="CU10" s="72">
        <v>0.28699999999999998</v>
      </c>
      <c r="CV10" s="72">
        <v>0.30099999999999999</v>
      </c>
      <c r="CW10" s="72">
        <v>0.29099999999999998</v>
      </c>
      <c r="CX10" s="72">
        <v>0.29199999999999998</v>
      </c>
      <c r="CY10" s="72">
        <v>0.29599999999999999</v>
      </c>
      <c r="CZ10" s="72">
        <v>0.29899999999999999</v>
      </c>
      <c r="DA10" s="23" t="s">
        <v>78</v>
      </c>
      <c r="DB10" s="19">
        <v>649.52200000000005</v>
      </c>
      <c r="DC10" s="19">
        <v>893.02499999999998</v>
      </c>
      <c r="DD10" s="19">
        <v>604.03200000000004</v>
      </c>
      <c r="DE10" s="19">
        <v>444.36</v>
      </c>
      <c r="DF10" s="19">
        <v>749.11199999999997</v>
      </c>
      <c r="DG10" s="19">
        <v>577.6</v>
      </c>
      <c r="DH10" s="3"/>
      <c r="DI10" s="6" t="s">
        <v>62</v>
      </c>
      <c r="DJ10" s="6" t="s">
        <v>63</v>
      </c>
      <c r="DK10" s="6" t="s">
        <v>64</v>
      </c>
      <c r="DL10" s="23" t="s">
        <v>77</v>
      </c>
      <c r="DM10" s="19">
        <v>0.65500000000000003</v>
      </c>
      <c r="DN10" s="19">
        <v>0.84</v>
      </c>
      <c r="DO10" s="19">
        <v>0.81899999999999995</v>
      </c>
      <c r="DP10" s="19">
        <v>0.85899999999999999</v>
      </c>
      <c r="DQ10" s="19">
        <v>0.82399999999999995</v>
      </c>
    </row>
    <row r="11" spans="1:121" ht="14.25" customHeight="1">
      <c r="A11" s="51"/>
      <c r="B11" s="10">
        <v>0</v>
      </c>
      <c r="C11" s="10">
        <v>0</v>
      </c>
      <c r="D11" s="10">
        <f>1/49</f>
        <v>2.0408163265306121E-2</v>
      </c>
      <c r="E11" s="10">
        <f>1/33</f>
        <v>3.0303030303030304E-2</v>
      </c>
      <c r="F11" s="10">
        <f>3/76</f>
        <v>3.9473684210526314E-2</v>
      </c>
      <c r="G11" s="10">
        <f>2/72</f>
        <v>2.7777777777777776E-2</v>
      </c>
      <c r="H11" s="10">
        <v>0</v>
      </c>
      <c r="I11" s="51"/>
      <c r="J11" s="13">
        <v>0</v>
      </c>
      <c r="K11" s="13">
        <f>1-7/60</f>
        <v>0.8833333333333333</v>
      </c>
      <c r="L11" s="13">
        <f>34/108</f>
        <v>0.31481481481481483</v>
      </c>
      <c r="M11" s="13">
        <f>1-17/106</f>
        <v>0.839622641509434</v>
      </c>
      <c r="N11" s="13">
        <f>1-4/91</f>
        <v>0.95604395604395609</v>
      </c>
      <c r="O11" s="13">
        <f>1-9/73</f>
        <v>0.87671232876712324</v>
      </c>
      <c r="P11" s="51"/>
      <c r="Q11" s="13">
        <f>1-31/85</f>
        <v>0.63529411764705879</v>
      </c>
      <c r="R11" s="13">
        <f>26/77</f>
        <v>0.33766233766233766</v>
      </c>
      <c r="S11" s="13">
        <f>10/46</f>
        <v>0.21739130434782608</v>
      </c>
      <c r="T11" s="13">
        <f>52/91</f>
        <v>0.5714285714285714</v>
      </c>
      <c r="U11" s="51"/>
      <c r="V11" s="13">
        <v>0</v>
      </c>
      <c r="W11" s="13">
        <f>4/50</f>
        <v>0.08</v>
      </c>
      <c r="X11" s="13">
        <f>8/83</f>
        <v>9.6385542168674704E-2</v>
      </c>
      <c r="Y11" s="13">
        <f>3/26</f>
        <v>0.11538461538461539</v>
      </c>
      <c r="Z11" s="51"/>
      <c r="AA11" s="13">
        <f>34/108</f>
        <v>0.31481481481481483</v>
      </c>
      <c r="AB11" s="13">
        <f>1-3/51</f>
        <v>0.94117647058823528</v>
      </c>
      <c r="AC11" s="13">
        <f>1</f>
        <v>1</v>
      </c>
      <c r="AD11" s="13">
        <f>25/101</f>
        <v>0.24752475247524752</v>
      </c>
      <c r="AE11" s="48"/>
      <c r="AF11" s="13">
        <f>0</f>
        <v>0</v>
      </c>
      <c r="AG11" s="13">
        <f>24/119</f>
        <v>0.20168067226890757</v>
      </c>
      <c r="AH11" s="51"/>
      <c r="AI11" s="13">
        <f>34/108</f>
        <v>0.31481481481481483</v>
      </c>
      <c r="AJ11" s="13">
        <f>4/57</f>
        <v>7.0175438596491224E-2</v>
      </c>
      <c r="AK11" s="13">
        <f>7/73</f>
        <v>9.5890410958904104E-2</v>
      </c>
      <c r="AL11" s="51"/>
      <c r="AM11" s="13">
        <f>37/82</f>
        <v>0.45121951219512196</v>
      </c>
      <c r="AN11" s="13">
        <f>1/59</f>
        <v>1.6949152542372881E-2</v>
      </c>
      <c r="AO11" s="13">
        <v>0</v>
      </c>
      <c r="AP11" s="13">
        <f>2/75</f>
        <v>2.6666666666666668E-2</v>
      </c>
      <c r="AQ11" s="13">
        <f>20/65</f>
        <v>0.30769230769230771</v>
      </c>
      <c r="AR11" s="58"/>
      <c r="AS11" s="20">
        <v>0.82835416666666672</v>
      </c>
      <c r="AT11" s="20">
        <v>2.6759374999999999</v>
      </c>
      <c r="AU11" s="51"/>
      <c r="AV11" s="13">
        <f>36/104</f>
        <v>0.34615384615384615</v>
      </c>
      <c r="AW11" s="13">
        <f>54/62</f>
        <v>0.87096774193548387</v>
      </c>
      <c r="AX11" s="13">
        <f>37/61</f>
        <v>0.60655737704918034</v>
      </c>
      <c r="AY11" s="13">
        <f>3/74</f>
        <v>4.0540540540540543E-2</v>
      </c>
      <c r="AZ11" s="13">
        <f>12/48</f>
        <v>0.25</v>
      </c>
      <c r="BA11" s="13">
        <f>1-5/71</f>
        <v>0.92957746478873238</v>
      </c>
      <c r="BB11" s="51"/>
      <c r="BC11" s="13">
        <f>34/108</f>
        <v>0.31481481481481483</v>
      </c>
      <c r="BD11" s="13">
        <f>1-23/129</f>
        <v>0.82170542635658916</v>
      </c>
      <c r="BE11" s="13">
        <f t="shared" si="0"/>
        <v>1</v>
      </c>
      <c r="BF11" s="13">
        <f>1-18/94</f>
        <v>0.8085106382978724</v>
      </c>
      <c r="BG11" s="51"/>
      <c r="BH11" s="13">
        <f>1-2/88</f>
        <v>0.97727272727272729</v>
      </c>
      <c r="BI11" s="13">
        <f>5/104</f>
        <v>4.807692307692308E-2</v>
      </c>
      <c r="BJ11" s="13">
        <f>1/50</f>
        <v>0.02</v>
      </c>
      <c r="BK11" s="13">
        <v>0</v>
      </c>
      <c r="BL11" s="13">
        <f>37/68</f>
        <v>0.54411764705882348</v>
      </c>
      <c r="BM11" s="13">
        <f>4/49</f>
        <v>8.1632653061224483E-2</v>
      </c>
      <c r="BN11" s="13"/>
      <c r="BO11" s="13"/>
      <c r="BP11" s="13"/>
      <c r="BQ11" s="13"/>
      <c r="BR11" s="39"/>
      <c r="BS11" s="16">
        <v>501268.96</v>
      </c>
      <c r="BT11" s="16">
        <v>867262.79</v>
      </c>
      <c r="BU11" s="16">
        <v>379510.7</v>
      </c>
      <c r="BV11" s="16">
        <v>326345.55</v>
      </c>
      <c r="BW11" s="53"/>
      <c r="BX11" s="3">
        <v>2</v>
      </c>
      <c r="BY11" s="3">
        <v>2</v>
      </c>
      <c r="BZ11" s="65" t="s">
        <v>129</v>
      </c>
      <c r="CA11" s="72">
        <v>1.1044540009999999</v>
      </c>
      <c r="CB11" s="72">
        <v>0.31864015699999998</v>
      </c>
      <c r="CC11" s="3"/>
      <c r="CD11" s="75" t="s">
        <v>138</v>
      </c>
      <c r="CE11" s="76"/>
      <c r="CF11" s="76"/>
      <c r="CG11" s="76"/>
      <c r="CH11" s="76"/>
      <c r="CI11" s="76"/>
      <c r="CJ11" s="47"/>
      <c r="CK11" s="18">
        <v>0.48439596250266598</v>
      </c>
      <c r="CL11" s="18">
        <v>0.71799987946850596</v>
      </c>
      <c r="CM11" s="47"/>
      <c r="CN11" s="18">
        <v>2.97762796031973</v>
      </c>
      <c r="CO11" s="18">
        <v>2.77154757229561</v>
      </c>
      <c r="CP11" s="48"/>
      <c r="CQ11" s="72">
        <v>1.0497166840000001</v>
      </c>
      <c r="CR11" s="72">
        <v>0.22375626800000001</v>
      </c>
      <c r="CS11" s="72">
        <v>1.6433806289999999</v>
      </c>
      <c r="CT11" s="68" t="s">
        <v>73</v>
      </c>
      <c r="CU11" s="72">
        <v>0.443</v>
      </c>
      <c r="CV11" s="72">
        <v>0.434</v>
      </c>
      <c r="CW11" s="72">
        <v>0.43</v>
      </c>
      <c r="CX11" s="72">
        <v>0.435</v>
      </c>
      <c r="CY11" s="72">
        <v>0.436</v>
      </c>
      <c r="CZ11" s="72">
        <v>0.439</v>
      </c>
      <c r="DA11" s="23" t="s">
        <v>80</v>
      </c>
      <c r="DB11" s="19">
        <v>649.52200000000005</v>
      </c>
      <c r="DC11" s="19">
        <v>1203.4749999999999</v>
      </c>
      <c r="DD11" s="19">
        <v>758.1</v>
      </c>
      <c r="DE11" s="19">
        <v>668.36699999999996</v>
      </c>
      <c r="DF11" s="19">
        <v>1163.8</v>
      </c>
      <c r="DG11" s="19">
        <v>978.65</v>
      </c>
      <c r="DH11" s="47" t="s">
        <v>79</v>
      </c>
      <c r="DI11" s="21">
        <v>1</v>
      </c>
      <c r="DJ11" s="20">
        <v>0.30112359550561801</v>
      </c>
      <c r="DK11" s="20">
        <v>0.39550561797752798</v>
      </c>
      <c r="DL11" s="23"/>
      <c r="DM11" s="50" t="s">
        <v>63</v>
      </c>
      <c r="DN11" s="41"/>
      <c r="DO11" s="41"/>
      <c r="DP11" s="41"/>
      <c r="DQ11" s="41"/>
    </row>
    <row r="12" spans="1:121">
      <c r="A12" s="51"/>
      <c r="B12" s="10">
        <v>0</v>
      </c>
      <c r="C12" s="10">
        <v>0</v>
      </c>
      <c r="D12" s="10">
        <f>5/41</f>
        <v>0.12195121951219512</v>
      </c>
      <c r="E12" s="10">
        <v>0</v>
      </c>
      <c r="F12" s="10">
        <f>2/46</f>
        <v>4.3478260869565216E-2</v>
      </c>
      <c r="G12" s="10">
        <v>0</v>
      </c>
      <c r="H12" s="10">
        <v>0</v>
      </c>
      <c r="I12" s="51"/>
      <c r="J12" s="13">
        <v>0</v>
      </c>
      <c r="K12" s="13">
        <f>1-34/77</f>
        <v>0.55844155844155852</v>
      </c>
      <c r="L12" s="13">
        <f>54/76</f>
        <v>0.71052631578947367</v>
      </c>
      <c r="M12" s="13">
        <f>1-8/104</f>
        <v>0.92307692307692313</v>
      </c>
      <c r="N12" s="13">
        <f>1-4/76</f>
        <v>0.94736842105263164</v>
      </c>
      <c r="O12" s="13">
        <f>1-6/88</f>
        <v>0.93181818181818188</v>
      </c>
      <c r="P12" s="51"/>
      <c r="Q12" s="13">
        <f>1-41/86</f>
        <v>0.52325581395348841</v>
      </c>
      <c r="R12" s="13">
        <f>28/109</f>
        <v>0.25688073394495414</v>
      </c>
      <c r="S12" s="13">
        <f>17/76</f>
        <v>0.22368421052631579</v>
      </c>
      <c r="T12" s="13">
        <f>30/71</f>
        <v>0.42253521126760563</v>
      </c>
      <c r="U12" s="51"/>
      <c r="V12" s="13">
        <f>2/51</f>
        <v>3.9215686274509803E-2</v>
      </c>
      <c r="W12" s="13">
        <f>3/64</f>
        <v>4.6875E-2</v>
      </c>
      <c r="X12" s="13">
        <f>7/45</f>
        <v>0.15555555555555556</v>
      </c>
      <c r="Y12" s="13">
        <f>2/48</f>
        <v>4.1666666666666664E-2</v>
      </c>
      <c r="Z12" s="51"/>
      <c r="AA12" s="13">
        <f>54/76</f>
        <v>0.71052631578947367</v>
      </c>
      <c r="AB12" s="13">
        <f>1</f>
        <v>1</v>
      </c>
      <c r="AC12" s="13">
        <f>1-3/120</f>
        <v>0.97499999999999998</v>
      </c>
      <c r="AD12" s="13">
        <f>13/100</f>
        <v>0.13</v>
      </c>
      <c r="AE12" s="48"/>
      <c r="AF12" s="13">
        <f>4/101</f>
        <v>3.9603960396039604E-2</v>
      </c>
      <c r="AG12" s="13">
        <f>13/129</f>
        <v>0.10077519379844961</v>
      </c>
      <c r="AH12" s="51"/>
      <c r="AI12" s="13">
        <f>54/76</f>
        <v>0.71052631578947367</v>
      </c>
      <c r="AJ12" s="13">
        <v>0</v>
      </c>
      <c r="AK12" s="13">
        <f>6/60</f>
        <v>0.1</v>
      </c>
      <c r="AL12" s="51"/>
      <c r="AM12" s="13">
        <f>40/78</f>
        <v>0.51282051282051277</v>
      </c>
      <c r="AN12" s="13">
        <f>2/76</f>
        <v>2.6315789473684209E-2</v>
      </c>
      <c r="AO12" s="13">
        <f>1/78</f>
        <v>1.282051282051282E-2</v>
      </c>
      <c r="AP12" s="13">
        <f>2/84</f>
        <v>2.3809523809523808E-2</v>
      </c>
      <c r="AQ12" s="13">
        <f>9/30</f>
        <v>0.3</v>
      </c>
      <c r="AR12" s="58"/>
      <c r="AS12" s="20">
        <v>0.79802083333333329</v>
      </c>
      <c r="AT12" s="20">
        <v>2.6680416666666669</v>
      </c>
      <c r="AU12" s="51"/>
      <c r="AV12" s="13">
        <f>17/76</f>
        <v>0.22368421052631579</v>
      </c>
      <c r="AW12" s="13">
        <v>1</v>
      </c>
      <c r="AX12" s="13">
        <f>57/82</f>
        <v>0.69512195121951215</v>
      </c>
      <c r="AY12" s="13">
        <f>1/73</f>
        <v>1.3698630136986301E-2</v>
      </c>
      <c r="AZ12" s="13">
        <f>12/34</f>
        <v>0.35294117647058826</v>
      </c>
      <c r="BA12" s="13">
        <f>1-9/77</f>
        <v>0.88311688311688308</v>
      </c>
      <c r="BB12" s="51"/>
      <c r="BC12" s="13">
        <f>54/76</f>
        <v>0.71052631578947367</v>
      </c>
      <c r="BD12" s="13">
        <f>1-9/79</f>
        <v>0.88607594936708867</v>
      </c>
      <c r="BE12" s="13">
        <f t="shared" si="0"/>
        <v>1</v>
      </c>
      <c r="BF12" s="13">
        <f>1-12/86</f>
        <v>0.86046511627906974</v>
      </c>
      <c r="BG12" s="51"/>
      <c r="BH12" s="13">
        <f>1</f>
        <v>1</v>
      </c>
      <c r="BI12" s="13">
        <f>4/101</f>
        <v>3.9603960396039604E-2</v>
      </c>
      <c r="BJ12" s="13">
        <v>0</v>
      </c>
      <c r="BK12" s="13">
        <f>1/42</f>
        <v>2.3809523809523808E-2</v>
      </c>
      <c r="BL12" s="13">
        <f>12/49</f>
        <v>0.24489795918367346</v>
      </c>
      <c r="BM12" s="13">
        <f>10/63</f>
        <v>0.15873015873015872</v>
      </c>
      <c r="BN12" s="60" t="s">
        <v>87</v>
      </c>
      <c r="BO12" s="61"/>
      <c r="BP12" s="61"/>
      <c r="BQ12" s="61"/>
      <c r="BR12" s="39"/>
      <c r="BS12" s="16">
        <v>287147.90000000002</v>
      </c>
      <c r="BT12" s="16">
        <v>380109.68</v>
      </c>
      <c r="BU12" s="16">
        <v>385772.39</v>
      </c>
      <c r="BV12" s="16">
        <v>378848.16</v>
      </c>
      <c r="BW12" s="53"/>
      <c r="BX12" s="3">
        <v>3</v>
      </c>
      <c r="BY12" s="3">
        <v>2</v>
      </c>
      <c r="BZ12" s="71"/>
      <c r="CA12" s="72">
        <v>0.96148305199999995</v>
      </c>
      <c r="CB12" s="72">
        <v>0.39776824199999999</v>
      </c>
      <c r="CC12" s="23" t="s">
        <v>68</v>
      </c>
      <c r="CD12" s="77">
        <v>0.248</v>
      </c>
      <c r="CE12" s="77">
        <v>0.28199999999999997</v>
      </c>
      <c r="CF12" s="77">
        <v>0.28299999999999997</v>
      </c>
      <c r="CG12" s="77">
        <v>0.27200000000000002</v>
      </c>
      <c r="CH12" s="77">
        <v>0.27400000000000002</v>
      </c>
      <c r="CI12" s="77">
        <v>0.27400000000000002</v>
      </c>
      <c r="CJ12" s="47"/>
      <c r="CK12" s="18">
        <v>0.81913678151751901</v>
      </c>
      <c r="CL12" s="18">
        <v>0.27250102132206599</v>
      </c>
      <c r="CM12" s="47"/>
      <c r="CN12" s="18">
        <v>3.6418870104531398</v>
      </c>
      <c r="CO12" s="18">
        <v>2.6366130209389</v>
      </c>
      <c r="CP12" s="48"/>
      <c r="CQ12" s="72">
        <v>0.89502507099999995</v>
      </c>
      <c r="CR12" s="72">
        <v>0.200267469</v>
      </c>
      <c r="CS12" s="72">
        <v>1.609560345</v>
      </c>
      <c r="CT12" s="68" t="s">
        <v>77</v>
      </c>
      <c r="CU12" s="72">
        <v>0.46400000000000002</v>
      </c>
      <c r="CV12" s="72">
        <v>0.44500000000000001</v>
      </c>
      <c r="CW12" s="72">
        <v>0.438</v>
      </c>
      <c r="CX12" s="72">
        <v>0.439</v>
      </c>
      <c r="CY12" s="72">
        <v>0.433</v>
      </c>
      <c r="CZ12" s="72">
        <v>0.45200000000000001</v>
      </c>
      <c r="DA12" s="20"/>
      <c r="DB12" s="42" t="s">
        <v>63</v>
      </c>
      <c r="DC12" s="49"/>
      <c r="DD12" s="49"/>
      <c r="DE12" s="49"/>
      <c r="DF12" s="49"/>
      <c r="DG12" s="49"/>
      <c r="DH12" s="48"/>
      <c r="DI12" s="21">
        <v>0.87640449438202295</v>
      </c>
      <c r="DJ12" s="20">
        <v>0.35056179775280899</v>
      </c>
      <c r="DK12" s="20">
        <v>0.49438202247190999</v>
      </c>
      <c r="DL12" s="23" t="s">
        <v>68</v>
      </c>
      <c r="DM12" s="19">
        <v>0.21299999999999999</v>
      </c>
      <c r="DN12" s="19">
        <v>0.214</v>
      </c>
      <c r="DO12" s="19">
        <v>0.22600000000000001</v>
      </c>
      <c r="DP12" s="19">
        <v>0.20799999999999999</v>
      </c>
      <c r="DQ12" s="19">
        <v>0.215</v>
      </c>
    </row>
    <row r="13" spans="1:121">
      <c r="A13" s="51"/>
      <c r="B13" s="10">
        <f>3/44</f>
        <v>6.8181818181818177E-2</v>
      </c>
      <c r="C13" s="10">
        <v>0</v>
      </c>
      <c r="D13" s="10">
        <f>2/59</f>
        <v>3.3898305084745763E-2</v>
      </c>
      <c r="E13" s="10">
        <v>0</v>
      </c>
      <c r="F13" s="10">
        <f>3/59</f>
        <v>5.0847457627118647E-2</v>
      </c>
      <c r="G13" s="10">
        <f>1/51</f>
        <v>1.9607843137254902E-2</v>
      </c>
      <c r="H13" s="10">
        <f>1/55</f>
        <v>1.8181818181818181E-2</v>
      </c>
      <c r="I13" s="51"/>
      <c r="J13" s="13">
        <v>0</v>
      </c>
      <c r="K13" s="13">
        <f>1-15/69</f>
        <v>0.78260869565217395</v>
      </c>
      <c r="L13" s="13">
        <f>31/99</f>
        <v>0.31313131313131315</v>
      </c>
      <c r="M13" s="13">
        <f>1-3/113</f>
        <v>0.97345132743362828</v>
      </c>
      <c r="N13" s="13">
        <v>1</v>
      </c>
      <c r="O13" s="13">
        <f>1-9/76</f>
        <v>0.88157894736842102</v>
      </c>
      <c r="P13" s="51"/>
      <c r="Q13" s="13">
        <f>1-33/80</f>
        <v>0.58750000000000002</v>
      </c>
      <c r="R13" s="13">
        <f>30/97</f>
        <v>0.30927835051546393</v>
      </c>
      <c r="S13" s="13">
        <f>25/99</f>
        <v>0.25252525252525254</v>
      </c>
      <c r="T13" s="13">
        <f>32/80</f>
        <v>0.4</v>
      </c>
      <c r="U13" s="51"/>
      <c r="V13" s="13">
        <v>0</v>
      </c>
      <c r="W13" s="13">
        <f>4/56</f>
        <v>7.1428571428571425E-2</v>
      </c>
      <c r="X13" s="13">
        <f>6/42</f>
        <v>0.14285714285714285</v>
      </c>
      <c r="Y13" s="13">
        <f>4/45</f>
        <v>8.8888888888888892E-2</v>
      </c>
      <c r="Z13" s="51"/>
      <c r="AA13" s="13">
        <f>31/99</f>
        <v>0.31313131313131315</v>
      </c>
      <c r="AB13" s="13">
        <f>1-5/61</f>
        <v>0.91803278688524592</v>
      </c>
      <c r="AC13" s="13">
        <f>1-9/103</f>
        <v>0.91262135922330101</v>
      </c>
      <c r="AD13" s="13">
        <f>21/105</f>
        <v>0.2</v>
      </c>
      <c r="AE13" s="48"/>
      <c r="AF13" s="13">
        <f>6/70</f>
        <v>8.5714285714285715E-2</v>
      </c>
      <c r="AG13" s="13">
        <f>31/121</f>
        <v>0.256198347107438</v>
      </c>
      <c r="AH13" s="51"/>
      <c r="AI13" s="13">
        <f>31/99</f>
        <v>0.31313131313131315</v>
      </c>
      <c r="AJ13" s="13">
        <f>1/74</f>
        <v>1.3513513513513514E-2</v>
      </c>
      <c r="AK13" s="13">
        <f>12/86</f>
        <v>0.13953488372093023</v>
      </c>
      <c r="AL13" s="51"/>
      <c r="AM13" s="13">
        <f>25/55</f>
        <v>0.45454545454545453</v>
      </c>
      <c r="AN13" s="13">
        <v>0</v>
      </c>
      <c r="AO13" s="13">
        <v>1.2345679012345701E-4</v>
      </c>
      <c r="AP13" s="13">
        <f>2/88</f>
        <v>2.2727272727272728E-2</v>
      </c>
      <c r="AQ13" s="13">
        <f>16/63</f>
        <v>0.25396825396825395</v>
      </c>
      <c r="AR13" s="58"/>
      <c r="AS13" s="20">
        <v>0.76977083333333329</v>
      </c>
      <c r="AT13" s="20">
        <v>2.2019166666666665</v>
      </c>
      <c r="AU13" s="51"/>
      <c r="AV13" s="13">
        <f>30/83</f>
        <v>0.36144578313253012</v>
      </c>
      <c r="AW13" s="13">
        <f>40/43</f>
        <v>0.93023255813953487</v>
      </c>
      <c r="AX13" s="13">
        <f>41/50</f>
        <v>0.82</v>
      </c>
      <c r="AY13" s="13">
        <f>2/84</f>
        <v>2.3809523809523808E-2</v>
      </c>
      <c r="AZ13" s="13">
        <f>7/59</f>
        <v>0.11864406779661017</v>
      </c>
      <c r="BA13" s="13">
        <f>1-3/44</f>
        <v>0.93181818181818188</v>
      </c>
      <c r="BB13" s="51"/>
      <c r="BC13" s="13">
        <f>31/99</f>
        <v>0.31313131313131315</v>
      </c>
      <c r="BD13" s="13">
        <f>1-17/97</f>
        <v>0.82474226804123707</v>
      </c>
      <c r="BE13" s="13">
        <f t="shared" si="0"/>
        <v>1</v>
      </c>
      <c r="BF13" s="13">
        <f>1-15/106</f>
        <v>0.85849056603773588</v>
      </c>
      <c r="BG13" s="51"/>
      <c r="BH13" s="13">
        <f>1-4/70</f>
        <v>0.94285714285714284</v>
      </c>
      <c r="BI13" s="13">
        <v>0</v>
      </c>
      <c r="BJ13" s="13">
        <v>0</v>
      </c>
      <c r="BK13" s="13">
        <v>0</v>
      </c>
      <c r="BL13" s="13">
        <f>14/45</f>
        <v>0.31111111111111112</v>
      </c>
      <c r="BM13" s="13">
        <f>8/40</f>
        <v>0.2</v>
      </c>
      <c r="BN13" s="29" t="s">
        <v>86</v>
      </c>
      <c r="BO13" s="62" t="s">
        <v>85</v>
      </c>
      <c r="BP13" s="63"/>
      <c r="BQ13" s="63"/>
      <c r="BR13" s="39"/>
      <c r="BS13" s="16">
        <v>277074.28999999998</v>
      </c>
      <c r="BT13" s="16">
        <v>556567.15</v>
      </c>
      <c r="BU13" s="16">
        <v>381353.81</v>
      </c>
      <c r="BV13" s="16">
        <v>305438.73</v>
      </c>
      <c r="BW13" s="53"/>
      <c r="BX13" s="3">
        <v>2</v>
      </c>
      <c r="BY13" s="3">
        <v>1</v>
      </c>
      <c r="BZ13" s="71"/>
      <c r="CA13" s="72">
        <v>0.94169601700000005</v>
      </c>
      <c r="CB13" s="72">
        <v>0.46976137499999998</v>
      </c>
      <c r="CC13" s="23" t="s">
        <v>70</v>
      </c>
      <c r="CD13" s="77">
        <v>0.433</v>
      </c>
      <c r="CE13" s="77">
        <v>0.34799999999999998</v>
      </c>
      <c r="CF13" s="77">
        <v>0.379</v>
      </c>
      <c r="CG13" s="77">
        <v>0.38100000000000001</v>
      </c>
      <c r="CH13" s="77">
        <v>0.36</v>
      </c>
      <c r="CI13" s="77">
        <v>0.36899999999999999</v>
      </c>
      <c r="CJ13" s="47"/>
      <c r="CK13" s="18">
        <v>4.0177972252604501</v>
      </c>
      <c r="CL13" s="18">
        <v>0.69260573840809503</v>
      </c>
      <c r="CM13" s="47"/>
      <c r="CN13" s="18">
        <v>4.3365619011107697</v>
      </c>
      <c r="CO13" s="18">
        <v>4.1903778152642701</v>
      </c>
      <c r="CP13" s="6" t="s">
        <v>72</v>
      </c>
      <c r="CQ13" s="35">
        <f>AVERAGE(CQ10:CQ12)</f>
        <v>1.0030373123333334</v>
      </c>
      <c r="CR13" s="35">
        <f>AVERAGE(CR10:CR12)</f>
        <v>0.21439172233333334</v>
      </c>
      <c r="CS13" s="79">
        <f>AVERAGE(CS10:CS12)</f>
        <v>1.6025579283333335</v>
      </c>
      <c r="CT13" s="18"/>
      <c r="CU13" s="72"/>
      <c r="CV13" s="72"/>
      <c r="CW13" s="72"/>
      <c r="CX13" s="72"/>
      <c r="CY13" s="72"/>
      <c r="CZ13" s="72"/>
      <c r="DA13" s="23" t="s">
        <v>69</v>
      </c>
      <c r="DB13" s="19">
        <v>51.637500000000003</v>
      </c>
      <c r="DC13" s="19">
        <v>73.5685</v>
      </c>
      <c r="DD13" s="19">
        <v>83.757999999999996</v>
      </c>
      <c r="DE13" s="19">
        <v>83.75</v>
      </c>
      <c r="DF13" s="19">
        <v>74.087999999999994</v>
      </c>
      <c r="DG13" s="19">
        <v>65.268000000000001</v>
      </c>
      <c r="DH13" s="48"/>
      <c r="DI13" s="20">
        <v>0.94382022471910099</v>
      </c>
      <c r="DJ13" s="20">
        <v>0.244943820224719</v>
      </c>
      <c r="DK13" s="20">
        <v>0.37977528089887602</v>
      </c>
      <c r="DL13" s="23" t="s">
        <v>70</v>
      </c>
      <c r="DM13" s="19">
        <v>0.19</v>
      </c>
      <c r="DN13" s="19">
        <v>0.23599999999999999</v>
      </c>
      <c r="DO13" s="19">
        <v>0.25600000000000001</v>
      </c>
      <c r="DP13" s="19">
        <v>0.23400000000000001</v>
      </c>
      <c r="DQ13" s="19">
        <v>0.22700000000000001</v>
      </c>
    </row>
    <row r="14" spans="1:121">
      <c r="A14" s="51"/>
      <c r="B14" s="10">
        <v>0</v>
      </c>
      <c r="C14" s="10">
        <v>0</v>
      </c>
      <c r="D14" s="10">
        <v>0</v>
      </c>
      <c r="E14" s="10">
        <v>0</v>
      </c>
      <c r="F14" s="10">
        <f>2/63</f>
        <v>3.1746031746031744E-2</v>
      </c>
      <c r="G14" s="10">
        <f>1/57</f>
        <v>1.7543859649122806E-2</v>
      </c>
      <c r="H14" s="10">
        <f>2/74</f>
        <v>2.7027027027027029E-2</v>
      </c>
      <c r="I14" s="51"/>
      <c r="J14" s="13">
        <v>2.0408163265306099E-4</v>
      </c>
      <c r="K14" s="13">
        <f>1-22/72</f>
        <v>0.69444444444444442</v>
      </c>
      <c r="L14" s="13">
        <f>34/91</f>
        <v>0.37362637362637363</v>
      </c>
      <c r="M14" s="13">
        <f>1-17/88</f>
        <v>0.80681818181818188</v>
      </c>
      <c r="N14" s="13">
        <v>1</v>
      </c>
      <c r="O14" s="13">
        <f>1-3/88</f>
        <v>0.96590909090909094</v>
      </c>
      <c r="P14" s="51"/>
      <c r="Q14" s="13">
        <f>1-38/81</f>
        <v>0.53086419753086422</v>
      </c>
      <c r="R14" s="13">
        <f>23/81</f>
        <v>0.2839506172839506</v>
      </c>
      <c r="S14" s="13">
        <f>58/112</f>
        <v>0.5178571428571429</v>
      </c>
      <c r="T14" s="13">
        <f>32/66</f>
        <v>0.48484848484848486</v>
      </c>
      <c r="U14" s="51"/>
      <c r="V14" s="13">
        <v>2.0408163265306099E-4</v>
      </c>
      <c r="W14" s="13">
        <f>2/70</f>
        <v>2.8571428571428571E-2</v>
      </c>
      <c r="X14" s="13">
        <f>3/68</f>
        <v>4.4117647058823532E-2</v>
      </c>
      <c r="Y14" s="13">
        <v>0</v>
      </c>
      <c r="Z14" s="51"/>
      <c r="AA14" s="13">
        <f>34/91</f>
        <v>0.37362637362637363</v>
      </c>
      <c r="AB14" s="13">
        <f>1</f>
        <v>1</v>
      </c>
      <c r="AC14" s="13">
        <f>1-7/124</f>
        <v>0.94354838709677424</v>
      </c>
      <c r="AD14" s="13">
        <f>31/101</f>
        <v>0.30693069306930693</v>
      </c>
      <c r="AE14" s="48"/>
      <c r="AF14" s="13">
        <f>0</f>
        <v>0</v>
      </c>
      <c r="AG14" s="13">
        <f>22/81</f>
        <v>0.27160493827160492</v>
      </c>
      <c r="AH14" s="51"/>
      <c r="AI14" s="13">
        <f>34/91</f>
        <v>0.37362637362637363</v>
      </c>
      <c r="AJ14" s="13">
        <f>0</f>
        <v>0</v>
      </c>
      <c r="AK14" s="13">
        <f>7/59</f>
        <v>0.11864406779661017</v>
      </c>
      <c r="AL14" s="51"/>
      <c r="AM14" s="13">
        <f>30/58</f>
        <v>0.51724137931034486</v>
      </c>
      <c r="AN14" s="13">
        <v>0</v>
      </c>
      <c r="AO14" s="13">
        <f>1/74</f>
        <v>1.3513513513513514E-2</v>
      </c>
      <c r="AP14" s="13">
        <f>1/96</f>
        <v>1.0416666666666666E-2</v>
      </c>
      <c r="AQ14" s="13">
        <f>17/77</f>
        <v>0.22077922077922077</v>
      </c>
      <c r="AR14" s="58"/>
      <c r="AS14" s="20">
        <v>0.71183333333333332</v>
      </c>
      <c r="AT14" s="20">
        <v>2.0128958333333333</v>
      </c>
      <c r="AU14" s="51"/>
      <c r="AV14" s="13">
        <f>20/97</f>
        <v>0.20618556701030927</v>
      </c>
      <c r="AW14" s="13">
        <v>1</v>
      </c>
      <c r="AX14" s="13">
        <f>44/51</f>
        <v>0.86274509803921573</v>
      </c>
      <c r="AY14" s="13">
        <f>2/65</f>
        <v>3.0769230769230771E-2</v>
      </c>
      <c r="AZ14" s="13">
        <f>11/59</f>
        <v>0.1864406779661017</v>
      </c>
      <c r="BA14" s="13">
        <f>1-7/48</f>
        <v>0.85416666666666663</v>
      </c>
      <c r="BB14" s="51"/>
      <c r="BC14" s="13">
        <f>34/91</f>
        <v>0.37362637362637363</v>
      </c>
      <c r="BD14" s="13">
        <f>1-24/95</f>
        <v>0.74736842105263157</v>
      </c>
      <c r="BE14" s="13">
        <f>1-7/102</f>
        <v>0.93137254901960786</v>
      </c>
      <c r="BF14" s="13">
        <f>1-7/90</f>
        <v>0.92222222222222228</v>
      </c>
      <c r="BG14" s="51"/>
      <c r="BH14" s="13">
        <f>1-3/76</f>
        <v>0.96052631578947367</v>
      </c>
      <c r="BI14" s="13">
        <v>0</v>
      </c>
      <c r="BJ14" s="13">
        <v>0</v>
      </c>
      <c r="BK14" s="13">
        <v>0</v>
      </c>
      <c r="BL14" s="13">
        <f>16/61</f>
        <v>0.26229508196721313</v>
      </c>
      <c r="BM14" s="13">
        <f>8/56</f>
        <v>0.14285714285714285</v>
      </c>
      <c r="BN14" s="30">
        <v>0</v>
      </c>
      <c r="BO14" s="31">
        <v>1</v>
      </c>
      <c r="BP14" s="31">
        <v>1</v>
      </c>
      <c r="BQ14" s="31">
        <v>1</v>
      </c>
      <c r="BR14" s="39"/>
      <c r="BS14" s="16">
        <v>296056.28999999998</v>
      </c>
      <c r="BT14" s="16">
        <v>727159.06</v>
      </c>
      <c r="BU14" s="16">
        <v>417475.91</v>
      </c>
      <c r="BV14" s="16">
        <v>366716.61</v>
      </c>
      <c r="BW14" s="53"/>
      <c r="BX14" s="3">
        <v>3</v>
      </c>
      <c r="BY14" s="3">
        <v>2</v>
      </c>
      <c r="BZ14" s="6" t="s">
        <v>72</v>
      </c>
      <c r="CA14" s="35">
        <f>AVERAGE(CA11:CA13)</f>
        <v>1.0025443566666665</v>
      </c>
      <c r="CB14" s="35">
        <f>AVERAGE(CB11:CB13)</f>
        <v>0.39538992466666661</v>
      </c>
      <c r="CC14" s="23" t="s">
        <v>73</v>
      </c>
      <c r="CD14" s="77">
        <v>0.55500000000000005</v>
      </c>
      <c r="CE14" s="77">
        <v>0.50900000000000001</v>
      </c>
      <c r="CF14" s="77">
        <v>0.53100000000000003</v>
      </c>
      <c r="CG14" s="77">
        <v>0.495</v>
      </c>
      <c r="CH14" s="77">
        <v>0.51700000000000002</v>
      </c>
      <c r="CI14" s="77">
        <v>0.501</v>
      </c>
      <c r="CJ14" s="47"/>
      <c r="CK14" s="18">
        <v>0.83794324189102698</v>
      </c>
      <c r="CL14" s="18">
        <v>0.556502989181201</v>
      </c>
      <c r="CM14" s="47"/>
      <c r="CN14" s="18">
        <v>2.84374270494853</v>
      </c>
      <c r="CO14" s="18">
        <v>4.7629228026418202</v>
      </c>
      <c r="CP14" s="18"/>
      <c r="CQ14" s="72"/>
      <c r="CR14" s="72"/>
      <c r="CS14" s="72"/>
      <c r="CT14" s="3"/>
      <c r="CU14" s="75" t="s">
        <v>133</v>
      </c>
      <c r="CV14" s="76"/>
      <c r="CW14" s="76"/>
      <c r="CX14" s="76"/>
      <c r="CY14" s="76"/>
      <c r="CZ14" s="76"/>
      <c r="DA14" s="23" t="s">
        <v>71</v>
      </c>
      <c r="DB14" s="19">
        <v>148.83750000000001</v>
      </c>
      <c r="DC14" s="19">
        <v>56.073999999999998</v>
      </c>
      <c r="DD14" s="19">
        <v>82.837500000000006</v>
      </c>
      <c r="DE14" s="19">
        <v>131.58750000000001</v>
      </c>
      <c r="DF14" s="19">
        <v>91.25</v>
      </c>
      <c r="DG14" s="19">
        <v>113.1435</v>
      </c>
      <c r="DH14" s="6" t="s">
        <v>72</v>
      </c>
      <c r="DI14" s="35">
        <f>AVERAGE(DI11:DI13)</f>
        <v>0.94007490636704139</v>
      </c>
      <c r="DJ14" s="35">
        <f>AVERAGE(DJ11:DJ13)</f>
        <v>0.29887640449438196</v>
      </c>
      <c r="DK14" s="35">
        <f>AVERAGE(DK11:DK13)</f>
        <v>0.42322097378277129</v>
      </c>
      <c r="DL14" s="23" t="s">
        <v>73</v>
      </c>
      <c r="DM14" s="19">
        <v>0.255</v>
      </c>
      <c r="DN14" s="19">
        <v>0.23599999999999999</v>
      </c>
      <c r="DO14" s="19">
        <v>0.23300000000000001</v>
      </c>
      <c r="DP14" s="19">
        <v>0.253</v>
      </c>
      <c r="DQ14" s="19">
        <v>0.22600000000000001</v>
      </c>
    </row>
    <row r="15" spans="1:121">
      <c r="A15" s="51"/>
      <c r="B15" s="10">
        <f>1/37</f>
        <v>2.7027027027027029E-2</v>
      </c>
      <c r="C15" s="10">
        <v>0</v>
      </c>
      <c r="D15" s="10">
        <f>1/82</f>
        <v>1.2195121951219513E-2</v>
      </c>
      <c r="E15" s="10">
        <v>0</v>
      </c>
      <c r="F15" s="10">
        <f>6/57</f>
        <v>0.10526315789473684</v>
      </c>
      <c r="G15" s="10">
        <v>0</v>
      </c>
      <c r="H15" s="10">
        <v>0</v>
      </c>
      <c r="I15" s="51"/>
      <c r="J15" s="13">
        <v>0</v>
      </c>
      <c r="K15" s="13">
        <f>1-32/89</f>
        <v>0.6404494382022472</v>
      </c>
      <c r="L15" s="13">
        <f>23/82</f>
        <v>0.28048780487804881</v>
      </c>
      <c r="M15" s="13">
        <f>1-13/110</f>
        <v>0.88181818181818183</v>
      </c>
      <c r="N15" s="13">
        <f>1-3/79</f>
        <v>0.96202531645569622</v>
      </c>
      <c r="O15" s="13">
        <v>1</v>
      </c>
      <c r="P15" s="51"/>
      <c r="Q15" s="13">
        <f>1-31/75</f>
        <v>0.58666666666666667</v>
      </c>
      <c r="R15" s="13">
        <f>24/89</f>
        <v>0.2696629213483146</v>
      </c>
      <c r="S15" s="13">
        <f>17/91</f>
        <v>0.18681318681318682</v>
      </c>
      <c r="T15" s="13">
        <f>24/71</f>
        <v>0.3380281690140845</v>
      </c>
      <c r="U15" s="51"/>
      <c r="V15" s="13">
        <f>2/48</f>
        <v>4.1666666666666664E-2</v>
      </c>
      <c r="W15" s="13">
        <f>4/36</f>
        <v>0.1111111111111111</v>
      </c>
      <c r="X15" s="13">
        <f>6/70</f>
        <v>8.5714285714285715E-2</v>
      </c>
      <c r="Y15" s="13">
        <v>0</v>
      </c>
      <c r="Z15" s="51"/>
      <c r="AA15" s="13">
        <f>23/82</f>
        <v>0.28048780487804881</v>
      </c>
      <c r="AB15" s="13">
        <f>1</f>
        <v>1</v>
      </c>
      <c r="AC15" s="13">
        <f>1-13/136</f>
        <v>0.90441176470588236</v>
      </c>
      <c r="AD15" s="13">
        <f>40/135</f>
        <v>0.29629629629629628</v>
      </c>
      <c r="AE15" s="48"/>
      <c r="AF15" s="13">
        <f>8/79</f>
        <v>0.10126582278481013</v>
      </c>
      <c r="AG15" s="13">
        <f>16/79</f>
        <v>0.20253164556962025</v>
      </c>
      <c r="AH15" s="51"/>
      <c r="AI15" s="13">
        <f>23/82</f>
        <v>0.28048780487804881</v>
      </c>
      <c r="AJ15" s="13">
        <v>0</v>
      </c>
      <c r="AK15" s="13">
        <f>6/68</f>
        <v>8.8235294117647065E-2</v>
      </c>
      <c r="AL15" s="51"/>
      <c r="AM15" s="13">
        <f>37/68</f>
        <v>0.54411764705882348</v>
      </c>
      <c r="AN15" s="13">
        <v>0</v>
      </c>
      <c r="AO15" s="13">
        <v>0</v>
      </c>
      <c r="AP15" s="13">
        <v>0</v>
      </c>
      <c r="AQ15" s="13">
        <f>4/82</f>
        <v>4.878048780487805E-2</v>
      </c>
      <c r="AR15" s="58"/>
      <c r="AS15" s="20">
        <v>0.70558333333333334</v>
      </c>
      <c r="AT15" s="20">
        <v>1.8438749999999999</v>
      </c>
      <c r="AU15" s="51"/>
      <c r="AV15" s="13">
        <f>33/89</f>
        <v>0.3707865168539326</v>
      </c>
      <c r="AW15" s="13">
        <f>47/50</f>
        <v>0.94</v>
      </c>
      <c r="AX15" s="13">
        <f>36/56</f>
        <v>0.6428571428571429</v>
      </c>
      <c r="AY15" s="13">
        <v>0</v>
      </c>
      <c r="AZ15" s="13">
        <f>2/40</f>
        <v>0.05</v>
      </c>
      <c r="BA15" s="13">
        <f>1-3/53</f>
        <v>0.94339622641509435</v>
      </c>
      <c r="BB15" s="51"/>
      <c r="BC15" s="13">
        <f>23/82</f>
        <v>0.28048780487804881</v>
      </c>
      <c r="BD15" s="13">
        <f>1-21/107</f>
        <v>0.80373831775700932</v>
      </c>
      <c r="BE15" s="13">
        <f>1</f>
        <v>1</v>
      </c>
      <c r="BF15" s="13">
        <f>1-25/93</f>
        <v>0.73118279569892475</v>
      </c>
      <c r="BG15" s="51"/>
      <c r="BH15" s="13">
        <f>1</f>
        <v>1</v>
      </c>
      <c r="BI15" s="13">
        <v>0</v>
      </c>
      <c r="BJ15" s="13">
        <f>2/56</f>
        <v>3.5714285714285712E-2</v>
      </c>
      <c r="BK15" s="13">
        <v>0</v>
      </c>
      <c r="BL15" s="13">
        <f>52/72</f>
        <v>0.72222222222222221</v>
      </c>
      <c r="BM15" s="13">
        <f>3/64</f>
        <v>4.6875E-2</v>
      </c>
      <c r="BN15" s="30">
        <v>2</v>
      </c>
      <c r="BO15" s="31">
        <v>0.91285400000000005</v>
      </c>
      <c r="BP15" s="31">
        <v>0.80871000000000004</v>
      </c>
      <c r="BQ15" s="31">
        <v>0.91937100000000005</v>
      </c>
      <c r="BR15" s="39"/>
      <c r="BS15" s="16">
        <v>486509.52</v>
      </c>
      <c r="BT15" s="16">
        <v>443357.75</v>
      </c>
      <c r="BU15" s="16">
        <v>266906.18</v>
      </c>
      <c r="BV15" s="16">
        <v>346443.34</v>
      </c>
      <c r="BW15" s="53"/>
      <c r="BX15" s="3">
        <v>2</v>
      </c>
      <c r="BY15" s="3">
        <v>2</v>
      </c>
      <c r="BZ15" s="36" t="s">
        <v>40</v>
      </c>
      <c r="CA15" s="63"/>
      <c r="CB15" s="63"/>
      <c r="CC15" s="23" t="s">
        <v>75</v>
      </c>
      <c r="CD15" s="77">
        <v>0.67300000000000004</v>
      </c>
      <c r="CE15" s="77">
        <v>0.58499999999999996</v>
      </c>
      <c r="CF15" s="77">
        <v>0.59499999999999997</v>
      </c>
      <c r="CG15" s="77">
        <v>0.58399999999999996</v>
      </c>
      <c r="CH15" s="77">
        <v>0.76900000000000002</v>
      </c>
      <c r="CI15" s="77">
        <v>0.72599999999999998</v>
      </c>
      <c r="CJ15" s="47"/>
      <c r="CK15" s="18">
        <v>0.36479652285873099</v>
      </c>
      <c r="CL15" s="18">
        <v>0.29207494997754202</v>
      </c>
      <c r="CM15" s="47"/>
      <c r="CN15" s="18">
        <v>2.7840851427347602</v>
      </c>
      <c r="CO15" s="18">
        <v>3.9306143484810998</v>
      </c>
      <c r="CP15" s="69"/>
      <c r="CQ15" s="72"/>
      <c r="CR15" s="72"/>
      <c r="CS15" s="72"/>
      <c r="CT15" s="23" t="s">
        <v>68</v>
      </c>
      <c r="CU15" s="72">
        <v>0.29299999999999998</v>
      </c>
      <c r="CV15" s="72">
        <v>0.30199999999999999</v>
      </c>
      <c r="CW15" s="72">
        <v>0.29499999999999998</v>
      </c>
      <c r="CX15" s="72">
        <v>0.29799999999999999</v>
      </c>
      <c r="CY15" s="72">
        <v>0.28999999999999998</v>
      </c>
      <c r="CZ15" s="72">
        <v>0.29599999999999999</v>
      </c>
      <c r="DA15" s="23" t="s">
        <v>74</v>
      </c>
      <c r="DB15" s="19">
        <v>167.214</v>
      </c>
      <c r="DC15" s="19">
        <v>88.75</v>
      </c>
      <c r="DD15" s="19">
        <v>127.05</v>
      </c>
      <c r="DE15" s="19">
        <v>137.92400000000001</v>
      </c>
      <c r="DF15" s="19">
        <v>172.30950000000001</v>
      </c>
      <c r="DG15" s="19">
        <v>114.0475</v>
      </c>
      <c r="DH15" s="3"/>
      <c r="DI15" s="3"/>
      <c r="DJ15" s="3"/>
      <c r="DK15" s="3"/>
      <c r="DL15" s="23" t="s">
        <v>75</v>
      </c>
      <c r="DM15" s="19">
        <v>0.32600000000000001</v>
      </c>
      <c r="DN15" s="19">
        <v>0.34</v>
      </c>
      <c r="DO15" s="19">
        <v>0.318</v>
      </c>
      <c r="DP15" s="19">
        <v>0.318</v>
      </c>
      <c r="DQ15" s="19">
        <v>0.32300000000000001</v>
      </c>
    </row>
    <row r="16" spans="1:121">
      <c r="A16" s="51"/>
      <c r="B16" s="10">
        <f>1/40</f>
        <v>2.5000000000000001E-2</v>
      </c>
      <c r="C16" s="10">
        <v>0</v>
      </c>
      <c r="D16" s="10">
        <f>3/62</f>
        <v>4.8387096774193547E-2</v>
      </c>
      <c r="E16" s="10">
        <v>0</v>
      </c>
      <c r="F16" s="10">
        <f>1/67</f>
        <v>1.4925373134328358E-2</v>
      </c>
      <c r="G16" s="10">
        <v>0</v>
      </c>
      <c r="H16" s="10">
        <v>0</v>
      </c>
      <c r="I16" s="51"/>
      <c r="J16" s="13">
        <v>0</v>
      </c>
      <c r="K16" s="13">
        <f>1-17/85</f>
        <v>0.8</v>
      </c>
      <c r="L16" s="13">
        <f>26/81</f>
        <v>0.32098765432098764</v>
      </c>
      <c r="M16" s="13">
        <f>1-17/115</f>
        <v>0.85217391304347823</v>
      </c>
      <c r="N16" s="13">
        <v>1</v>
      </c>
      <c r="O16" s="13">
        <f>1-7/81</f>
        <v>0.91358024691358031</v>
      </c>
      <c r="P16" s="51"/>
      <c r="Q16" s="13">
        <f>1-19/77</f>
        <v>0.75324675324675328</v>
      </c>
      <c r="R16" s="13">
        <f>19/88</f>
        <v>0.21590909090909091</v>
      </c>
      <c r="S16" s="13">
        <f>21/93</f>
        <v>0.22580645161290322</v>
      </c>
      <c r="T16" s="13">
        <f>28/63</f>
        <v>0.44444444444444442</v>
      </c>
      <c r="U16" s="51"/>
      <c r="V16" s="13">
        <v>0</v>
      </c>
      <c r="W16" s="13">
        <f>4/25</f>
        <v>0.16</v>
      </c>
      <c r="X16" s="13">
        <f>2/65</f>
        <v>3.0769230769230771E-2</v>
      </c>
      <c r="Y16" s="13">
        <f>3/49</f>
        <v>6.1224489795918366E-2</v>
      </c>
      <c r="Z16" s="51"/>
      <c r="AA16" s="13">
        <f>26/81</f>
        <v>0.32098765432098764</v>
      </c>
      <c r="AB16" s="13">
        <f>1</f>
        <v>1</v>
      </c>
      <c r="AC16" s="13">
        <f>1-15/122</f>
        <v>0.87704918032786883</v>
      </c>
      <c r="AD16" s="13">
        <f>26/115</f>
        <v>0.22608695652173913</v>
      </c>
      <c r="AE16" s="48"/>
      <c r="AF16" s="13">
        <f>2/99</f>
        <v>2.0202020202020204E-2</v>
      </c>
      <c r="AG16" s="13">
        <f>42/101</f>
        <v>0.41584158415841582</v>
      </c>
      <c r="AH16" s="51"/>
      <c r="AI16" s="13">
        <f>26/81</f>
        <v>0.32098765432098764</v>
      </c>
      <c r="AJ16" s="13">
        <f>3/93</f>
        <v>3.2258064516129031E-2</v>
      </c>
      <c r="AK16" s="13">
        <f>9/75</f>
        <v>0.12</v>
      </c>
      <c r="AL16" s="51"/>
      <c r="AM16" s="13">
        <f>20/53</f>
        <v>0.37735849056603776</v>
      </c>
      <c r="AN16" s="13">
        <f>1/78</f>
        <v>1.282051282051282E-2</v>
      </c>
      <c r="AO16" s="13">
        <v>0</v>
      </c>
      <c r="AP16" s="13">
        <v>0</v>
      </c>
      <c r="AQ16" s="13">
        <f>5/60</f>
        <v>8.3333333333333329E-2</v>
      </c>
      <c r="AR16" s="58"/>
      <c r="AS16" s="20">
        <v>0.65864583333333326</v>
      </c>
      <c r="AT16" s="20">
        <v>1.8210416666666667</v>
      </c>
      <c r="AU16" s="51"/>
      <c r="AV16" s="13">
        <f>5/52</f>
        <v>9.6153846153846159E-2</v>
      </c>
      <c r="AW16" s="13">
        <f>65/70</f>
        <v>0.9285714285714286</v>
      </c>
      <c r="AX16" s="13">
        <v>1</v>
      </c>
      <c r="AY16" s="13">
        <f>2/75</f>
        <v>2.6666666666666668E-2</v>
      </c>
      <c r="AZ16" s="13">
        <f>5/38</f>
        <v>0.13157894736842105</v>
      </c>
      <c r="BA16" s="13">
        <f>1</f>
        <v>1</v>
      </c>
      <c r="BB16" s="51"/>
      <c r="BC16" s="13">
        <f>26/81</f>
        <v>0.32098765432098764</v>
      </c>
      <c r="BD16" s="13">
        <f>1</f>
        <v>1</v>
      </c>
      <c r="BE16" s="13">
        <f>1-5/98</f>
        <v>0.94897959183673475</v>
      </c>
      <c r="BF16" s="13">
        <f>1-12/89</f>
        <v>0.8651685393258427</v>
      </c>
      <c r="BG16" s="51"/>
      <c r="BH16" s="13">
        <f>1-3/79</f>
        <v>0.96202531645569622</v>
      </c>
      <c r="BI16" s="13">
        <f>1/74</f>
        <v>1.3513513513513514E-2</v>
      </c>
      <c r="BJ16" s="13">
        <f>2/62</f>
        <v>3.2258064516129031E-2</v>
      </c>
      <c r="BK16" s="13">
        <v>0</v>
      </c>
      <c r="BL16" s="13">
        <f>5/66</f>
        <v>7.575757575757576E-2</v>
      </c>
      <c r="BM16" s="13">
        <f>4/74</f>
        <v>5.4054054054054057E-2</v>
      </c>
      <c r="BN16" s="30">
        <v>4</v>
      </c>
      <c r="BO16" s="31">
        <v>0.63560399999999995</v>
      </c>
      <c r="BP16" s="31">
        <v>0.56210099999999996</v>
      </c>
      <c r="BQ16" s="31">
        <v>0.71441100000000002</v>
      </c>
      <c r="BR16" s="39"/>
      <c r="BS16" s="16">
        <v>322334.92</v>
      </c>
      <c r="BT16" s="16">
        <v>400429.06</v>
      </c>
      <c r="BU16" s="16">
        <v>271744.26</v>
      </c>
      <c r="BV16" s="16">
        <v>366922.96</v>
      </c>
      <c r="BW16" s="53"/>
      <c r="BX16" s="3">
        <v>2</v>
      </c>
      <c r="BY16" s="3">
        <v>2</v>
      </c>
      <c r="BZ16" s="3"/>
      <c r="CA16" s="70" t="s">
        <v>133</v>
      </c>
      <c r="CB16" s="70" t="s">
        <v>138</v>
      </c>
      <c r="CC16" s="23" t="s">
        <v>77</v>
      </c>
      <c r="CD16" s="77">
        <v>1.2669999999999999</v>
      </c>
      <c r="CE16" s="77">
        <v>1.028</v>
      </c>
      <c r="CF16" s="77">
        <v>1.0489999999999999</v>
      </c>
      <c r="CG16" s="77">
        <v>1.018</v>
      </c>
      <c r="CH16" s="77">
        <v>0.98799999999999999</v>
      </c>
      <c r="CI16" s="77">
        <v>1.2150000000000001</v>
      </c>
      <c r="CJ16" s="47"/>
      <c r="CK16" s="18">
        <v>0.213876043382942</v>
      </c>
      <c r="CL16" s="18">
        <v>0.277627747659005</v>
      </c>
      <c r="CM16" s="47"/>
      <c r="CN16" s="18">
        <v>2.61581646721078</v>
      </c>
      <c r="CO16" s="18">
        <v>3.1748058689409402</v>
      </c>
      <c r="CP16" s="69"/>
      <c r="CQ16" s="72"/>
      <c r="CR16" s="72"/>
      <c r="CS16" s="72"/>
      <c r="CT16" s="68" t="s">
        <v>73</v>
      </c>
      <c r="CU16" s="72">
        <v>0.437</v>
      </c>
      <c r="CV16" s="72">
        <v>0.45600000000000002</v>
      </c>
      <c r="CW16" s="72">
        <v>0.42599999999999999</v>
      </c>
      <c r="CX16" s="72">
        <v>0.43099999999999999</v>
      </c>
      <c r="CY16" s="72">
        <v>0.42499999999999999</v>
      </c>
      <c r="CZ16" s="72">
        <v>0.43</v>
      </c>
      <c r="DA16" s="23" t="s">
        <v>76</v>
      </c>
      <c r="DB16" s="19">
        <v>158.994</v>
      </c>
      <c r="DC16" s="19">
        <v>121.014</v>
      </c>
      <c r="DD16" s="19">
        <v>140.66249999999999</v>
      </c>
      <c r="DE16" s="19">
        <v>143.6875</v>
      </c>
      <c r="DF16" s="19">
        <v>169.2</v>
      </c>
      <c r="DG16" s="19">
        <v>252.333</v>
      </c>
      <c r="DH16" s="45" t="s">
        <v>41</v>
      </c>
      <c r="DI16" s="44"/>
      <c r="DJ16" s="44"/>
      <c r="DK16" s="44"/>
      <c r="DL16" s="23" t="s">
        <v>77</v>
      </c>
      <c r="DM16" s="19">
        <v>0.47699999999999998</v>
      </c>
      <c r="DN16" s="19">
        <v>0.498</v>
      </c>
      <c r="DO16" s="19">
        <v>0.47099999999999997</v>
      </c>
      <c r="DP16" s="19">
        <v>0.52900000000000003</v>
      </c>
      <c r="DQ16" s="19">
        <v>0.49</v>
      </c>
    </row>
    <row r="17" spans="1:121" ht="14.25" customHeight="1">
      <c r="A17" s="51"/>
      <c r="B17" s="10">
        <f>2/53</f>
        <v>3.7735849056603772E-2</v>
      </c>
      <c r="C17" s="10">
        <v>0</v>
      </c>
      <c r="D17" s="10">
        <v>0</v>
      </c>
      <c r="E17" s="10">
        <v>0</v>
      </c>
      <c r="F17" s="10">
        <f>4/61</f>
        <v>6.5573770491803282E-2</v>
      </c>
      <c r="G17" s="10">
        <f>3/57</f>
        <v>5.2631578947368418E-2</v>
      </c>
      <c r="H17" s="10">
        <f>2/57</f>
        <v>3.5087719298245612E-2</v>
      </c>
      <c r="I17" s="51"/>
      <c r="J17" s="13">
        <v>0</v>
      </c>
      <c r="K17" s="13">
        <f>1-18/79</f>
        <v>0.77215189873417722</v>
      </c>
      <c r="L17" s="13">
        <f>46/115</f>
        <v>0.4</v>
      </c>
      <c r="M17" s="13">
        <f>1-21/122</f>
        <v>0.82786885245901642</v>
      </c>
      <c r="N17" s="13">
        <f>1-10/89</f>
        <v>0.88764044943820219</v>
      </c>
      <c r="O17" s="13">
        <f>1-8/97</f>
        <v>0.91752577319587625</v>
      </c>
      <c r="P17" s="51"/>
      <c r="Q17" s="13">
        <f>1-21/78</f>
        <v>0.73076923076923084</v>
      </c>
      <c r="R17" s="13">
        <f>30/100</f>
        <v>0.3</v>
      </c>
      <c r="S17" s="13">
        <f>19/89</f>
        <v>0.21348314606741572</v>
      </c>
      <c r="T17" s="13">
        <f>41/84</f>
        <v>0.48809523809523808</v>
      </c>
      <c r="U17" s="51"/>
      <c r="V17" s="13">
        <v>0</v>
      </c>
      <c r="W17" s="13">
        <f>8/74</f>
        <v>0.10810810810810811</v>
      </c>
      <c r="X17" s="13">
        <f>2/55</f>
        <v>3.6363636363636362E-2</v>
      </c>
      <c r="Y17" s="13">
        <f>3/44</f>
        <v>6.8181818181818177E-2</v>
      </c>
      <c r="Z17" s="51"/>
      <c r="AA17" s="13">
        <f>46/115</f>
        <v>0.4</v>
      </c>
      <c r="AB17" s="13">
        <f>1-3/90</f>
        <v>0.96666666666666667</v>
      </c>
      <c r="AC17" s="13">
        <f>1-7/118</f>
        <v>0.94067796610169496</v>
      </c>
      <c r="AD17" s="13">
        <f>18/104</f>
        <v>0.17307692307692307</v>
      </c>
      <c r="AE17" s="48"/>
      <c r="AF17" s="13">
        <f>5/114</f>
        <v>4.3859649122807015E-2</v>
      </c>
      <c r="AG17" s="13">
        <f>16/82</f>
        <v>0.1951219512195122</v>
      </c>
      <c r="AH17" s="51"/>
      <c r="AI17" s="13">
        <f>46/115</f>
        <v>0.4</v>
      </c>
      <c r="AJ17" s="13">
        <f>1/47</f>
        <v>2.1276595744680851E-2</v>
      </c>
      <c r="AK17" s="13">
        <f>16/107</f>
        <v>0.14953271028037382</v>
      </c>
      <c r="AL17" s="51"/>
      <c r="AM17" s="13">
        <f>29/66</f>
        <v>0.43939393939393939</v>
      </c>
      <c r="AN17" s="13">
        <v>0</v>
      </c>
      <c r="AO17" s="13">
        <v>0</v>
      </c>
      <c r="AP17" s="13">
        <v>0</v>
      </c>
      <c r="AQ17" s="13">
        <f>9/69</f>
        <v>0.13043478260869565</v>
      </c>
      <c r="AR17" s="58"/>
      <c r="AS17" s="20">
        <v>0.64897916666666666</v>
      </c>
      <c r="AT17" s="20">
        <v>1.788875</v>
      </c>
      <c r="AU17" s="51"/>
      <c r="AV17" s="13">
        <f>13/97</f>
        <v>0.13402061855670103</v>
      </c>
      <c r="AW17" s="13">
        <f>48/56</f>
        <v>0.8571428571428571</v>
      </c>
      <c r="AX17" s="13">
        <v>1</v>
      </c>
      <c r="AY17" s="13">
        <v>0</v>
      </c>
      <c r="AZ17" s="13">
        <f>1/43</f>
        <v>2.3255813953488372E-2</v>
      </c>
      <c r="BA17" s="13">
        <f>1-2/54</f>
        <v>0.96296296296296302</v>
      </c>
      <c r="BB17" s="51"/>
      <c r="BC17" s="13">
        <f>46/115</f>
        <v>0.4</v>
      </c>
      <c r="BD17" s="13">
        <f>1-16/117</f>
        <v>0.86324786324786329</v>
      </c>
      <c r="BE17" s="13">
        <f>1</f>
        <v>1</v>
      </c>
      <c r="BF17" s="13">
        <f>1-26/63</f>
        <v>0.58730158730158732</v>
      </c>
      <c r="BG17" s="51"/>
      <c r="BH17" s="13">
        <f>1</f>
        <v>1</v>
      </c>
      <c r="BI17" s="13">
        <v>0</v>
      </c>
      <c r="BJ17" s="13">
        <v>0</v>
      </c>
      <c r="BK17" s="13">
        <f>3/47</f>
        <v>6.3829787234042548E-2</v>
      </c>
      <c r="BL17" s="13">
        <f>16/67</f>
        <v>0.23880597014925373</v>
      </c>
      <c r="BM17" s="13">
        <f>4/62</f>
        <v>6.4516129032258063E-2</v>
      </c>
      <c r="BN17" s="30">
        <v>6</v>
      </c>
      <c r="BO17" s="31">
        <v>0.25289499999999998</v>
      </c>
      <c r="BP17" s="31">
        <v>0.32291399999999998</v>
      </c>
      <c r="BQ17" s="31">
        <v>0.43076700000000001</v>
      </c>
      <c r="BR17" s="39"/>
      <c r="BS17" s="16">
        <v>374390.62</v>
      </c>
      <c r="BT17" s="16">
        <v>447741.3</v>
      </c>
      <c r="BU17" s="16">
        <v>280565.48</v>
      </c>
      <c r="BV17" s="16">
        <v>417144.19</v>
      </c>
      <c r="BW17" s="53"/>
      <c r="BX17" s="3">
        <v>2</v>
      </c>
      <c r="BY17" s="3">
        <v>2</v>
      </c>
      <c r="BZ17" s="47" t="s">
        <v>79</v>
      </c>
      <c r="CA17" s="72">
        <v>1</v>
      </c>
      <c r="CB17" s="72">
        <v>1.452054795</v>
      </c>
      <c r="CC17" s="3"/>
      <c r="CD17" s="73"/>
      <c r="CE17" s="73"/>
      <c r="CF17" s="73"/>
      <c r="CG17" s="73"/>
      <c r="CH17" s="73"/>
      <c r="CI17" s="73"/>
      <c r="CJ17" s="47"/>
      <c r="CK17" s="18">
        <v>0.27953072572998999</v>
      </c>
      <c r="CL17" s="18">
        <v>0.15458320905306899</v>
      </c>
      <c r="CM17" s="47"/>
      <c r="CN17" s="18">
        <v>2.9384175388400702</v>
      </c>
      <c r="CO17" s="18">
        <v>1.5873169803192799</v>
      </c>
      <c r="CP17" s="69"/>
      <c r="CQ17" s="72"/>
      <c r="CR17" s="72"/>
      <c r="CS17" s="72"/>
      <c r="CT17" s="68" t="s">
        <v>77</v>
      </c>
      <c r="CU17" s="72">
        <v>0.45400000000000001</v>
      </c>
      <c r="CV17" s="72">
        <v>0.46300000000000002</v>
      </c>
      <c r="CW17" s="72">
        <v>0.435</v>
      </c>
      <c r="CX17" s="72">
        <v>0.46100000000000002</v>
      </c>
      <c r="CY17" s="72">
        <v>0.44500000000000001</v>
      </c>
      <c r="CZ17" s="72">
        <v>0.46500000000000002</v>
      </c>
      <c r="DA17" s="23" t="s">
        <v>78</v>
      </c>
      <c r="DB17" s="19">
        <v>274.75200000000001</v>
      </c>
      <c r="DC17" s="19">
        <v>186.434</v>
      </c>
      <c r="DD17" s="19">
        <v>234.48750000000001</v>
      </c>
      <c r="DE17" s="19">
        <v>181.8</v>
      </c>
      <c r="DF17" s="19">
        <v>269.56799999999998</v>
      </c>
      <c r="DG17" s="19">
        <v>346.78800000000001</v>
      </c>
      <c r="DH17" s="3"/>
      <c r="DI17" s="6" t="s">
        <v>62</v>
      </c>
      <c r="DJ17" s="6" t="s">
        <v>63</v>
      </c>
      <c r="DK17" s="6" t="s">
        <v>64</v>
      </c>
      <c r="DL17" s="23"/>
      <c r="DM17" s="50" t="s">
        <v>64</v>
      </c>
      <c r="DN17" s="41"/>
      <c r="DO17" s="41"/>
      <c r="DP17" s="41"/>
      <c r="DQ17" s="41"/>
    </row>
    <row r="18" spans="1:121">
      <c r="A18" s="51"/>
      <c r="B18" s="10">
        <f>1/57</f>
        <v>1.7543859649122806E-2</v>
      </c>
      <c r="C18" s="10">
        <v>0</v>
      </c>
      <c r="D18" s="10">
        <f>1/87</f>
        <v>1.1494252873563218E-2</v>
      </c>
      <c r="E18" s="10">
        <f>1/56</f>
        <v>1.7857142857142856E-2</v>
      </c>
      <c r="F18" s="10">
        <f>2/76</f>
        <v>2.6315789473684209E-2</v>
      </c>
      <c r="G18" s="10">
        <f>3/66</f>
        <v>4.5454545454545456E-2</v>
      </c>
      <c r="H18" s="10">
        <v>0</v>
      </c>
      <c r="I18" s="51"/>
      <c r="J18" s="13">
        <v>0</v>
      </c>
      <c r="K18" s="13">
        <f>1-20/83</f>
        <v>0.75903614457831325</v>
      </c>
      <c r="L18" s="13">
        <f>47/111</f>
        <v>0.42342342342342343</v>
      </c>
      <c r="M18" s="13">
        <f>1-10/105</f>
        <v>0.90476190476190477</v>
      </c>
      <c r="N18" s="13">
        <v>1</v>
      </c>
      <c r="O18" s="13">
        <v>1</v>
      </c>
      <c r="P18" s="51"/>
      <c r="Q18" s="13">
        <f>1-24/98</f>
        <v>0.75510204081632648</v>
      </c>
      <c r="R18" s="13">
        <f>17/76</f>
        <v>0.22368421052631579</v>
      </c>
      <c r="S18" s="13">
        <f>19/59</f>
        <v>0.32203389830508472</v>
      </c>
      <c r="T18" s="13">
        <f>47/90</f>
        <v>0.52222222222222225</v>
      </c>
      <c r="U18" s="51"/>
      <c r="V18" s="13">
        <f>1/44</f>
        <v>2.2727272727272728E-2</v>
      </c>
      <c r="W18" s="13">
        <f>4/73</f>
        <v>5.4794520547945202E-2</v>
      </c>
      <c r="X18" s="13">
        <f>4/50</f>
        <v>0.08</v>
      </c>
      <c r="Y18" s="13">
        <f>5/50</f>
        <v>0.1</v>
      </c>
      <c r="Z18" s="51"/>
      <c r="AA18" s="13">
        <f>47/111</f>
        <v>0.42342342342342343</v>
      </c>
      <c r="AB18" s="13">
        <f>1-4/57</f>
        <v>0.92982456140350878</v>
      </c>
      <c r="AC18" s="13">
        <f>1-6/113</f>
        <v>0.94690265486725667</v>
      </c>
      <c r="AD18" s="13">
        <f>25/130</f>
        <v>0.19230769230769232</v>
      </c>
      <c r="AE18" s="48"/>
      <c r="AF18" s="13">
        <f>4/115</f>
        <v>3.4782608695652174E-2</v>
      </c>
      <c r="AG18" s="13">
        <f>13/59</f>
        <v>0.22033898305084745</v>
      </c>
      <c r="AH18" s="51"/>
      <c r="AI18" s="13">
        <f>47/111</f>
        <v>0.42342342342342343</v>
      </c>
      <c r="AJ18" s="13">
        <v>0</v>
      </c>
      <c r="AK18" s="13">
        <f>8/75</f>
        <v>0.10666666666666667</v>
      </c>
      <c r="AL18" s="51"/>
      <c r="AM18" s="13">
        <f>35/79</f>
        <v>0.44303797468354428</v>
      </c>
      <c r="AN18" s="13">
        <v>0</v>
      </c>
      <c r="AO18" s="13">
        <v>0</v>
      </c>
      <c r="AP18" s="13">
        <f>2/82</f>
        <v>2.4390243902439025E-2</v>
      </c>
      <c r="AQ18" s="13">
        <v>0</v>
      </c>
      <c r="AR18" s="58"/>
      <c r="AS18" s="20">
        <v>0.49722916666666667</v>
      </c>
      <c r="AT18" s="20">
        <v>1.7749375000000001</v>
      </c>
      <c r="AU18" s="51"/>
      <c r="AV18" s="13">
        <f>24/81</f>
        <v>0.29629629629629628</v>
      </c>
      <c r="AW18" s="13">
        <v>1</v>
      </c>
      <c r="AX18" s="13">
        <f>83/88</f>
        <v>0.94318181818181823</v>
      </c>
      <c r="AY18" s="13">
        <f>1/97</f>
        <v>1.0309278350515464E-2</v>
      </c>
      <c r="AZ18" s="13">
        <f>2/41</f>
        <v>4.878048780487805E-2</v>
      </c>
      <c r="BA18" s="13">
        <f>1-18/83</f>
        <v>0.7831325301204819</v>
      </c>
      <c r="BB18" s="51"/>
      <c r="BC18" s="13">
        <f>47/111</f>
        <v>0.42342342342342343</v>
      </c>
      <c r="BD18" s="13">
        <f>1-15/107</f>
        <v>0.85981308411214952</v>
      </c>
      <c r="BE18" s="13">
        <f>1</f>
        <v>1</v>
      </c>
      <c r="BF18" s="13">
        <f>1</f>
        <v>1</v>
      </c>
      <c r="BG18" s="51"/>
      <c r="BH18" s="13">
        <f>1</f>
        <v>1</v>
      </c>
      <c r="BI18" s="13">
        <f>1/107</f>
        <v>9.3457943925233638E-3</v>
      </c>
      <c r="BJ18" s="13">
        <f>3/60</f>
        <v>0.05</v>
      </c>
      <c r="BK18" s="13">
        <v>0</v>
      </c>
      <c r="BL18" s="13">
        <f>18/54</f>
        <v>0.33333333333333331</v>
      </c>
      <c r="BM18" s="13">
        <f>2/72</f>
        <v>2.7777777777777776E-2</v>
      </c>
      <c r="BN18" s="30">
        <v>8</v>
      </c>
      <c r="BO18" s="31">
        <v>0.156531</v>
      </c>
      <c r="BP18" s="31">
        <v>0.107168</v>
      </c>
      <c r="BQ18" s="31">
        <v>0.20243</v>
      </c>
      <c r="BR18" s="39"/>
      <c r="BS18" s="16">
        <v>436956.8</v>
      </c>
      <c r="BT18" s="16">
        <v>306705.83</v>
      </c>
      <c r="BU18" s="16">
        <v>260761.05</v>
      </c>
      <c r="BV18" s="16">
        <v>322986.32</v>
      </c>
      <c r="BW18" s="53"/>
      <c r="BX18" s="3">
        <v>2</v>
      </c>
      <c r="BY18" s="3">
        <v>2</v>
      </c>
      <c r="BZ18" s="48"/>
      <c r="CA18" s="72">
        <v>1.068493151</v>
      </c>
      <c r="CB18" s="72">
        <v>1.945205479</v>
      </c>
      <c r="CC18" s="36" t="s">
        <v>41</v>
      </c>
      <c r="CD18" s="63"/>
      <c r="CE18" s="63"/>
      <c r="CF18" s="63"/>
      <c r="CG18" s="63"/>
      <c r="CH18" s="63"/>
      <c r="CI18" s="63"/>
      <c r="CJ18" s="47"/>
      <c r="CK18" s="18">
        <v>0.33902333337275398</v>
      </c>
      <c r="CL18" s="18">
        <v>0.227248183780733</v>
      </c>
      <c r="CM18" s="47"/>
      <c r="CN18" s="18">
        <v>2.7288347789848202</v>
      </c>
      <c r="CO18" s="18">
        <v>1.8949535399812301</v>
      </c>
      <c r="CP18" s="69"/>
      <c r="CQ18" s="72"/>
      <c r="CR18" s="72"/>
      <c r="CS18" s="72"/>
      <c r="CT18" s="3"/>
      <c r="CU18" s="75" t="s">
        <v>135</v>
      </c>
      <c r="CV18" s="76"/>
      <c r="CW18" s="76"/>
      <c r="CX18" s="76"/>
      <c r="CY18" s="76"/>
      <c r="CZ18" s="76"/>
      <c r="DA18" s="23" t="s">
        <v>80</v>
      </c>
      <c r="DB18" s="19">
        <v>352</v>
      </c>
      <c r="DC18" s="19">
        <v>277.34399999999999</v>
      </c>
      <c r="DD18" s="19">
        <v>313.63200000000001</v>
      </c>
      <c r="DE18" s="19">
        <v>262.14999999999998</v>
      </c>
      <c r="DF18" s="19">
        <v>346.78800000000001</v>
      </c>
      <c r="DG18" s="19">
        <v>429.88749999999999</v>
      </c>
      <c r="DH18" s="47" t="s">
        <v>67</v>
      </c>
      <c r="DI18" s="19">
        <v>61.29</v>
      </c>
      <c r="DJ18" s="19">
        <v>40</v>
      </c>
      <c r="DK18" s="19">
        <v>45.45</v>
      </c>
      <c r="DL18" s="23" t="s">
        <v>68</v>
      </c>
      <c r="DM18" s="19">
        <v>0.20799999999999999</v>
      </c>
      <c r="DN18" s="19">
        <v>0.20799999999999999</v>
      </c>
      <c r="DO18" s="19">
        <v>0.20399999999999999</v>
      </c>
      <c r="DP18" s="19">
        <v>0.21199999999999999</v>
      </c>
      <c r="DQ18" s="19">
        <v>0.20300000000000001</v>
      </c>
    </row>
    <row r="19" spans="1:121">
      <c r="A19" s="51"/>
      <c r="B19" s="10">
        <v>0</v>
      </c>
      <c r="C19" s="10">
        <v>0</v>
      </c>
      <c r="D19" s="10">
        <f>4/67</f>
        <v>5.9701492537313432E-2</v>
      </c>
      <c r="E19" s="10">
        <f>1/45</f>
        <v>2.2222222222222223E-2</v>
      </c>
      <c r="F19" s="10">
        <f>1/68</f>
        <v>1.4705882352941176E-2</v>
      </c>
      <c r="G19" s="10">
        <f>2/62</f>
        <v>3.2258064516129031E-2</v>
      </c>
      <c r="H19" s="10">
        <v>0</v>
      </c>
      <c r="I19" s="51"/>
      <c r="J19" s="13">
        <v>0</v>
      </c>
      <c r="K19" s="13">
        <f>1-26/71</f>
        <v>0.63380281690140849</v>
      </c>
      <c r="L19" s="13">
        <f>60/127</f>
        <v>0.47244094488188976</v>
      </c>
      <c r="M19" s="13">
        <f>1-24/102</f>
        <v>0.76470588235294112</v>
      </c>
      <c r="N19" s="13">
        <v>1</v>
      </c>
      <c r="O19" s="13">
        <v>1</v>
      </c>
      <c r="P19" s="51"/>
      <c r="Q19" s="13">
        <f>1-20/103</f>
        <v>0.80582524271844658</v>
      </c>
      <c r="R19" s="13">
        <f>48/80</f>
        <v>0.6</v>
      </c>
      <c r="S19" s="13">
        <f>13/62</f>
        <v>0.20967741935483872</v>
      </c>
      <c r="T19" s="13">
        <f>51/99</f>
        <v>0.51515151515151514</v>
      </c>
      <c r="U19" s="51"/>
      <c r="V19" s="13">
        <v>0</v>
      </c>
      <c r="W19" s="13">
        <f>4/66</f>
        <v>6.0606060606060608E-2</v>
      </c>
      <c r="X19" s="13">
        <f>2/73</f>
        <v>2.7397260273972601E-2</v>
      </c>
      <c r="Y19" s="13">
        <f>4/48</f>
        <v>8.3333333333333329E-2</v>
      </c>
      <c r="Z19" s="51"/>
      <c r="AA19" s="13">
        <f>60/127</f>
        <v>0.47244094488188976</v>
      </c>
      <c r="AB19" s="13">
        <f t="shared" ref="AB19:AB33" si="1">1</f>
        <v>1</v>
      </c>
      <c r="AC19" s="13">
        <f>1-11/109</f>
        <v>0.89908256880733939</v>
      </c>
      <c r="AD19" s="13">
        <f>40/125</f>
        <v>0.32</v>
      </c>
      <c r="AE19" s="48"/>
      <c r="AF19" s="13">
        <f>6/95</f>
        <v>6.3157894736842107E-2</v>
      </c>
      <c r="AG19" s="13">
        <f>16/49</f>
        <v>0.32653061224489793</v>
      </c>
      <c r="AH19" s="51"/>
      <c r="AI19" s="13">
        <f>60/127</f>
        <v>0.47244094488188976</v>
      </c>
      <c r="AJ19" s="13">
        <f>3/75</f>
        <v>0.04</v>
      </c>
      <c r="AK19" s="13">
        <f>8/62</f>
        <v>0.12903225806451613</v>
      </c>
      <c r="AL19" s="51"/>
      <c r="AM19" s="13">
        <f>22/49</f>
        <v>0.44897959183673469</v>
      </c>
      <c r="AN19" s="13">
        <v>0</v>
      </c>
      <c r="AO19" s="13">
        <v>0</v>
      </c>
      <c r="AP19" s="13">
        <v>0</v>
      </c>
      <c r="AQ19" s="13">
        <v>0</v>
      </c>
      <c r="AR19" s="13"/>
      <c r="AS19" s="20"/>
      <c r="AT19" s="20"/>
      <c r="AU19" s="51"/>
      <c r="AV19" s="13">
        <f>33/92</f>
        <v>0.35869565217391303</v>
      </c>
      <c r="AW19" s="13">
        <v>1</v>
      </c>
      <c r="AX19" s="13">
        <v>1</v>
      </c>
      <c r="AY19" s="13">
        <f>6/82</f>
        <v>7.3170731707317069E-2</v>
      </c>
      <c r="AZ19" s="13">
        <f>15/62</f>
        <v>0.24193548387096775</v>
      </c>
      <c r="BA19" s="13">
        <f>1-4/48</f>
        <v>0.91666666666666663</v>
      </c>
      <c r="BB19" s="51"/>
      <c r="BC19" s="13">
        <f>60/127</f>
        <v>0.47244094488188976</v>
      </c>
      <c r="BD19" s="13">
        <f>1-18/108</f>
        <v>0.83333333333333337</v>
      </c>
      <c r="BE19" s="13">
        <f>1</f>
        <v>1</v>
      </c>
      <c r="BF19" s="13">
        <f>1</f>
        <v>1</v>
      </c>
      <c r="BG19" s="51"/>
      <c r="BH19" s="13">
        <f>1-2/71</f>
        <v>0.971830985915493</v>
      </c>
      <c r="BI19" s="13">
        <f>2/95</f>
        <v>2.1052631578947368E-2</v>
      </c>
      <c r="BJ19" s="13">
        <v>0</v>
      </c>
      <c r="BK19" s="13">
        <v>0</v>
      </c>
      <c r="BL19" s="13">
        <f>2/68</f>
        <v>2.9411764705882353E-2</v>
      </c>
      <c r="BM19" s="13">
        <f>34/59</f>
        <v>0.57627118644067798</v>
      </c>
      <c r="BN19" s="13"/>
      <c r="BO19" s="13"/>
      <c r="BP19" s="13"/>
      <c r="BQ19" s="13"/>
      <c r="BR19" s="39"/>
      <c r="BS19" s="16">
        <v>441581.28</v>
      </c>
      <c r="BT19" s="16">
        <v>374951.29</v>
      </c>
      <c r="BU19" s="16">
        <v>315186.37</v>
      </c>
      <c r="BV19" s="16">
        <v>374031.45</v>
      </c>
      <c r="BW19" s="53"/>
      <c r="BX19" s="3">
        <v>2</v>
      </c>
      <c r="BY19" s="3">
        <v>2</v>
      </c>
      <c r="BZ19" s="48"/>
      <c r="CA19" s="72">
        <v>0.90410958900000005</v>
      </c>
      <c r="CB19" s="72">
        <v>1.3424657529999999</v>
      </c>
      <c r="CC19" s="3"/>
      <c r="CD19" s="75" t="s">
        <v>133</v>
      </c>
      <c r="CE19" s="76"/>
      <c r="CF19" s="76"/>
      <c r="CG19" s="76"/>
      <c r="CH19" s="76"/>
      <c r="CI19" s="76"/>
      <c r="CJ19" s="47"/>
      <c r="CK19" s="18">
        <v>0.216237552053823</v>
      </c>
      <c r="CL19" s="18">
        <v>0.98207178019812702</v>
      </c>
      <c r="CM19" s="47"/>
      <c r="CN19" s="18">
        <v>0.882290890985023</v>
      </c>
      <c r="CO19" s="18">
        <v>3.42747208708629</v>
      </c>
      <c r="CP19" s="69"/>
      <c r="CQ19" s="72"/>
      <c r="CR19" s="72"/>
      <c r="CS19" s="72"/>
      <c r="CT19" s="23" t="s">
        <v>68</v>
      </c>
      <c r="CU19" s="72">
        <v>0.29499999999999998</v>
      </c>
      <c r="CV19" s="72">
        <v>0.30399999999999999</v>
      </c>
      <c r="CW19" s="72">
        <v>0.30099999999999999</v>
      </c>
      <c r="CX19" s="72">
        <v>0.311</v>
      </c>
      <c r="CY19" s="72">
        <v>0.29899999999999999</v>
      </c>
      <c r="CZ19" s="72">
        <v>0.30099999999999999</v>
      </c>
      <c r="DA19" s="20"/>
      <c r="DB19" s="42" t="s">
        <v>64</v>
      </c>
      <c r="DC19" s="49"/>
      <c r="DD19" s="49"/>
      <c r="DE19" s="49"/>
      <c r="DF19" s="49"/>
      <c r="DG19" s="49"/>
      <c r="DH19" s="48"/>
      <c r="DI19" s="19">
        <v>59.26</v>
      </c>
      <c r="DJ19" s="19">
        <v>35.71</v>
      </c>
      <c r="DK19" s="19">
        <v>50</v>
      </c>
      <c r="DL19" s="23" t="s">
        <v>70</v>
      </c>
      <c r="DM19" s="19">
        <v>0.254</v>
      </c>
      <c r="DN19" s="19">
        <v>0.26800000000000002</v>
      </c>
      <c r="DO19" s="19">
        <v>0.27100000000000002</v>
      </c>
      <c r="DP19" s="19">
        <v>0.27600000000000002</v>
      </c>
      <c r="DQ19" s="19">
        <v>0.30299999999999999</v>
      </c>
    </row>
    <row r="20" spans="1:121">
      <c r="A20" s="51"/>
      <c r="B20" s="10">
        <v>0</v>
      </c>
      <c r="C20" s="10">
        <f>1/38</f>
        <v>2.6315789473684209E-2</v>
      </c>
      <c r="D20" s="10">
        <v>0</v>
      </c>
      <c r="E20" s="10">
        <v>0</v>
      </c>
      <c r="F20" s="10">
        <v>0</v>
      </c>
      <c r="G20" s="10">
        <f>2/64</f>
        <v>3.125E-2</v>
      </c>
      <c r="H20" s="10">
        <f>2/56</f>
        <v>3.5714285714285712E-2</v>
      </c>
      <c r="I20" s="51"/>
      <c r="J20" s="13">
        <v>0</v>
      </c>
      <c r="K20" s="13">
        <f>1-11/75</f>
        <v>0.85333333333333328</v>
      </c>
      <c r="L20" s="13">
        <f>47/111</f>
        <v>0.42342342342342343</v>
      </c>
      <c r="M20" s="13">
        <f>1-18/96</f>
        <v>0.8125</v>
      </c>
      <c r="N20" s="13">
        <f>1-4/49</f>
        <v>0.91836734693877553</v>
      </c>
      <c r="O20" s="13">
        <f>1-5/56</f>
        <v>0.9107142857142857</v>
      </c>
      <c r="P20" s="51"/>
      <c r="Q20" s="13">
        <f>1-25/102</f>
        <v>0.75490196078431371</v>
      </c>
      <c r="R20" s="13">
        <f>24/91</f>
        <v>0.26373626373626374</v>
      </c>
      <c r="S20" s="13">
        <f>20/93</f>
        <v>0.21505376344086022</v>
      </c>
      <c r="T20" s="13">
        <f>34/71</f>
        <v>0.47887323943661969</v>
      </c>
      <c r="U20" s="51"/>
      <c r="V20" s="13">
        <v>0</v>
      </c>
      <c r="W20" s="13">
        <f>6/76</f>
        <v>7.8947368421052627E-2</v>
      </c>
      <c r="X20" s="13">
        <v>0</v>
      </c>
      <c r="Y20" s="13">
        <v>0</v>
      </c>
      <c r="Z20" s="51"/>
      <c r="AA20" s="13">
        <f>47/111</f>
        <v>0.42342342342342343</v>
      </c>
      <c r="AB20" s="13">
        <f t="shared" si="1"/>
        <v>1</v>
      </c>
      <c r="AC20" s="13">
        <f>1-18/113</f>
        <v>0.84070796460176989</v>
      </c>
      <c r="AD20" s="13">
        <f>31/111</f>
        <v>0.27927927927927926</v>
      </c>
      <c r="AE20" s="48"/>
      <c r="AF20" s="13">
        <v>0</v>
      </c>
      <c r="AG20" s="13">
        <f>24/96</f>
        <v>0.25</v>
      </c>
      <c r="AH20" s="51"/>
      <c r="AI20" s="13">
        <f>47/111</f>
        <v>0.42342342342342343</v>
      </c>
      <c r="AJ20" s="13">
        <f>2/89</f>
        <v>2.247191011235955E-2</v>
      </c>
      <c r="AK20" s="13">
        <f>9/68</f>
        <v>0.13235294117647059</v>
      </c>
      <c r="AL20" s="51"/>
      <c r="AM20" s="13">
        <f>29/55</f>
        <v>0.52727272727272723</v>
      </c>
      <c r="AN20" s="13">
        <f>1/31</f>
        <v>3.2258064516129031E-2</v>
      </c>
      <c r="AO20" s="13">
        <f>1/88</f>
        <v>1.1363636363636364E-2</v>
      </c>
      <c r="AP20" s="13">
        <v>0</v>
      </c>
      <c r="AQ20" s="13">
        <f>10/116</f>
        <v>8.6206896551724144E-2</v>
      </c>
      <c r="AR20" s="13"/>
      <c r="AS20" s="20"/>
      <c r="AT20" s="20"/>
      <c r="AU20" s="51"/>
      <c r="AV20" s="13">
        <f>13/78</f>
        <v>0.16666666666666666</v>
      </c>
      <c r="AW20" s="13">
        <v>1</v>
      </c>
      <c r="AX20" s="13">
        <f>7/85</f>
        <v>8.2352941176470587E-2</v>
      </c>
      <c r="AY20" s="13">
        <f>1/92</f>
        <v>1.0869565217391304E-2</v>
      </c>
      <c r="AZ20" s="13">
        <f>15/60</f>
        <v>0.25</v>
      </c>
      <c r="BA20" s="13">
        <f>1-2/51</f>
        <v>0.96078431372549022</v>
      </c>
      <c r="BB20" s="51"/>
      <c r="BC20" s="13">
        <f>47/111</f>
        <v>0.42342342342342343</v>
      </c>
      <c r="BD20" s="13">
        <f>1-29/110</f>
        <v>0.73636363636363633</v>
      </c>
      <c r="BE20" s="13">
        <f>1-29/113</f>
        <v>0.74336283185840712</v>
      </c>
      <c r="BF20" s="13">
        <f>1-27/133</f>
        <v>0.79699248120300759</v>
      </c>
      <c r="BG20" s="51"/>
      <c r="BH20" s="13">
        <f>1</f>
        <v>1</v>
      </c>
      <c r="BI20" s="13">
        <f>2/86</f>
        <v>2.3255813953488372E-2</v>
      </c>
      <c r="BJ20" s="13">
        <v>0</v>
      </c>
      <c r="BK20" s="13">
        <v>0</v>
      </c>
      <c r="BL20" s="13">
        <f>3/71</f>
        <v>4.2253521126760563E-2</v>
      </c>
      <c r="BM20" s="13">
        <f>30/61</f>
        <v>0.49180327868852458</v>
      </c>
      <c r="BN20" s="60" t="s">
        <v>88</v>
      </c>
      <c r="BO20" s="61"/>
      <c r="BP20" s="61"/>
      <c r="BQ20" s="61"/>
      <c r="BR20" s="39"/>
      <c r="BS20" s="16">
        <v>350233.12</v>
      </c>
      <c r="BT20" s="16">
        <v>352625.67</v>
      </c>
      <c r="BU20" s="16">
        <v>318911.56</v>
      </c>
      <c r="BV20" s="16">
        <v>457095.48</v>
      </c>
      <c r="BW20" s="53"/>
      <c r="BX20" s="3">
        <v>3</v>
      </c>
      <c r="BY20" s="3">
        <v>2</v>
      </c>
      <c r="BZ20" s="6" t="s">
        <v>72</v>
      </c>
      <c r="CA20" s="35">
        <f>AVERAGE(CA17:CA19)</f>
        <v>0.99086758000000008</v>
      </c>
      <c r="CB20" s="35">
        <f>AVERAGE(CB17:CB19)</f>
        <v>1.5799086756666665</v>
      </c>
      <c r="CC20" s="23" t="s">
        <v>68</v>
      </c>
      <c r="CD20" s="77">
        <v>0.31900000000000001</v>
      </c>
      <c r="CE20" s="77">
        <v>0.34499999999999997</v>
      </c>
      <c r="CF20" s="77">
        <v>0.36199999999999999</v>
      </c>
      <c r="CG20" s="77">
        <v>0.34699999999999998</v>
      </c>
      <c r="CH20" s="77">
        <v>0.33900000000000002</v>
      </c>
      <c r="CI20" s="73"/>
      <c r="CJ20" s="47"/>
      <c r="CK20" s="18">
        <v>0.26291417623741697</v>
      </c>
      <c r="CL20" s="18">
        <v>0.70655265416952395</v>
      </c>
      <c r="CM20" s="47"/>
      <c r="CN20" s="18">
        <v>2.85688612147126</v>
      </c>
      <c r="CO20" s="18">
        <v>3.3368546391254701</v>
      </c>
      <c r="CP20" s="69"/>
      <c r="CQ20" s="72"/>
      <c r="CR20" s="72"/>
      <c r="CS20" s="72"/>
      <c r="CT20" s="68" t="s">
        <v>73</v>
      </c>
      <c r="CU20" s="72">
        <v>0.42199999999999999</v>
      </c>
      <c r="CV20" s="72">
        <v>0.44700000000000001</v>
      </c>
      <c r="CW20" s="72">
        <v>0.44900000000000001</v>
      </c>
      <c r="CX20" s="72">
        <v>0.45300000000000001</v>
      </c>
      <c r="CY20" s="72">
        <v>0.42799999999999999</v>
      </c>
      <c r="CZ20" s="72">
        <v>0.39</v>
      </c>
      <c r="DA20" s="23" t="s">
        <v>69</v>
      </c>
      <c r="DB20" s="19">
        <v>62.421999999999997</v>
      </c>
      <c r="DC20" s="19">
        <v>94.77</v>
      </c>
      <c r="DD20" s="19">
        <v>57.131999999999998</v>
      </c>
      <c r="DE20" s="19">
        <v>83.105999999999995</v>
      </c>
      <c r="DF20" s="19">
        <v>62.5</v>
      </c>
      <c r="DG20" s="19">
        <v>45.5625</v>
      </c>
      <c r="DH20" s="48"/>
      <c r="DI20" s="19">
        <v>55.56</v>
      </c>
      <c r="DJ20" s="19">
        <v>50</v>
      </c>
      <c r="DK20" s="19">
        <v>40.54</v>
      </c>
      <c r="DL20" s="23" t="s">
        <v>73</v>
      </c>
      <c r="DM20" s="19">
        <v>0.31900000000000001</v>
      </c>
      <c r="DN20" s="19">
        <v>0.28599999999999998</v>
      </c>
      <c r="DO20" s="19">
        <v>0.29099999999999998</v>
      </c>
      <c r="DP20" s="19">
        <v>0.29499999999999998</v>
      </c>
      <c r="DQ20" s="19">
        <v>0.311</v>
      </c>
    </row>
    <row r="21" spans="1:121">
      <c r="A21" s="51"/>
      <c r="B21" s="10">
        <f>1/37</f>
        <v>2.7027027027027029E-2</v>
      </c>
      <c r="C21" s="10">
        <v>0</v>
      </c>
      <c r="D21" s="10">
        <f>2/81</f>
        <v>2.4691358024691357E-2</v>
      </c>
      <c r="E21" s="10">
        <v>0</v>
      </c>
      <c r="F21" s="10">
        <v>0</v>
      </c>
      <c r="G21" s="10">
        <f>2/60</f>
        <v>3.3333333333333333E-2</v>
      </c>
      <c r="H21" s="10">
        <v>0</v>
      </c>
      <c r="I21" s="51"/>
      <c r="J21" s="13">
        <v>0</v>
      </c>
      <c r="K21" s="13">
        <f>1-6/72</f>
        <v>0.91666666666666663</v>
      </c>
      <c r="L21" s="13">
        <f>67/100</f>
        <v>0.67</v>
      </c>
      <c r="M21" s="13">
        <f>1-32/122</f>
        <v>0.73770491803278682</v>
      </c>
      <c r="N21" s="13">
        <v>1</v>
      </c>
      <c r="O21" s="13">
        <f>1-5/72</f>
        <v>0.93055555555555558</v>
      </c>
      <c r="P21" s="51"/>
      <c r="Q21" s="13">
        <f>1-18/94</f>
        <v>0.8085106382978724</v>
      </c>
      <c r="R21" s="13">
        <f>35/119</f>
        <v>0.29411764705882354</v>
      </c>
      <c r="S21" s="13">
        <f>24/96</f>
        <v>0.25</v>
      </c>
      <c r="T21" s="13">
        <f>49/78</f>
        <v>0.62820512820512819</v>
      </c>
      <c r="U21" s="51"/>
      <c r="V21" s="13">
        <f>1/44</f>
        <v>2.2727272727272728E-2</v>
      </c>
      <c r="W21" s="13">
        <f>4/61</f>
        <v>6.5573770491803282E-2</v>
      </c>
      <c r="X21" s="13">
        <f>4/33</f>
        <v>0.12121212121212122</v>
      </c>
      <c r="Y21" s="13">
        <v>0</v>
      </c>
      <c r="Z21" s="51"/>
      <c r="AA21" s="13">
        <f>67/100</f>
        <v>0.67</v>
      </c>
      <c r="AB21" s="13">
        <f t="shared" si="1"/>
        <v>1</v>
      </c>
      <c r="AC21" s="13">
        <f>1</f>
        <v>1</v>
      </c>
      <c r="AD21" s="13">
        <f>24/102</f>
        <v>0.23529411764705882</v>
      </c>
      <c r="AE21" s="48"/>
      <c r="AF21" s="13">
        <f>5/110</f>
        <v>4.5454545454545456E-2</v>
      </c>
      <c r="AG21" s="13">
        <f>21/78</f>
        <v>0.26923076923076922</v>
      </c>
      <c r="AH21" s="51"/>
      <c r="AI21" s="13">
        <f>67/100</f>
        <v>0.67</v>
      </c>
      <c r="AJ21" s="13">
        <v>0</v>
      </c>
      <c r="AK21" s="13">
        <f>7/88</f>
        <v>7.9545454545454544E-2</v>
      </c>
      <c r="AL21" s="51"/>
      <c r="AM21" s="13">
        <f>32/65</f>
        <v>0.49230769230769234</v>
      </c>
      <c r="AN21" s="13">
        <v>0</v>
      </c>
      <c r="AO21" s="13">
        <f>3/74</f>
        <v>4.0540540540540543E-2</v>
      </c>
      <c r="AP21" s="13">
        <f>2/82</f>
        <v>2.4390243902439025E-2</v>
      </c>
      <c r="AQ21" s="13">
        <f>1/83</f>
        <v>1.2048192771084338E-2</v>
      </c>
      <c r="AR21" s="13"/>
      <c r="AS21" s="20"/>
      <c r="AT21" s="20"/>
      <c r="AU21" s="51"/>
      <c r="AV21" s="13">
        <f>8/82</f>
        <v>9.7560975609756101E-2</v>
      </c>
      <c r="AW21" s="13">
        <f>43/46</f>
        <v>0.93478260869565222</v>
      </c>
      <c r="AX21" s="13">
        <f>4/94</f>
        <v>4.2553191489361701E-2</v>
      </c>
      <c r="AY21" s="13">
        <f>1/95</f>
        <v>1.0526315789473684E-2</v>
      </c>
      <c r="AZ21" s="13">
        <f>3/49</f>
        <v>6.1224489795918366E-2</v>
      </c>
      <c r="BA21" s="13">
        <f>1-4/64</f>
        <v>0.9375</v>
      </c>
      <c r="BB21" s="51"/>
      <c r="BC21" s="13">
        <f>67/100</f>
        <v>0.67</v>
      </c>
      <c r="BD21" s="13">
        <f>1-35/97</f>
        <v>0.63917525773195871</v>
      </c>
      <c r="BE21" s="13">
        <f>1</f>
        <v>1</v>
      </c>
      <c r="BF21" s="13">
        <f>1-36/96</f>
        <v>0.625</v>
      </c>
      <c r="BG21" s="51"/>
      <c r="BH21" s="13">
        <f>1</f>
        <v>1</v>
      </c>
      <c r="BI21" s="13">
        <v>0</v>
      </c>
      <c r="BJ21" s="13">
        <v>0</v>
      </c>
      <c r="BK21" s="13">
        <f>2/46</f>
        <v>4.3478260869565216E-2</v>
      </c>
      <c r="BL21" s="13">
        <f>2/64</f>
        <v>3.125E-2</v>
      </c>
      <c r="BM21" s="13">
        <f>43/46</f>
        <v>0.93478260869565222</v>
      </c>
      <c r="BN21" s="29" t="s">
        <v>86</v>
      </c>
      <c r="BO21" s="62" t="s">
        <v>85</v>
      </c>
      <c r="BP21" s="63"/>
      <c r="BQ21" s="63"/>
      <c r="BR21" s="39"/>
      <c r="BS21" s="16">
        <v>364038.89</v>
      </c>
      <c r="BT21" s="16">
        <v>351337.37</v>
      </c>
      <c r="BU21" s="16">
        <v>582540.39</v>
      </c>
      <c r="BV21" s="16">
        <v>361866.82</v>
      </c>
      <c r="BW21" s="53"/>
      <c r="BX21" s="3">
        <v>2</v>
      </c>
      <c r="BY21" s="3">
        <v>2</v>
      </c>
      <c r="BZ21" s="3"/>
      <c r="CA21" s="73"/>
      <c r="CB21" s="73"/>
      <c r="CC21" s="23" t="s">
        <v>70</v>
      </c>
      <c r="CD21" s="77">
        <v>0.64300000000000002</v>
      </c>
      <c r="CE21" s="77">
        <v>0.67300000000000004</v>
      </c>
      <c r="CF21" s="77">
        <v>0.64900000000000002</v>
      </c>
      <c r="CG21" s="77">
        <v>0.68799999999999994</v>
      </c>
      <c r="CH21" s="77">
        <v>0.63900000000000001</v>
      </c>
      <c r="CI21" s="73"/>
      <c r="CJ21" s="47"/>
      <c r="CK21" s="18">
        <v>0.270229907237998</v>
      </c>
      <c r="CL21" s="18">
        <v>3.2086889246834298</v>
      </c>
      <c r="CM21" s="47"/>
      <c r="CN21" s="18">
        <v>2.5381904843798102</v>
      </c>
      <c r="CO21" s="18">
        <v>3.92673007244009</v>
      </c>
      <c r="CP21" s="18"/>
      <c r="CQ21" s="72"/>
      <c r="CR21" s="72"/>
      <c r="CS21" s="72"/>
      <c r="CT21" s="68" t="s">
        <v>77</v>
      </c>
      <c r="CU21" s="72">
        <v>0.52200000000000002</v>
      </c>
      <c r="CV21" s="72">
        <v>0.48399999999999999</v>
      </c>
      <c r="CW21" s="72">
        <v>0.48199999999999998</v>
      </c>
      <c r="CX21" s="72">
        <v>0.49399999999999999</v>
      </c>
      <c r="CY21" s="72">
        <v>0.48799999999999999</v>
      </c>
      <c r="CZ21" s="72">
        <v>0.48699999999999999</v>
      </c>
      <c r="DA21" s="23" t="s">
        <v>71</v>
      </c>
      <c r="DB21" s="19">
        <v>130.977</v>
      </c>
      <c r="DC21" s="19">
        <v>147.875</v>
      </c>
      <c r="DD21" s="19">
        <v>114.376</v>
      </c>
      <c r="DE21" s="19">
        <v>124.93</v>
      </c>
      <c r="DF21" s="19">
        <v>89.237499999999997</v>
      </c>
      <c r="DG21" s="19">
        <v>89.237499999999997</v>
      </c>
      <c r="DH21" s="6" t="s">
        <v>72</v>
      </c>
      <c r="DI21" s="35">
        <f>AVERAGE(DI18:DI20)</f>
        <v>58.70333333333334</v>
      </c>
      <c r="DJ21" s="35">
        <f>AVERAGE(DJ18:DJ20)</f>
        <v>41.903333333333336</v>
      </c>
      <c r="DK21" s="35">
        <f>AVERAGE(DK18:DK20)</f>
        <v>45.330000000000005</v>
      </c>
      <c r="DL21" s="23" t="s">
        <v>75</v>
      </c>
      <c r="DM21" s="19">
        <v>0.39400000000000002</v>
      </c>
      <c r="DN21" s="19">
        <v>0.42599999999999999</v>
      </c>
      <c r="DO21" s="19">
        <v>0.41199999999999998</v>
      </c>
      <c r="DP21" s="19">
        <v>0.39600000000000002</v>
      </c>
      <c r="DQ21" s="19">
        <v>0.40899999999999997</v>
      </c>
    </row>
    <row r="22" spans="1:121">
      <c r="A22" s="51"/>
      <c r="B22" s="10">
        <v>0</v>
      </c>
      <c r="C22" s="10">
        <v>0</v>
      </c>
      <c r="D22" s="10">
        <f>1/82</f>
        <v>1.2195121951219513E-2</v>
      </c>
      <c r="E22" s="10">
        <v>0</v>
      </c>
      <c r="F22" s="10">
        <f>3/64</f>
        <v>4.6875E-2</v>
      </c>
      <c r="G22" s="10">
        <f>1/57</f>
        <v>1.7543859649122806E-2</v>
      </c>
      <c r="H22" s="10">
        <v>0</v>
      </c>
      <c r="I22" s="51"/>
      <c r="J22" s="13">
        <v>0</v>
      </c>
      <c r="K22" s="13">
        <f>1-29/101</f>
        <v>0.71287128712871284</v>
      </c>
      <c r="L22" s="13">
        <f>51/108</f>
        <v>0.47222222222222221</v>
      </c>
      <c r="M22" s="13">
        <f>1-19/106</f>
        <v>0.82075471698113212</v>
      </c>
      <c r="N22" s="13">
        <v>1</v>
      </c>
      <c r="O22" s="13">
        <v>1</v>
      </c>
      <c r="P22" s="51"/>
      <c r="Q22" s="13">
        <f>1-52/102</f>
        <v>0.49019607843137258</v>
      </c>
      <c r="R22" s="13">
        <f>12/79</f>
        <v>0.15189873417721519</v>
      </c>
      <c r="S22" s="13">
        <f>19/88</f>
        <v>0.21590909090909091</v>
      </c>
      <c r="T22" s="13">
        <f>26/69</f>
        <v>0.37681159420289856</v>
      </c>
      <c r="U22" s="51"/>
      <c r="V22" s="13">
        <f>1/61</f>
        <v>1.6393442622950821E-2</v>
      </c>
      <c r="W22" s="13">
        <f>4/59</f>
        <v>6.7796610169491525E-2</v>
      </c>
      <c r="X22" s="13">
        <f>2/40</f>
        <v>0.05</v>
      </c>
      <c r="Y22" s="13">
        <f>3/63</f>
        <v>4.7619047619047616E-2</v>
      </c>
      <c r="Z22" s="51"/>
      <c r="AA22" s="13">
        <f>51/108</f>
        <v>0.47222222222222221</v>
      </c>
      <c r="AB22" s="13">
        <f t="shared" si="1"/>
        <v>1</v>
      </c>
      <c r="AC22" s="13">
        <f>1-3/114</f>
        <v>0.97368421052631582</v>
      </c>
      <c r="AD22" s="13">
        <f>22/99</f>
        <v>0.22222222222222221</v>
      </c>
      <c r="AE22" s="48"/>
      <c r="AF22" s="13">
        <f>7/102</f>
        <v>6.8627450980392163E-2</v>
      </c>
      <c r="AG22" s="13">
        <f>10/54</f>
        <v>0.18518518518518517</v>
      </c>
      <c r="AH22" s="51"/>
      <c r="AI22" s="13">
        <f>51/108</f>
        <v>0.47222222222222221</v>
      </c>
      <c r="AJ22" s="13">
        <f>3/63</f>
        <v>4.7619047619047616E-2</v>
      </c>
      <c r="AK22" s="13">
        <f>6/69</f>
        <v>8.6956521739130432E-2</v>
      </c>
      <c r="AL22" s="51"/>
      <c r="AM22" s="13">
        <f>32/64</f>
        <v>0.5</v>
      </c>
      <c r="AN22" s="13">
        <v>0</v>
      </c>
      <c r="AO22" s="13">
        <f>1/75</f>
        <v>1.3333333333333334E-2</v>
      </c>
      <c r="AP22" s="13">
        <f>3/85</f>
        <v>3.5294117647058823E-2</v>
      </c>
      <c r="AQ22" s="13">
        <f>1/100</f>
        <v>0.01</v>
      </c>
      <c r="AR22" s="13"/>
      <c r="AS22" s="20"/>
      <c r="AT22" s="20"/>
      <c r="AU22" s="51"/>
      <c r="AV22" s="13">
        <f>5/45</f>
        <v>0.1111111111111111</v>
      </c>
      <c r="AW22" s="13">
        <f>47/52</f>
        <v>0.90384615384615385</v>
      </c>
      <c r="AX22" s="13">
        <f>55/78</f>
        <v>0.70512820512820518</v>
      </c>
      <c r="AY22" s="13">
        <f>1/71</f>
        <v>1.4084507042253521E-2</v>
      </c>
      <c r="AZ22" s="13">
        <f>3/40</f>
        <v>7.4999999999999997E-2</v>
      </c>
      <c r="BA22" s="13">
        <f>1</f>
        <v>1</v>
      </c>
      <c r="BB22" s="51"/>
      <c r="BC22" s="13">
        <f>51/108</f>
        <v>0.47222222222222221</v>
      </c>
      <c r="BD22" s="13">
        <f>1-39/101</f>
        <v>0.61386138613861385</v>
      </c>
      <c r="BE22" s="13">
        <f>1-39/114</f>
        <v>0.65789473684210531</v>
      </c>
      <c r="BF22" s="13">
        <f>1-48/111</f>
        <v>0.56756756756756754</v>
      </c>
      <c r="BG22" s="51"/>
      <c r="BH22" s="13">
        <f>1-2/59</f>
        <v>0.96610169491525422</v>
      </c>
      <c r="BI22" s="13">
        <f>2/96</f>
        <v>2.0833333333333332E-2</v>
      </c>
      <c r="BJ22" s="13">
        <v>0</v>
      </c>
      <c r="BK22" s="13">
        <f>1/48</f>
        <v>2.0833333333333332E-2</v>
      </c>
      <c r="BL22" s="13">
        <f>30/68</f>
        <v>0.44117647058823528</v>
      </c>
      <c r="BM22" s="13">
        <f>51/56</f>
        <v>0.9107142857142857</v>
      </c>
      <c r="BN22" s="30">
        <v>0</v>
      </c>
      <c r="BO22" s="31">
        <v>1</v>
      </c>
      <c r="BP22" s="31">
        <v>1</v>
      </c>
      <c r="BQ22" s="31">
        <v>1</v>
      </c>
      <c r="BR22" s="39"/>
      <c r="BS22" s="16">
        <v>356922.59</v>
      </c>
      <c r="BT22" s="16">
        <v>396343.32</v>
      </c>
      <c r="BU22" s="16">
        <v>393438.56</v>
      </c>
      <c r="BV22" s="16">
        <v>296006.84000000003</v>
      </c>
      <c r="BW22" s="53"/>
      <c r="BX22" s="3">
        <v>2</v>
      </c>
      <c r="BY22" s="3">
        <v>2</v>
      </c>
      <c r="BZ22" s="45" t="s">
        <v>41</v>
      </c>
      <c r="CA22" s="64"/>
      <c r="CB22" s="64"/>
      <c r="CC22" s="23" t="s">
        <v>73</v>
      </c>
      <c r="CD22" s="77">
        <v>1.1659999999999999</v>
      </c>
      <c r="CE22" s="77">
        <v>1.2989999999999999</v>
      </c>
      <c r="CF22" s="77">
        <v>1.2749999999999999</v>
      </c>
      <c r="CG22" s="77">
        <v>1.052</v>
      </c>
      <c r="CH22" s="77">
        <v>1.0980000000000001</v>
      </c>
      <c r="CI22" s="73"/>
      <c r="CJ22" s="47"/>
      <c r="CK22" s="18">
        <v>0.22107278251506299</v>
      </c>
      <c r="CL22" s="18">
        <v>0.58255600301406096</v>
      </c>
      <c r="CM22" s="47"/>
      <c r="CN22" s="18">
        <v>2.7567671240626299</v>
      </c>
      <c r="CO22" s="18">
        <v>3.17743947146176</v>
      </c>
      <c r="CP22" s="18"/>
      <c r="CQ22" s="72"/>
      <c r="CR22" s="72"/>
      <c r="CS22" s="72"/>
      <c r="CT22" s="18"/>
      <c r="CU22" s="72"/>
      <c r="CV22" s="72"/>
      <c r="CW22" s="72"/>
      <c r="CX22" s="72"/>
      <c r="CY22" s="72"/>
      <c r="CZ22" s="72"/>
      <c r="DA22" s="23" t="s">
        <v>74</v>
      </c>
      <c r="DB22" s="19">
        <v>272.8125</v>
      </c>
      <c r="DC22" s="19">
        <v>214.24250000000001</v>
      </c>
      <c r="DD22" s="19">
        <v>229.14699999999999</v>
      </c>
      <c r="DE22" s="19">
        <v>212.54400000000001</v>
      </c>
      <c r="DF22" s="19">
        <v>268.584</v>
      </c>
      <c r="DG22" s="19">
        <v>87.48</v>
      </c>
      <c r="DH22" s="45" t="s">
        <v>41</v>
      </c>
      <c r="DI22" s="44"/>
      <c r="DJ22" s="44"/>
      <c r="DK22" s="44"/>
      <c r="DL22" s="23" t="s">
        <v>77</v>
      </c>
      <c r="DM22" s="19">
        <v>0.59299999999999997</v>
      </c>
      <c r="DN22" s="19">
        <v>0.58699999999999997</v>
      </c>
      <c r="DO22" s="19">
        <v>0.54500000000000004</v>
      </c>
      <c r="DP22" s="19">
        <v>0.55800000000000005</v>
      </c>
      <c r="DQ22" s="19">
        <v>0.57899999999999996</v>
      </c>
    </row>
    <row r="23" spans="1:121">
      <c r="A23" s="51"/>
      <c r="B23" s="10">
        <v>0</v>
      </c>
      <c r="C23" s="10">
        <f>1/41</f>
        <v>2.4390243902439025E-2</v>
      </c>
      <c r="D23" s="10">
        <f>4/66</f>
        <v>6.0606060606060608E-2</v>
      </c>
      <c r="E23" s="10">
        <v>0</v>
      </c>
      <c r="F23" s="10">
        <f>2/61</f>
        <v>3.2786885245901641E-2</v>
      </c>
      <c r="G23" s="10">
        <v>0</v>
      </c>
      <c r="H23" s="10">
        <v>0</v>
      </c>
      <c r="I23" s="51"/>
      <c r="J23" s="13">
        <v>0</v>
      </c>
      <c r="K23" s="13">
        <f>1-9/85</f>
        <v>0.89411764705882357</v>
      </c>
      <c r="L23" s="13">
        <f>48/96</f>
        <v>0.5</v>
      </c>
      <c r="M23" s="13">
        <f>1-11/104</f>
        <v>0.89423076923076927</v>
      </c>
      <c r="N23" s="13">
        <f>1-2/47</f>
        <v>0.95744680851063835</v>
      </c>
      <c r="O23" s="13">
        <v>1</v>
      </c>
      <c r="P23" s="51"/>
      <c r="Q23" s="13">
        <f>1-46/104</f>
        <v>0.55769230769230771</v>
      </c>
      <c r="R23" s="13">
        <f>27/79</f>
        <v>0.34177215189873417</v>
      </c>
      <c r="S23" s="13">
        <f>11/62</f>
        <v>0.17741935483870969</v>
      </c>
      <c r="T23" s="13">
        <f>41/79</f>
        <v>0.51898734177215189</v>
      </c>
      <c r="U23" s="51"/>
      <c r="V23" s="13">
        <f>2/41</f>
        <v>4.878048780487805E-2</v>
      </c>
      <c r="W23" s="13">
        <f>4/74</f>
        <v>5.4054054054054057E-2</v>
      </c>
      <c r="X23" s="13">
        <f>6/61</f>
        <v>9.8360655737704916E-2</v>
      </c>
      <c r="Y23" s="13">
        <f>1/43</f>
        <v>2.3255813953488372E-2</v>
      </c>
      <c r="Z23" s="51"/>
      <c r="AA23" s="13">
        <f>48/96</f>
        <v>0.5</v>
      </c>
      <c r="AB23" s="13">
        <f t="shared" si="1"/>
        <v>1</v>
      </c>
      <c r="AC23" s="13">
        <f>1</f>
        <v>1</v>
      </c>
      <c r="AD23" s="13">
        <f>19/103</f>
        <v>0.18446601941747573</v>
      </c>
      <c r="AE23" s="48"/>
      <c r="AF23" s="13">
        <f>9/89</f>
        <v>0.10112359550561797</v>
      </c>
      <c r="AG23" s="13">
        <f>27/59</f>
        <v>0.4576271186440678</v>
      </c>
      <c r="AH23" s="51"/>
      <c r="AI23" s="13">
        <f>48/96</f>
        <v>0.5</v>
      </c>
      <c r="AJ23" s="13">
        <f>3/71</f>
        <v>4.2253521126760563E-2</v>
      </c>
      <c r="AK23" s="13">
        <f>5/63</f>
        <v>7.9365079365079361E-2</v>
      </c>
      <c r="AL23" s="51"/>
      <c r="AM23" s="13">
        <f>32/57</f>
        <v>0.56140350877192979</v>
      </c>
      <c r="AN23" s="13">
        <v>0</v>
      </c>
      <c r="AO23" s="13">
        <v>0</v>
      </c>
      <c r="AP23" s="13">
        <f>3/96</f>
        <v>3.125E-2</v>
      </c>
      <c r="AQ23" s="13">
        <v>0</v>
      </c>
      <c r="AR23" s="13"/>
      <c r="AS23" s="20"/>
      <c r="AT23" s="20"/>
      <c r="AU23" s="51"/>
      <c r="AV23" s="13">
        <f>7/94</f>
        <v>7.4468085106382975E-2</v>
      </c>
      <c r="AW23" s="13">
        <f>10/96</f>
        <v>0.10416666666666667</v>
      </c>
      <c r="AX23" s="13">
        <f>52/73</f>
        <v>0.71232876712328763</v>
      </c>
      <c r="AY23" s="13">
        <f>2/104</f>
        <v>1.9230769230769232E-2</v>
      </c>
      <c r="AZ23" s="13">
        <f>12/56</f>
        <v>0.21428571428571427</v>
      </c>
      <c r="BA23" s="13">
        <f>1</f>
        <v>1</v>
      </c>
      <c r="BB23" s="51"/>
      <c r="BC23" s="13">
        <f>48/96</f>
        <v>0.5</v>
      </c>
      <c r="BD23" s="13">
        <f>1-30/101</f>
        <v>0.70297029702970293</v>
      </c>
      <c r="BE23" s="13">
        <f>1-28/110</f>
        <v>0.74545454545454548</v>
      </c>
      <c r="BF23" s="13">
        <f>1-26/123</f>
        <v>0.78861788617886175</v>
      </c>
      <c r="BG23" s="51"/>
      <c r="BH23" s="13">
        <f>1-1/77</f>
        <v>0.98701298701298701</v>
      </c>
      <c r="BI23" s="13">
        <f>1/79</f>
        <v>1.2658227848101266E-2</v>
      </c>
      <c r="BJ23" s="13">
        <v>0</v>
      </c>
      <c r="BK23" s="13">
        <v>0</v>
      </c>
      <c r="BL23" s="13">
        <f>4/64</f>
        <v>6.25E-2</v>
      </c>
      <c r="BM23" s="13">
        <f>12/60</f>
        <v>0.2</v>
      </c>
      <c r="BN23" s="30">
        <v>2</v>
      </c>
      <c r="BO23" s="31">
        <v>0.90720400000000001</v>
      </c>
      <c r="BP23" s="31">
        <v>0.89614099999999997</v>
      </c>
      <c r="BQ23" s="31">
        <v>0.69607300000000005</v>
      </c>
      <c r="BR23" s="39"/>
      <c r="BS23" s="16">
        <v>407273.2</v>
      </c>
      <c r="BT23" s="16">
        <v>314166.78999999998</v>
      </c>
      <c r="BU23" s="16">
        <v>724962.8</v>
      </c>
      <c r="BV23" s="16">
        <v>346390.54</v>
      </c>
      <c r="BW23" s="53"/>
      <c r="BX23" s="3">
        <v>2</v>
      </c>
      <c r="BY23" s="3">
        <v>2</v>
      </c>
      <c r="BZ23" s="3"/>
      <c r="CA23" s="70" t="s">
        <v>133</v>
      </c>
      <c r="CB23" s="70" t="s">
        <v>138</v>
      </c>
      <c r="CC23" s="23" t="s">
        <v>75</v>
      </c>
      <c r="CD23" s="77">
        <v>1.9359999999999999</v>
      </c>
      <c r="CE23" s="77">
        <v>2.448</v>
      </c>
      <c r="CF23" s="77">
        <v>2.706</v>
      </c>
      <c r="CG23" s="77">
        <v>2.54</v>
      </c>
      <c r="CH23" s="77">
        <v>2.403</v>
      </c>
      <c r="CI23" s="73"/>
      <c r="CJ23" s="47"/>
      <c r="CK23" s="18">
        <v>0.61692224211870095</v>
      </c>
      <c r="CL23" s="18">
        <v>0.74777407174270505</v>
      </c>
      <c r="CM23" s="47"/>
      <c r="CN23" s="18">
        <v>2.7445055786286101</v>
      </c>
      <c r="CO23" s="18">
        <v>3.6262171665390399</v>
      </c>
      <c r="CP23" s="18"/>
      <c r="CQ23" s="72"/>
      <c r="CR23" s="72"/>
      <c r="CS23" s="72"/>
      <c r="CT23" s="18"/>
      <c r="CU23" s="72"/>
      <c r="CV23" s="72"/>
      <c r="CW23" s="72"/>
      <c r="CX23" s="72"/>
      <c r="CY23" s="72"/>
      <c r="CZ23" s="72"/>
      <c r="DA23" s="23" t="s">
        <v>76</v>
      </c>
      <c r="DB23" s="19">
        <v>410.47800000000001</v>
      </c>
      <c r="DC23" s="19">
        <v>367.84</v>
      </c>
      <c r="DD23" s="19">
        <v>358.70600000000002</v>
      </c>
      <c r="DE23" s="19">
        <v>305.80900000000003</v>
      </c>
      <c r="DF23" s="19">
        <v>397.3725</v>
      </c>
      <c r="DG23" s="19">
        <v>105.5925</v>
      </c>
      <c r="DH23" s="3"/>
      <c r="DI23" s="6" t="s">
        <v>62</v>
      </c>
      <c r="DJ23" s="6" t="s">
        <v>63</v>
      </c>
      <c r="DK23" s="6" t="s">
        <v>64</v>
      </c>
      <c r="DL23" s="23"/>
      <c r="DM23" s="20"/>
      <c r="DN23" s="20"/>
      <c r="DO23" s="20"/>
      <c r="DP23" s="20"/>
      <c r="DQ23" s="20"/>
    </row>
    <row r="24" spans="1:121">
      <c r="A24" s="51"/>
      <c r="B24" s="10">
        <v>0</v>
      </c>
      <c r="C24" s="10">
        <v>0</v>
      </c>
      <c r="D24" s="10">
        <f>3/59</f>
        <v>5.0847457627118647E-2</v>
      </c>
      <c r="E24" s="10">
        <v>0</v>
      </c>
      <c r="F24" s="10">
        <f>1/67</f>
        <v>1.4925373134328358E-2</v>
      </c>
      <c r="G24" s="10">
        <f>1/58</f>
        <v>1.7241379310344827E-2</v>
      </c>
      <c r="H24" s="10">
        <v>0</v>
      </c>
      <c r="I24" s="51"/>
      <c r="J24" s="13">
        <v>0</v>
      </c>
      <c r="K24" s="13">
        <f>1-22/79</f>
        <v>0.72151898734177222</v>
      </c>
      <c r="L24" s="13">
        <f>30/110</f>
        <v>0.27272727272727271</v>
      </c>
      <c r="M24" s="13">
        <f>1-8/104</f>
        <v>0.92307692307692313</v>
      </c>
      <c r="N24" s="13">
        <f>1-3/62</f>
        <v>0.95161290322580649</v>
      </c>
      <c r="O24" s="13">
        <v>1</v>
      </c>
      <c r="P24" s="51"/>
      <c r="Q24" s="13">
        <f>1-24/91</f>
        <v>0.73626373626373631</v>
      </c>
      <c r="R24" s="13">
        <f>12/44</f>
        <v>0.27272727272727271</v>
      </c>
      <c r="S24" s="13">
        <f>31/99</f>
        <v>0.31313131313131315</v>
      </c>
      <c r="T24" s="13">
        <f>39/83</f>
        <v>0.46987951807228917</v>
      </c>
      <c r="U24" s="51"/>
      <c r="V24" s="13">
        <v>0</v>
      </c>
      <c r="W24" s="13">
        <f>4/48</f>
        <v>8.3333333333333329E-2</v>
      </c>
      <c r="X24" s="13">
        <f>6/66</f>
        <v>9.0909090909090912E-2</v>
      </c>
      <c r="Y24" s="13">
        <f>4/69</f>
        <v>5.7971014492753624E-2</v>
      </c>
      <c r="Z24" s="51"/>
      <c r="AA24" s="13">
        <f>30/110</f>
        <v>0.27272727272727271</v>
      </c>
      <c r="AB24" s="13">
        <f t="shared" si="1"/>
        <v>1</v>
      </c>
      <c r="AC24" s="13">
        <f>1-9/114</f>
        <v>0.92105263157894735</v>
      </c>
      <c r="AD24" s="13">
        <f>20/111</f>
        <v>0.18018018018018017</v>
      </c>
      <c r="AE24" s="48"/>
      <c r="AF24" s="13">
        <f>7/98</f>
        <v>7.1428571428571425E-2</v>
      </c>
      <c r="AG24" s="13">
        <f>17/69</f>
        <v>0.24637681159420291</v>
      </c>
      <c r="AH24" s="51"/>
      <c r="AI24" s="13">
        <f>30/110</f>
        <v>0.27272727272727271</v>
      </c>
      <c r="AJ24" s="13">
        <f>2/46</f>
        <v>4.3478260869565216E-2</v>
      </c>
      <c r="AK24" s="13">
        <f>8/71</f>
        <v>0.11267605633802817</v>
      </c>
      <c r="AL24" s="51"/>
      <c r="AM24" s="13">
        <f>31/60</f>
        <v>0.51666666666666672</v>
      </c>
      <c r="AN24" s="13">
        <v>0</v>
      </c>
      <c r="AO24" s="13">
        <f>2/78</f>
        <v>2.564102564102564E-2</v>
      </c>
      <c r="AP24" s="13">
        <v>0</v>
      </c>
      <c r="AQ24" s="13">
        <f>1/96</f>
        <v>1.0416666666666666E-2</v>
      </c>
      <c r="AR24" s="13"/>
      <c r="AS24" s="20"/>
      <c r="AT24" s="20"/>
      <c r="AU24" s="51"/>
      <c r="AV24" s="13">
        <f>13/82</f>
        <v>0.15853658536585366</v>
      </c>
      <c r="AW24" s="13">
        <f>52/60</f>
        <v>0.8666666666666667</v>
      </c>
      <c r="AX24" s="13">
        <f>43/94</f>
        <v>0.45744680851063829</v>
      </c>
      <c r="AY24" s="13">
        <f>2/99</f>
        <v>2.0202020202020204E-2</v>
      </c>
      <c r="AZ24" s="13">
        <f>14/62</f>
        <v>0.22580645161290322</v>
      </c>
      <c r="BA24" s="13">
        <f>1-4/45</f>
        <v>0.91111111111111109</v>
      </c>
      <c r="BB24" s="51"/>
      <c r="BC24" s="13">
        <f>30/110</f>
        <v>0.27272727272727271</v>
      </c>
      <c r="BD24" s="13">
        <f>1-21/88</f>
        <v>0.76136363636363635</v>
      </c>
      <c r="BE24" s="13">
        <f>1</f>
        <v>1</v>
      </c>
      <c r="BF24" s="13">
        <f>1</f>
        <v>1</v>
      </c>
      <c r="BG24" s="51"/>
      <c r="BH24" s="13">
        <f t="shared" ref="BH24:BH29" si="2">1</f>
        <v>1</v>
      </c>
      <c r="BI24" s="13">
        <v>0</v>
      </c>
      <c r="BJ24" s="13">
        <v>0</v>
      </c>
      <c r="BK24" s="13">
        <v>0</v>
      </c>
      <c r="BL24" s="13">
        <v>0</v>
      </c>
      <c r="BM24" s="13">
        <f>10/33</f>
        <v>0.30303030303030304</v>
      </c>
      <c r="BN24" s="30">
        <v>4</v>
      </c>
      <c r="BO24" s="31">
        <v>0.63911899999999999</v>
      </c>
      <c r="BP24" s="31">
        <v>0.78465499999999999</v>
      </c>
      <c r="BQ24" s="31">
        <v>0.63997800000000005</v>
      </c>
      <c r="BR24" s="39"/>
      <c r="BS24" s="16">
        <v>268920.65999999997</v>
      </c>
      <c r="BT24" s="16">
        <v>298031.68</v>
      </c>
      <c r="BU24" s="16">
        <v>339633.29</v>
      </c>
      <c r="BV24" s="16">
        <v>411857.53</v>
      </c>
      <c r="BW24" s="53"/>
      <c r="BX24" s="3">
        <v>2</v>
      </c>
      <c r="BY24" s="3">
        <v>2</v>
      </c>
      <c r="BZ24" s="65" t="s">
        <v>128</v>
      </c>
      <c r="CA24" s="72">
        <v>1.0472941229999999</v>
      </c>
      <c r="CB24" s="72">
        <v>0.66280972100000002</v>
      </c>
      <c r="CC24" s="3"/>
      <c r="CD24" s="75" t="s">
        <v>138</v>
      </c>
      <c r="CE24" s="76"/>
      <c r="CF24" s="76"/>
      <c r="CG24" s="76"/>
      <c r="CH24" s="76"/>
      <c r="CI24" s="76"/>
      <c r="CJ24" s="47"/>
      <c r="CK24" s="18">
        <v>0.270229907237998</v>
      </c>
      <c r="CL24" s="18">
        <v>0.43327997055725798</v>
      </c>
      <c r="CM24" s="47"/>
      <c r="CN24" s="18">
        <v>2.80490025342809</v>
      </c>
      <c r="CO24" s="18">
        <v>3.0557683141084202</v>
      </c>
      <c r="CP24" s="18"/>
      <c r="CQ24" s="72"/>
      <c r="CR24" s="72"/>
      <c r="CS24" s="72"/>
      <c r="CT24" s="18"/>
      <c r="CU24" s="72"/>
      <c r="CV24" s="72"/>
      <c r="CW24" s="72"/>
      <c r="CX24" s="72"/>
      <c r="CY24" s="72"/>
      <c r="CZ24" s="72"/>
      <c r="DA24" s="23" t="s">
        <v>78</v>
      </c>
      <c r="DB24" s="19">
        <v>523.2645</v>
      </c>
      <c r="DC24" s="19">
        <v>458.39699999999999</v>
      </c>
      <c r="DD24" s="19">
        <v>383.32799999999997</v>
      </c>
      <c r="DE24" s="19">
        <v>334.61099999999999</v>
      </c>
      <c r="DF24" s="19">
        <v>578.25900000000001</v>
      </c>
      <c r="DG24" s="19">
        <v>210.82599999999999</v>
      </c>
      <c r="DH24" s="47" t="s">
        <v>79</v>
      </c>
      <c r="DI24" s="20">
        <v>1</v>
      </c>
      <c r="DJ24" s="20">
        <v>0.23280423280423301</v>
      </c>
      <c r="DK24" s="20">
        <v>0.58465608465608498</v>
      </c>
      <c r="DL24" s="50" t="s">
        <v>41</v>
      </c>
      <c r="DM24" s="41"/>
      <c r="DN24" s="41"/>
      <c r="DO24" s="41"/>
      <c r="DP24" s="41"/>
      <c r="DQ24" s="41"/>
    </row>
    <row r="25" spans="1:121">
      <c r="A25" s="51"/>
      <c r="B25" s="10">
        <f>1/41</f>
        <v>2.4390243902439025E-2</v>
      </c>
      <c r="C25" s="10">
        <f>1/53</f>
        <v>1.8867924528301886E-2</v>
      </c>
      <c r="D25" s="10">
        <v>0</v>
      </c>
      <c r="E25" s="10">
        <f>1/48</f>
        <v>2.0833333333333332E-2</v>
      </c>
      <c r="F25" s="10">
        <f>2/64</f>
        <v>3.125E-2</v>
      </c>
      <c r="G25" s="10">
        <f>2/66</f>
        <v>3.0303030303030304E-2</v>
      </c>
      <c r="H25" s="10">
        <v>0</v>
      </c>
      <c r="I25" s="51"/>
      <c r="J25" s="13">
        <v>0</v>
      </c>
      <c r="K25" s="13">
        <f>1-31/88</f>
        <v>0.64772727272727271</v>
      </c>
      <c r="L25" s="13">
        <f>42/100</f>
        <v>0.42</v>
      </c>
      <c r="M25" s="13">
        <f>1-16/111</f>
        <v>0.85585585585585588</v>
      </c>
      <c r="N25" s="13">
        <f>1-6/82</f>
        <v>0.92682926829268297</v>
      </c>
      <c r="O25" s="13">
        <v>1</v>
      </c>
      <c r="P25" s="51"/>
      <c r="Q25" s="13">
        <f>1-10/78</f>
        <v>0.87179487179487181</v>
      </c>
      <c r="R25" s="13">
        <f>28/78</f>
        <v>0.35897435897435898</v>
      </c>
      <c r="S25" s="13">
        <f>26/112</f>
        <v>0.23214285714285715</v>
      </c>
      <c r="T25" s="13">
        <f>35/72</f>
        <v>0.4861111111111111</v>
      </c>
      <c r="U25" s="51"/>
      <c r="V25" s="13">
        <f>1/49</f>
        <v>2.0408163265306121E-2</v>
      </c>
      <c r="W25" s="13">
        <f>9/67</f>
        <v>0.13432835820895522</v>
      </c>
      <c r="X25" s="13">
        <f>5/64</f>
        <v>7.8125E-2</v>
      </c>
      <c r="Y25" s="13">
        <f>3/75</f>
        <v>0.04</v>
      </c>
      <c r="Z25" s="51"/>
      <c r="AA25" s="13">
        <f>42/100</f>
        <v>0.42</v>
      </c>
      <c r="AB25" s="13">
        <f t="shared" si="1"/>
        <v>1</v>
      </c>
      <c r="AC25" s="13">
        <f>1</f>
        <v>1</v>
      </c>
      <c r="AD25" s="13">
        <f>33/141</f>
        <v>0.23404255319148937</v>
      </c>
      <c r="AE25" s="48"/>
      <c r="AF25" s="13">
        <f>0</f>
        <v>0</v>
      </c>
      <c r="AG25" s="13">
        <f>36/81</f>
        <v>0.44444444444444442</v>
      </c>
      <c r="AH25" s="51"/>
      <c r="AI25" s="13">
        <f>42/100</f>
        <v>0.42</v>
      </c>
      <c r="AJ25" s="13">
        <f>1/67</f>
        <v>1.4925373134328358E-2</v>
      </c>
      <c r="AK25" s="13">
        <f>6/73</f>
        <v>8.2191780821917804E-2</v>
      </c>
      <c r="AL25" s="51"/>
      <c r="AM25" s="13">
        <f>9/52</f>
        <v>0.17307692307692307</v>
      </c>
      <c r="AN25" s="13">
        <v>0</v>
      </c>
      <c r="AO25" s="13">
        <v>0</v>
      </c>
      <c r="AP25" s="13">
        <f>4/84</f>
        <v>4.7619047619047616E-2</v>
      </c>
      <c r="AQ25" s="13">
        <f>7/103</f>
        <v>6.7961165048543687E-2</v>
      </c>
      <c r="AR25" s="13"/>
      <c r="AS25" s="20"/>
      <c r="AT25" s="20"/>
      <c r="AU25" s="51"/>
      <c r="AV25" s="13">
        <f>17/83</f>
        <v>0.20481927710843373</v>
      </c>
      <c r="AW25" s="13">
        <f>38/42</f>
        <v>0.90476190476190477</v>
      </c>
      <c r="AX25" s="13">
        <f>46/76</f>
        <v>0.60526315789473684</v>
      </c>
      <c r="AY25" s="13">
        <f>5/78</f>
        <v>6.4102564102564097E-2</v>
      </c>
      <c r="AZ25" s="13">
        <f>7/68</f>
        <v>0.10294117647058823</v>
      </c>
      <c r="BA25" s="13">
        <f t="shared" ref="BA25:BA33" si="3">1</f>
        <v>1</v>
      </c>
      <c r="BB25" s="51"/>
      <c r="BC25" s="13">
        <f>42/100</f>
        <v>0.42</v>
      </c>
      <c r="BD25" s="13">
        <f>1-41/107</f>
        <v>0.61682242990654212</v>
      </c>
      <c r="BE25" s="13">
        <f>1</f>
        <v>1</v>
      </c>
      <c r="BF25" s="13">
        <f>1-18/93</f>
        <v>0.80645161290322576</v>
      </c>
      <c r="BG25" s="51"/>
      <c r="BH25" s="13">
        <f t="shared" si="2"/>
        <v>1</v>
      </c>
      <c r="BI25" s="13">
        <f>3/97</f>
        <v>3.0927835051546393E-2</v>
      </c>
      <c r="BJ25" s="13">
        <v>0</v>
      </c>
      <c r="BK25" s="13">
        <f>5/73</f>
        <v>6.8493150684931503E-2</v>
      </c>
      <c r="BL25" s="13">
        <f>25/60</f>
        <v>0.41666666666666669</v>
      </c>
      <c r="BM25" s="13">
        <f>4/52</f>
        <v>7.6923076923076927E-2</v>
      </c>
      <c r="BN25" s="30">
        <v>6</v>
      </c>
      <c r="BO25" s="31">
        <v>0.23874999999999999</v>
      </c>
      <c r="BP25" s="31">
        <v>0.19697200000000001</v>
      </c>
      <c r="BQ25" s="31">
        <v>0.47592600000000002</v>
      </c>
      <c r="BR25" s="39"/>
      <c r="BS25" s="16">
        <v>337501.86</v>
      </c>
      <c r="BT25" s="16">
        <v>349811.87</v>
      </c>
      <c r="BU25" s="16">
        <v>548559.38</v>
      </c>
      <c r="BV25" s="16">
        <v>358143.96</v>
      </c>
      <c r="BW25" s="53"/>
      <c r="BX25" s="3">
        <v>2</v>
      </c>
      <c r="BY25" s="3">
        <v>2</v>
      </c>
      <c r="BZ25" s="48"/>
      <c r="CA25" s="72">
        <v>0.96370711799999997</v>
      </c>
      <c r="CB25" s="72">
        <v>0.62272481099999999</v>
      </c>
      <c r="CC25" s="23" t="s">
        <v>68</v>
      </c>
      <c r="CD25" s="77">
        <v>0.32500000000000001</v>
      </c>
      <c r="CE25" s="77">
        <v>0.34599999999999997</v>
      </c>
      <c r="CF25" s="77">
        <v>0.34599999999999997</v>
      </c>
      <c r="CG25" s="77">
        <v>0.34100000000000003</v>
      </c>
      <c r="CH25" s="77">
        <v>0.33400000000000002</v>
      </c>
      <c r="CI25" s="73"/>
      <c r="CJ25" s="47"/>
      <c r="CK25" s="18">
        <v>0.70008454949309196</v>
      </c>
      <c r="CL25" s="18">
        <v>0.28924428515664202</v>
      </c>
      <c r="CM25" s="47"/>
      <c r="CN25" s="18">
        <v>3.25084033356165</v>
      </c>
      <c r="CO25" s="18">
        <v>2.97823224584238</v>
      </c>
      <c r="CP25" s="18"/>
      <c r="CQ25" s="72"/>
      <c r="CR25" s="72"/>
      <c r="CS25" s="72"/>
      <c r="CT25" s="18"/>
      <c r="CU25" s="72"/>
      <c r="CV25" s="72"/>
      <c r="CW25" s="72"/>
      <c r="CX25" s="72"/>
      <c r="CY25" s="72"/>
      <c r="CZ25" s="72"/>
      <c r="DA25" s="23" t="s">
        <v>80</v>
      </c>
      <c r="DB25" s="19">
        <v>629.06200000000001</v>
      </c>
      <c r="DC25" s="19">
        <v>583.495</v>
      </c>
      <c r="DD25" s="19">
        <v>473.8125</v>
      </c>
      <c r="DE25" s="19">
        <v>418.17599999999999</v>
      </c>
      <c r="DF25" s="19">
        <v>663.0625</v>
      </c>
      <c r="DG25" s="19">
        <v>306.93599999999998</v>
      </c>
      <c r="DH25" s="48"/>
      <c r="DI25" s="20">
        <v>1.0264550264550301</v>
      </c>
      <c r="DJ25" s="20">
        <v>0.31216931216931199</v>
      </c>
      <c r="DK25" s="20">
        <v>0.5</v>
      </c>
      <c r="DL25" s="21"/>
      <c r="DM25" s="50" t="s">
        <v>62</v>
      </c>
      <c r="DN25" s="41"/>
      <c r="DO25" s="41"/>
      <c r="DP25" s="41"/>
      <c r="DQ25" s="41"/>
    </row>
    <row r="26" spans="1:121" ht="14.25" customHeight="1">
      <c r="A26" s="51"/>
      <c r="B26" s="10">
        <f>1/37</f>
        <v>2.7027027027027029E-2</v>
      </c>
      <c r="C26" s="10">
        <v>0</v>
      </c>
      <c r="D26" s="10">
        <v>0</v>
      </c>
      <c r="E26" s="10">
        <v>0</v>
      </c>
      <c r="F26" s="10">
        <f>1/68</f>
        <v>1.4705882352941176E-2</v>
      </c>
      <c r="G26" s="10">
        <v>0</v>
      </c>
      <c r="H26" s="10">
        <v>0</v>
      </c>
      <c r="I26" s="51"/>
      <c r="J26" s="13">
        <v>0</v>
      </c>
      <c r="K26" s="13">
        <f>1-22/84</f>
        <v>0.73809523809523814</v>
      </c>
      <c r="L26" s="13">
        <f>44/96</f>
        <v>0.45833333333333331</v>
      </c>
      <c r="M26" s="13">
        <f>1-25/100</f>
        <v>0.75</v>
      </c>
      <c r="N26" s="13">
        <f>1-3/68</f>
        <v>0.95588235294117652</v>
      </c>
      <c r="O26" s="13">
        <f>1-4/119</f>
        <v>0.96638655462184875</v>
      </c>
      <c r="P26" s="51"/>
      <c r="Q26" s="13">
        <f>1-22/90</f>
        <v>0.75555555555555554</v>
      </c>
      <c r="R26" s="13">
        <f>20/94</f>
        <v>0.21276595744680851</v>
      </c>
      <c r="S26" s="13">
        <f>30/89</f>
        <v>0.33707865168539325</v>
      </c>
      <c r="T26" s="13">
        <f>12/41</f>
        <v>0.29268292682926828</v>
      </c>
      <c r="U26" s="51"/>
      <c r="V26" s="13">
        <f>1/49</f>
        <v>2.0408163265306121E-2</v>
      </c>
      <c r="W26" s="13">
        <f>5/58</f>
        <v>8.6206896551724144E-2</v>
      </c>
      <c r="X26" s="13">
        <f>4/72</f>
        <v>5.5555555555555552E-2</v>
      </c>
      <c r="Y26" s="13">
        <f>4/64</f>
        <v>6.25E-2</v>
      </c>
      <c r="Z26" s="51"/>
      <c r="AA26" s="13">
        <f>44/96</f>
        <v>0.45833333333333331</v>
      </c>
      <c r="AB26" s="13">
        <f t="shared" si="1"/>
        <v>1</v>
      </c>
      <c r="AC26" s="13">
        <f>1</f>
        <v>1</v>
      </c>
      <c r="AD26" s="13">
        <f>21/101</f>
        <v>0.20792079207920791</v>
      </c>
      <c r="AE26" s="48"/>
      <c r="AF26" s="13">
        <f>4/89</f>
        <v>4.49438202247191E-2</v>
      </c>
      <c r="AG26" s="13">
        <f>11/97</f>
        <v>0.1134020618556701</v>
      </c>
      <c r="AH26" s="51"/>
      <c r="AI26" s="13">
        <f>44/96</f>
        <v>0.45833333333333331</v>
      </c>
      <c r="AJ26" s="13">
        <f>2/67</f>
        <v>2.9850746268656716E-2</v>
      </c>
      <c r="AK26" s="13">
        <v>0</v>
      </c>
      <c r="AL26" s="51"/>
      <c r="AM26" s="13">
        <f>12/58</f>
        <v>0.20689655172413793</v>
      </c>
      <c r="AN26" s="13">
        <v>0</v>
      </c>
      <c r="AO26" s="13">
        <f>1/46</f>
        <v>2.1739130434782608E-2</v>
      </c>
      <c r="AP26" s="13">
        <f>4/89</f>
        <v>4.49438202247191E-2</v>
      </c>
      <c r="AQ26" s="13">
        <f>3/52</f>
        <v>5.7692307692307696E-2</v>
      </c>
      <c r="AR26" s="13"/>
      <c r="AS26" s="20"/>
      <c r="AT26" s="20"/>
      <c r="AU26" s="51"/>
      <c r="AV26" s="13">
        <f>5/106</f>
        <v>4.716981132075472E-2</v>
      </c>
      <c r="AW26" s="13">
        <f>26/28</f>
        <v>0.9285714285714286</v>
      </c>
      <c r="AX26" s="13">
        <f>47/90</f>
        <v>0.52222222222222225</v>
      </c>
      <c r="AY26" s="13">
        <f>1/96</f>
        <v>1.0416666666666666E-2</v>
      </c>
      <c r="AZ26" s="13">
        <f>6/70</f>
        <v>8.5714285714285715E-2</v>
      </c>
      <c r="BA26" s="13">
        <f t="shared" si="3"/>
        <v>1</v>
      </c>
      <c r="BB26" s="51"/>
      <c r="BC26" s="13">
        <f>44/96</f>
        <v>0.45833333333333331</v>
      </c>
      <c r="BD26" s="13">
        <f>1-13/104</f>
        <v>0.875</v>
      </c>
      <c r="BE26" s="13">
        <f>1</f>
        <v>1</v>
      </c>
      <c r="BF26" s="13">
        <f>1-14/89</f>
        <v>0.84269662921348321</v>
      </c>
      <c r="BG26" s="51"/>
      <c r="BH26" s="13">
        <f t="shared" si="2"/>
        <v>1</v>
      </c>
      <c r="BI26" s="13">
        <f>3/86</f>
        <v>3.4883720930232558E-2</v>
      </c>
      <c r="BJ26" s="13">
        <v>0</v>
      </c>
      <c r="BK26" s="13">
        <f>6/64</f>
        <v>9.375E-2</v>
      </c>
      <c r="BL26" s="13">
        <f>5/64</f>
        <v>7.8125E-2</v>
      </c>
      <c r="BM26" s="13">
        <f>8/56</f>
        <v>0.14285714285714285</v>
      </c>
      <c r="BN26" s="30">
        <v>8</v>
      </c>
      <c r="BO26" s="31">
        <v>0.133131</v>
      </c>
      <c r="BP26" s="31">
        <v>0.15962699999999999</v>
      </c>
      <c r="BQ26" s="31">
        <v>0.13682900000000001</v>
      </c>
      <c r="BR26" s="39"/>
      <c r="BS26" s="16">
        <v>480478.51</v>
      </c>
      <c r="BT26" s="16">
        <v>364337.08</v>
      </c>
      <c r="BU26" s="16">
        <v>612175.44999999995</v>
      </c>
      <c r="BV26" s="16">
        <v>417611.91</v>
      </c>
      <c r="BW26" s="53"/>
      <c r="BX26" s="3">
        <v>2</v>
      </c>
      <c r="BY26" s="3">
        <v>2</v>
      </c>
      <c r="BZ26" s="48"/>
      <c r="CA26" s="72">
        <v>0.990800613</v>
      </c>
      <c r="CB26" s="72">
        <v>0.58102279300000004</v>
      </c>
      <c r="CC26" s="23" t="s">
        <v>70</v>
      </c>
      <c r="CD26" s="77">
        <v>0.72199999999999998</v>
      </c>
      <c r="CE26" s="77">
        <v>0.69</v>
      </c>
      <c r="CF26" s="77">
        <v>0.66100000000000003</v>
      </c>
      <c r="CG26" s="77">
        <v>0.69699999999999995</v>
      </c>
      <c r="CH26" s="77">
        <v>0.68700000000000006</v>
      </c>
      <c r="CI26" s="73"/>
      <c r="CJ26" s="47"/>
      <c r="CK26" s="18">
        <v>0.75629744811992505</v>
      </c>
      <c r="CL26" s="18">
        <v>0.55070369624788795</v>
      </c>
      <c r="CM26" s="47"/>
      <c r="CN26" s="18">
        <v>3.2038667415135702</v>
      </c>
      <c r="CO26" s="18">
        <v>2.23247657119849</v>
      </c>
      <c r="CP26" s="18"/>
      <c r="CQ26" s="72"/>
      <c r="CR26" s="72"/>
      <c r="CS26" s="72"/>
      <c r="CT26" s="18"/>
      <c r="CU26" s="72"/>
      <c r="CV26" s="72"/>
      <c r="CW26" s="72"/>
      <c r="CX26" s="72"/>
      <c r="CY26" s="72"/>
      <c r="CZ26" s="72"/>
      <c r="DA26" s="20"/>
      <c r="DB26" s="20"/>
      <c r="DC26" s="20"/>
      <c r="DD26" s="20"/>
      <c r="DE26" s="20"/>
      <c r="DF26" s="20"/>
      <c r="DG26" s="20"/>
      <c r="DH26" s="48"/>
      <c r="DI26" s="20">
        <v>0.91269841269841301</v>
      </c>
      <c r="DJ26" s="20">
        <v>0.25925925925925902</v>
      </c>
      <c r="DK26" s="20">
        <v>0.47089947089947098</v>
      </c>
      <c r="DL26" s="23" t="s">
        <v>68</v>
      </c>
      <c r="DM26" s="19">
        <v>0.20599999999999999</v>
      </c>
      <c r="DN26" s="19">
        <v>0.19800000000000001</v>
      </c>
      <c r="DO26" s="19">
        <v>0.20399999999999999</v>
      </c>
      <c r="DP26" s="19">
        <v>0.19600000000000001</v>
      </c>
      <c r="DQ26" s="19">
        <v>0.20100000000000001</v>
      </c>
    </row>
    <row r="27" spans="1:121">
      <c r="A27" s="51"/>
      <c r="B27" s="10">
        <v>0</v>
      </c>
      <c r="C27" s="10">
        <f>1/52</f>
        <v>1.9230769230769232E-2</v>
      </c>
      <c r="D27" s="10">
        <f>2/60</f>
        <v>3.3333333333333333E-2</v>
      </c>
      <c r="E27" s="10">
        <v>0</v>
      </c>
      <c r="F27" s="10">
        <v>0</v>
      </c>
      <c r="G27" s="10">
        <f>2/53</f>
        <v>3.7735849056603772E-2</v>
      </c>
      <c r="H27" s="10">
        <v>0</v>
      </c>
      <c r="I27" s="51"/>
      <c r="J27" s="13">
        <v>0</v>
      </c>
      <c r="K27" s="13">
        <f>1-19/56</f>
        <v>0.6607142857142857</v>
      </c>
      <c r="L27" s="13">
        <f>54/114</f>
        <v>0.47368421052631576</v>
      </c>
      <c r="M27" s="13">
        <f>1-13/121</f>
        <v>0.8925619834710744</v>
      </c>
      <c r="N27" s="13">
        <v>1</v>
      </c>
      <c r="O27" s="13">
        <f>1-3/98</f>
        <v>0.96938775510204078</v>
      </c>
      <c r="P27" s="51"/>
      <c r="Q27" s="13">
        <f>1-42/113</f>
        <v>0.62831858407079644</v>
      </c>
      <c r="R27" s="13">
        <f>21/91</f>
        <v>0.23076923076923078</v>
      </c>
      <c r="S27" s="13">
        <f>29/96</f>
        <v>0.30208333333333331</v>
      </c>
      <c r="T27" s="13">
        <f>30/66</f>
        <v>0.45454545454545453</v>
      </c>
      <c r="U27" s="51"/>
      <c r="V27" s="13">
        <f>3/47</f>
        <v>6.3829787234042548E-2</v>
      </c>
      <c r="W27" s="13">
        <f>2/55</f>
        <v>3.6363636363636362E-2</v>
      </c>
      <c r="X27" s="13">
        <f>8/55</f>
        <v>0.14545454545454545</v>
      </c>
      <c r="Y27" s="13">
        <f>1/52</f>
        <v>1.9230769230769232E-2</v>
      </c>
      <c r="Z27" s="51"/>
      <c r="AA27" s="13">
        <f>54/114</f>
        <v>0.47368421052631576</v>
      </c>
      <c r="AB27" s="13">
        <f t="shared" si="1"/>
        <v>1</v>
      </c>
      <c r="AC27" s="13">
        <f>1</f>
        <v>1</v>
      </c>
      <c r="AD27" s="13">
        <f>31/114</f>
        <v>0.27192982456140352</v>
      </c>
      <c r="AE27" s="48"/>
      <c r="AF27" s="13">
        <f>3/62</f>
        <v>4.8387096774193547E-2</v>
      </c>
      <c r="AG27" s="13">
        <f>25/76</f>
        <v>0.32894736842105265</v>
      </c>
      <c r="AH27" s="51"/>
      <c r="AI27" s="13">
        <f>54/114</f>
        <v>0.47368421052631576</v>
      </c>
      <c r="AJ27" s="13">
        <f>3/93</f>
        <v>3.2258064516129031E-2</v>
      </c>
      <c r="AK27" s="13">
        <f>6/60</f>
        <v>0.1</v>
      </c>
      <c r="AL27" s="51"/>
      <c r="AM27" s="13">
        <f>37/57</f>
        <v>0.64912280701754388</v>
      </c>
      <c r="AN27" s="13">
        <f>1/79</f>
        <v>1.2658227848101266E-2</v>
      </c>
      <c r="AO27" s="13">
        <f>1/63</f>
        <v>1.5873015873015872E-2</v>
      </c>
      <c r="AP27" s="13">
        <f>2/68</f>
        <v>2.9411764705882353E-2</v>
      </c>
      <c r="AQ27" s="13">
        <f>5/115</f>
        <v>4.3478260869565216E-2</v>
      </c>
      <c r="AR27" s="13"/>
      <c r="AS27" s="20"/>
      <c r="AT27" s="20"/>
      <c r="AU27" s="51"/>
      <c r="AV27" s="13">
        <f>7/86</f>
        <v>8.1395348837209308E-2</v>
      </c>
      <c r="AW27" s="13">
        <v>1</v>
      </c>
      <c r="AX27" s="13">
        <f>58/76</f>
        <v>0.76315789473684215</v>
      </c>
      <c r="AY27" s="13">
        <v>0</v>
      </c>
      <c r="AZ27" s="13">
        <f>6/54</f>
        <v>0.1111111111111111</v>
      </c>
      <c r="BA27" s="13">
        <f t="shared" si="3"/>
        <v>1</v>
      </c>
      <c r="BB27" s="51"/>
      <c r="BC27" s="13">
        <f>54/114</f>
        <v>0.47368421052631576</v>
      </c>
      <c r="BD27" s="13">
        <f>1-24/107</f>
        <v>0.77570093457943923</v>
      </c>
      <c r="BE27" s="13">
        <f>1</f>
        <v>1</v>
      </c>
      <c r="BF27" s="13">
        <f t="shared" ref="BF27:BF32" si="4">1</f>
        <v>1</v>
      </c>
      <c r="BG27" s="51"/>
      <c r="BH27" s="13">
        <f t="shared" si="2"/>
        <v>1</v>
      </c>
      <c r="BI27" s="13">
        <f>3/83</f>
        <v>3.614457831325301E-2</v>
      </c>
      <c r="BJ27" s="13">
        <v>0</v>
      </c>
      <c r="BK27" s="13">
        <f>5/56</f>
        <v>8.9285714285714288E-2</v>
      </c>
      <c r="BL27" s="13">
        <f>9/81</f>
        <v>0.1111111111111111</v>
      </c>
      <c r="BM27" s="13">
        <f>7/54</f>
        <v>0.12962962962962962</v>
      </c>
      <c r="BN27" s="13"/>
      <c r="BO27" s="13"/>
      <c r="BP27" s="13"/>
      <c r="BQ27" s="13"/>
      <c r="BR27" s="39"/>
      <c r="BS27" s="16">
        <v>336535.17</v>
      </c>
      <c r="BT27" s="16">
        <v>320715.34999999998</v>
      </c>
      <c r="BU27" s="16">
        <v>356278.7</v>
      </c>
      <c r="BV27" s="16">
        <v>243605.37</v>
      </c>
      <c r="BW27" s="53"/>
      <c r="BX27" s="3">
        <v>2</v>
      </c>
      <c r="BY27" s="3">
        <v>2</v>
      </c>
      <c r="BZ27" s="6" t="s">
        <v>72</v>
      </c>
      <c r="CA27" s="35">
        <f>AVERAGE(CA24:CA26)</f>
        <v>1.000600618</v>
      </c>
      <c r="CB27" s="35">
        <f>AVERAGE(CB24:CB26)</f>
        <v>0.62218577500000005</v>
      </c>
      <c r="CC27" s="23" t="s">
        <v>73</v>
      </c>
      <c r="CD27" s="77">
        <v>1.27</v>
      </c>
      <c r="CE27" s="77">
        <v>1.1870000000000001</v>
      </c>
      <c r="CF27" s="77">
        <v>1.26</v>
      </c>
      <c r="CG27" s="77">
        <v>1.298</v>
      </c>
      <c r="CH27" s="77">
        <v>1.272</v>
      </c>
      <c r="CI27" s="73"/>
      <c r="CJ27" s="47"/>
      <c r="CK27" s="18">
        <v>2.6852449763822599</v>
      </c>
      <c r="CL27" s="18">
        <v>0.39044757799330998</v>
      </c>
      <c r="CM27" s="47"/>
      <c r="CN27" s="18">
        <v>3.3306874624025302</v>
      </c>
      <c r="CO27" s="18">
        <v>2.8955159072527401</v>
      </c>
      <c r="CP27" s="18"/>
      <c r="CQ27" s="72"/>
      <c r="CR27" s="72"/>
      <c r="CS27" s="72"/>
      <c r="CT27" s="18"/>
      <c r="CU27" s="72"/>
      <c r="CV27" s="72"/>
      <c r="CW27" s="72"/>
      <c r="CX27" s="72"/>
      <c r="CY27" s="72"/>
      <c r="CZ27" s="72"/>
      <c r="DA27" s="20"/>
      <c r="DB27" s="22" t="s">
        <v>62</v>
      </c>
      <c r="DC27" s="22" t="s">
        <v>63</v>
      </c>
      <c r="DD27" s="22" t="s">
        <v>64</v>
      </c>
      <c r="DE27" s="20"/>
      <c r="DF27" s="20"/>
      <c r="DG27" s="20"/>
      <c r="DH27" s="6" t="s">
        <v>72</v>
      </c>
      <c r="DI27" s="35">
        <f>AVERAGE(DI24:DI26)</f>
        <v>0.97971781305114769</v>
      </c>
      <c r="DJ27" s="35">
        <f>AVERAGE(DJ24:DJ26)</f>
        <v>0.26807760141093467</v>
      </c>
      <c r="DK27" s="35">
        <f>AVERAGE(DK24:DK26)</f>
        <v>0.51851851851851871</v>
      </c>
      <c r="DL27" s="23" t="s">
        <v>70</v>
      </c>
      <c r="DM27" s="19">
        <v>0.28699999999999998</v>
      </c>
      <c r="DN27" s="19">
        <v>0.27100000000000002</v>
      </c>
      <c r="DO27" s="19">
        <v>0.29499999999999998</v>
      </c>
      <c r="DP27" s="19">
        <v>0.28699999999999998</v>
      </c>
      <c r="DQ27" s="19">
        <v>0.29199999999999998</v>
      </c>
    </row>
    <row r="28" spans="1:121">
      <c r="A28" s="51"/>
      <c r="B28" s="10">
        <v>0</v>
      </c>
      <c r="C28" s="10">
        <f>2/72</f>
        <v>2.7777777777777776E-2</v>
      </c>
      <c r="D28" s="10">
        <v>0</v>
      </c>
      <c r="E28" s="10">
        <v>0</v>
      </c>
      <c r="F28" s="10">
        <f>1/57</f>
        <v>1.7543859649122806E-2</v>
      </c>
      <c r="G28" s="10">
        <v>0</v>
      </c>
      <c r="H28" s="10">
        <v>0</v>
      </c>
      <c r="I28" s="51"/>
      <c r="J28" s="13">
        <v>0</v>
      </c>
      <c r="K28" s="13">
        <f>1-19/65</f>
        <v>0.70769230769230762</v>
      </c>
      <c r="L28" s="13">
        <f>49/110</f>
        <v>0.44545454545454544</v>
      </c>
      <c r="M28" s="13">
        <f>1-7/114</f>
        <v>0.93859649122807021</v>
      </c>
      <c r="N28" s="13">
        <v>1</v>
      </c>
      <c r="O28" s="13">
        <v>1</v>
      </c>
      <c r="P28" s="51"/>
      <c r="Q28" s="13">
        <f>1-17/99</f>
        <v>0.82828282828282829</v>
      </c>
      <c r="R28" s="13">
        <f>47/103</f>
        <v>0.4563106796116505</v>
      </c>
      <c r="S28" s="13">
        <f>24/102</f>
        <v>0.23529411764705882</v>
      </c>
      <c r="T28" s="13">
        <f>44/79</f>
        <v>0.55696202531645567</v>
      </c>
      <c r="U28" s="51"/>
      <c r="V28" s="13">
        <f>1/53</f>
        <v>1.8867924528301886E-2</v>
      </c>
      <c r="W28" s="13">
        <f>4/36</f>
        <v>0.1111111111111111</v>
      </c>
      <c r="X28" s="13">
        <f>6/82</f>
        <v>7.3170731707317069E-2</v>
      </c>
      <c r="Y28" s="13">
        <f>5/69</f>
        <v>7.2463768115942032E-2</v>
      </c>
      <c r="Z28" s="51"/>
      <c r="AA28" s="13">
        <f>49/110</f>
        <v>0.44545454545454544</v>
      </c>
      <c r="AB28" s="13">
        <f t="shared" si="1"/>
        <v>1</v>
      </c>
      <c r="AC28" s="13">
        <f>1-4/114</f>
        <v>0.96491228070175439</v>
      </c>
      <c r="AD28" s="13">
        <f>17/89</f>
        <v>0.19101123595505617</v>
      </c>
      <c r="AE28" s="48"/>
      <c r="AF28" s="13">
        <f>0</f>
        <v>0</v>
      </c>
      <c r="AG28" s="13">
        <f>10/72</f>
        <v>0.1388888888888889</v>
      </c>
      <c r="AH28" s="51"/>
      <c r="AI28" s="13">
        <f>49/110</f>
        <v>0.44545454545454544</v>
      </c>
      <c r="AJ28" s="13">
        <f>2/69</f>
        <v>2.8985507246376812E-2</v>
      </c>
      <c r="AK28" s="13">
        <f>4/67</f>
        <v>5.9701492537313432E-2</v>
      </c>
      <c r="AL28" s="51"/>
      <c r="AM28" s="13">
        <f>26/60</f>
        <v>0.43333333333333335</v>
      </c>
      <c r="AN28" s="13">
        <f>2/84</f>
        <v>2.3809523809523808E-2</v>
      </c>
      <c r="AO28" s="13">
        <v>0</v>
      </c>
      <c r="AP28" s="13">
        <f>2/68</f>
        <v>2.9411764705882353E-2</v>
      </c>
      <c r="AQ28" s="13">
        <f>1/113</f>
        <v>8.8495575221238937E-3</v>
      </c>
      <c r="AR28" s="13"/>
      <c r="AS28" s="20"/>
      <c r="AT28" s="20"/>
      <c r="AU28" s="51"/>
      <c r="AV28" s="13">
        <f>3/76</f>
        <v>3.9473684210526314E-2</v>
      </c>
      <c r="AW28" s="13">
        <f>44/52</f>
        <v>0.84615384615384615</v>
      </c>
      <c r="AX28" s="13">
        <f>53/93</f>
        <v>0.56989247311827962</v>
      </c>
      <c r="AY28" s="13">
        <f>1/79</f>
        <v>1.2658227848101266E-2</v>
      </c>
      <c r="AZ28" s="13">
        <f>2/47</f>
        <v>4.2553191489361701E-2</v>
      </c>
      <c r="BA28" s="13">
        <f t="shared" si="3"/>
        <v>1</v>
      </c>
      <c r="BB28" s="51"/>
      <c r="BC28" s="13">
        <f>49/110</f>
        <v>0.44545454545454544</v>
      </c>
      <c r="BD28" s="13">
        <f>1-21/110</f>
        <v>0.80909090909090908</v>
      </c>
      <c r="BE28" s="13">
        <f>1</f>
        <v>1</v>
      </c>
      <c r="BF28" s="13">
        <f t="shared" si="4"/>
        <v>1</v>
      </c>
      <c r="BG28" s="51"/>
      <c r="BH28" s="13">
        <f t="shared" si="2"/>
        <v>1</v>
      </c>
      <c r="BI28" s="13">
        <f>2/88</f>
        <v>2.2727272727272728E-2</v>
      </c>
      <c r="BJ28" s="13">
        <v>0</v>
      </c>
      <c r="BK28" s="13">
        <f>2/56</f>
        <v>3.5714285714285712E-2</v>
      </c>
      <c r="BL28" s="13">
        <f>40/84</f>
        <v>0.47619047619047616</v>
      </c>
      <c r="BM28" s="13">
        <f>6/57</f>
        <v>0.10526315789473684</v>
      </c>
      <c r="BN28" s="60" t="s">
        <v>89</v>
      </c>
      <c r="BO28" s="61"/>
      <c r="BP28" s="61"/>
      <c r="BQ28" s="61"/>
      <c r="BR28" s="39"/>
      <c r="BS28" s="16">
        <v>342123.74</v>
      </c>
      <c r="BT28" s="16">
        <v>410298.19</v>
      </c>
      <c r="BU28" s="16">
        <v>265147.39</v>
      </c>
      <c r="BV28" s="16">
        <v>426228.81</v>
      </c>
      <c r="BW28" s="53"/>
      <c r="BX28" s="3">
        <v>2</v>
      </c>
      <c r="BY28" s="3">
        <v>2</v>
      </c>
      <c r="BZ28" s="45" t="s">
        <v>41</v>
      </c>
      <c r="CA28" s="64"/>
      <c r="CB28" s="64"/>
      <c r="CC28" s="23" t="s">
        <v>75</v>
      </c>
      <c r="CD28" s="77">
        <v>2.8610000000000002</v>
      </c>
      <c r="CE28" s="77">
        <v>3.141</v>
      </c>
      <c r="CF28" s="77">
        <v>3.3740000000000001</v>
      </c>
      <c r="CG28" s="77">
        <v>3.3119999999999998</v>
      </c>
      <c r="CH28" s="77">
        <v>3.121</v>
      </c>
      <c r="CI28" s="73"/>
      <c r="CJ28" s="47"/>
      <c r="CK28" s="18">
        <v>1.3492237189382701</v>
      </c>
      <c r="CL28" s="18">
        <v>0.93711836477829602</v>
      </c>
      <c r="CM28" s="47"/>
      <c r="CN28" s="18">
        <v>3.50505885421701</v>
      </c>
      <c r="CO28" s="18">
        <v>3.59000311742169</v>
      </c>
      <c r="CP28" s="18"/>
      <c r="CQ28" s="72"/>
      <c r="CR28" s="72"/>
      <c r="CS28" s="72"/>
      <c r="CT28" s="18"/>
      <c r="CU28" s="72"/>
      <c r="CV28" s="72"/>
      <c r="CW28" s="72"/>
      <c r="CX28" s="72"/>
      <c r="CY28" s="72"/>
      <c r="CZ28" s="72"/>
      <c r="DA28" s="54" t="s">
        <v>81</v>
      </c>
      <c r="DB28" s="19">
        <v>0.4335</v>
      </c>
      <c r="DC28" s="19">
        <v>0.14530000000000001</v>
      </c>
      <c r="DD28" s="19">
        <v>0.28360000000000002</v>
      </c>
      <c r="DE28" s="20"/>
      <c r="DF28" s="20"/>
      <c r="DG28" s="26"/>
      <c r="DI28" s="23"/>
      <c r="DJ28" s="5"/>
      <c r="DK28" s="5"/>
      <c r="DL28" s="23" t="s">
        <v>73</v>
      </c>
      <c r="DM28" s="19">
        <v>0.36</v>
      </c>
      <c r="DN28" s="19">
        <v>0.34499999999999997</v>
      </c>
      <c r="DO28" s="19">
        <v>0.35399999999999998</v>
      </c>
      <c r="DP28" s="19">
        <v>0.36</v>
      </c>
      <c r="DQ28" s="19">
        <v>0.35599999999999998</v>
      </c>
    </row>
    <row r="29" spans="1:121" ht="14.25" customHeight="1">
      <c r="A29" s="51"/>
      <c r="B29" s="10">
        <v>0</v>
      </c>
      <c r="C29" s="10">
        <f>1/55</f>
        <v>1.8181818181818181E-2</v>
      </c>
      <c r="D29" s="10">
        <f>3/66</f>
        <v>4.5454545454545456E-2</v>
      </c>
      <c r="E29" s="10">
        <f>2/94</f>
        <v>2.1276595744680851E-2</v>
      </c>
      <c r="F29" s="10">
        <f>2/67</f>
        <v>2.9850746268656716E-2</v>
      </c>
      <c r="G29" s="10">
        <v>0</v>
      </c>
      <c r="H29" s="10">
        <v>0</v>
      </c>
      <c r="I29" s="51"/>
      <c r="J29" s="13">
        <v>0</v>
      </c>
      <c r="K29" s="13">
        <f>1-25/75</f>
        <v>0.66666666666666674</v>
      </c>
      <c r="L29" s="13">
        <f>53/110</f>
        <v>0.48181818181818181</v>
      </c>
      <c r="M29" s="13">
        <f>1-10/124</f>
        <v>0.91935483870967738</v>
      </c>
      <c r="N29" s="13">
        <v>1</v>
      </c>
      <c r="O29" s="13">
        <f>1-4/97</f>
        <v>0.95876288659793818</v>
      </c>
      <c r="P29" s="51"/>
      <c r="Q29" s="13">
        <f>1-24/103</f>
        <v>0.76699029126213591</v>
      </c>
      <c r="R29" s="13">
        <f>52/117</f>
        <v>0.44444444444444442</v>
      </c>
      <c r="S29" s="13">
        <f>23/110</f>
        <v>0.20909090909090908</v>
      </c>
      <c r="T29" s="13">
        <f>43/82</f>
        <v>0.52439024390243905</v>
      </c>
      <c r="U29" s="51"/>
      <c r="V29" s="13">
        <f>1/50</f>
        <v>0.02</v>
      </c>
      <c r="W29" s="13">
        <f>2/49</f>
        <v>4.0816326530612242E-2</v>
      </c>
      <c r="X29" s="13">
        <f>8/72</f>
        <v>0.1111111111111111</v>
      </c>
      <c r="Y29" s="13">
        <f>3/75</f>
        <v>0.04</v>
      </c>
      <c r="Z29" s="51"/>
      <c r="AA29" s="13">
        <f>53/110</f>
        <v>0.48181818181818181</v>
      </c>
      <c r="AB29" s="13">
        <f t="shared" si="1"/>
        <v>1</v>
      </c>
      <c r="AC29" s="13">
        <f>1</f>
        <v>1</v>
      </c>
      <c r="AD29" s="13">
        <f>24/129</f>
        <v>0.18604651162790697</v>
      </c>
      <c r="AE29" s="48"/>
      <c r="AF29" s="13">
        <v>0</v>
      </c>
      <c r="AG29" s="13">
        <f>15/77</f>
        <v>0.19480519480519481</v>
      </c>
      <c r="AH29" s="51"/>
      <c r="AI29" s="13">
        <f>53/110</f>
        <v>0.48181818181818181</v>
      </c>
      <c r="AJ29" s="13">
        <f>1/78</f>
        <v>1.282051282051282E-2</v>
      </c>
      <c r="AK29" s="13">
        <f>8/72</f>
        <v>0.1111111111111111</v>
      </c>
      <c r="AL29" s="51"/>
      <c r="AM29" s="13">
        <f>22/60</f>
        <v>0.36666666666666664</v>
      </c>
      <c r="AN29" s="13">
        <f>1/72</f>
        <v>1.3888888888888888E-2</v>
      </c>
      <c r="AO29" s="13">
        <v>0</v>
      </c>
      <c r="AP29" s="13">
        <v>0</v>
      </c>
      <c r="AQ29" s="13">
        <f>4/98</f>
        <v>4.0816326530612242E-2</v>
      </c>
      <c r="AR29" s="13"/>
      <c r="AS29" s="20"/>
      <c r="AT29" s="20"/>
      <c r="AU29" s="51"/>
      <c r="AV29" s="13">
        <f>3/79</f>
        <v>3.7974683544303799E-2</v>
      </c>
      <c r="AW29" s="13">
        <v>1</v>
      </c>
      <c r="AX29" s="13">
        <f>7/59</f>
        <v>0.11864406779661017</v>
      </c>
      <c r="AY29" s="13">
        <f>1/83</f>
        <v>1.2048192771084338E-2</v>
      </c>
      <c r="AZ29" s="13">
        <f>5/47</f>
        <v>0.10638297872340426</v>
      </c>
      <c r="BA29" s="13">
        <f t="shared" si="3"/>
        <v>1</v>
      </c>
      <c r="BB29" s="51"/>
      <c r="BC29" s="13">
        <f>53/110</f>
        <v>0.48181818181818181</v>
      </c>
      <c r="BD29" s="13">
        <f>1-28/107</f>
        <v>0.73831775700934577</v>
      </c>
      <c r="BE29" s="13">
        <f>1-9/118</f>
        <v>0.92372881355932202</v>
      </c>
      <c r="BF29" s="13">
        <f t="shared" si="4"/>
        <v>1</v>
      </c>
      <c r="BG29" s="51"/>
      <c r="BH29" s="13">
        <f t="shared" si="2"/>
        <v>1</v>
      </c>
      <c r="BI29" s="13">
        <v>0</v>
      </c>
      <c r="BJ29" s="13">
        <f>1/42</f>
        <v>2.3809523809523808E-2</v>
      </c>
      <c r="BK29" s="13">
        <v>0</v>
      </c>
      <c r="BL29" s="13">
        <v>0</v>
      </c>
      <c r="BM29" s="13">
        <v>0</v>
      </c>
      <c r="BN29" s="29" t="s">
        <v>86</v>
      </c>
      <c r="BO29" s="62" t="s">
        <v>85</v>
      </c>
      <c r="BP29" s="63"/>
      <c r="BQ29" s="63"/>
      <c r="BR29" s="39"/>
      <c r="BS29" s="16">
        <v>351413.22</v>
      </c>
      <c r="BT29" s="16">
        <v>487738.33</v>
      </c>
      <c r="BU29" s="16">
        <v>407513.11</v>
      </c>
      <c r="BV29" s="16">
        <v>380056.51</v>
      </c>
      <c r="BW29" s="53"/>
      <c r="BX29" s="3">
        <v>3</v>
      </c>
      <c r="BY29" s="3">
        <v>2</v>
      </c>
      <c r="BZ29" s="3"/>
      <c r="CA29" s="70" t="s">
        <v>133</v>
      </c>
      <c r="CB29" s="70" t="s">
        <v>138</v>
      </c>
      <c r="CC29" s="3"/>
      <c r="CD29" s="73"/>
      <c r="CE29" s="73"/>
      <c r="CF29" s="73"/>
      <c r="CG29" s="73"/>
      <c r="CH29" s="73"/>
      <c r="CI29" s="73"/>
      <c r="CJ29" s="47"/>
      <c r="CK29" s="18">
        <v>4.1410566994608002</v>
      </c>
      <c r="CL29" s="18">
        <v>0.50822579889810204</v>
      </c>
      <c r="CM29" s="47"/>
      <c r="CN29" s="18">
        <v>4.3623366244244597</v>
      </c>
      <c r="CO29" s="18">
        <v>3.1510469912366199</v>
      </c>
      <c r="CP29" s="18"/>
      <c r="CQ29" s="72"/>
      <c r="CR29" s="72"/>
      <c r="CS29" s="72"/>
      <c r="CT29" s="18"/>
      <c r="CU29" s="72"/>
      <c r="CV29" s="72"/>
      <c r="CW29" s="72"/>
      <c r="CX29" s="72"/>
      <c r="CY29" s="72"/>
      <c r="CZ29" s="72"/>
      <c r="DA29" s="55"/>
      <c r="DB29" s="19">
        <v>0.52749999999999997</v>
      </c>
      <c r="DC29" s="19">
        <v>0.191</v>
      </c>
      <c r="DD29" s="19">
        <v>0.22739999999999999</v>
      </c>
      <c r="DE29" s="20"/>
      <c r="DF29" s="20"/>
      <c r="DG29" s="22"/>
      <c r="DI29" s="23"/>
      <c r="DJ29" s="5"/>
      <c r="DK29" s="5"/>
      <c r="DL29" s="23" t="s">
        <v>75</v>
      </c>
      <c r="DM29" s="19">
        <v>0.45800000000000002</v>
      </c>
      <c r="DN29" s="19">
        <v>0.46100000000000002</v>
      </c>
      <c r="DO29" s="19">
        <v>0.47899999999999998</v>
      </c>
      <c r="DP29" s="19">
        <v>0.498</v>
      </c>
      <c r="DQ29" s="19">
        <v>0.48299999999999998</v>
      </c>
    </row>
    <row r="30" spans="1:121">
      <c r="A30" s="51"/>
      <c r="B30" s="10">
        <f>1/34</f>
        <v>2.9411764705882353E-2</v>
      </c>
      <c r="C30" s="10">
        <v>0</v>
      </c>
      <c r="D30" s="10">
        <f>1/74</f>
        <v>1.3513513513513514E-2</v>
      </c>
      <c r="E30" s="10">
        <f>1/48</f>
        <v>2.0833333333333332E-2</v>
      </c>
      <c r="F30" s="10">
        <f>1/78</f>
        <v>1.282051282051282E-2</v>
      </c>
      <c r="G30" s="10">
        <f>2/55</f>
        <v>3.6363636363636362E-2</v>
      </c>
      <c r="H30" s="10">
        <v>0</v>
      </c>
      <c r="I30" s="51"/>
      <c r="J30" s="13">
        <f>1/59</f>
        <v>1.6949152542372881E-2</v>
      </c>
      <c r="K30" s="13">
        <f>1-13/54</f>
        <v>0.7592592592592593</v>
      </c>
      <c r="L30" s="13">
        <f>40/99</f>
        <v>0.40404040404040403</v>
      </c>
      <c r="M30" s="13">
        <f>1-2/117</f>
        <v>0.98290598290598286</v>
      </c>
      <c r="N30" s="13">
        <v>1</v>
      </c>
      <c r="O30" s="13">
        <f>1-6/59</f>
        <v>0.89830508474576276</v>
      </c>
      <c r="P30" s="51"/>
      <c r="Q30" s="13">
        <f>1-20/89</f>
        <v>0.7752808988764045</v>
      </c>
      <c r="R30" s="13">
        <f>16/97</f>
        <v>0.16494845360824742</v>
      </c>
      <c r="S30" s="13">
        <f>19/93</f>
        <v>0.20430107526881722</v>
      </c>
      <c r="T30" s="13">
        <f>19/59</f>
        <v>0.32203389830508472</v>
      </c>
      <c r="U30" s="51"/>
      <c r="V30" s="13">
        <v>0</v>
      </c>
      <c r="W30" s="13">
        <f>1/46</f>
        <v>2.1739130434782608E-2</v>
      </c>
      <c r="X30" s="13">
        <f>10/74</f>
        <v>0.13513513513513514</v>
      </c>
      <c r="Y30" s="13">
        <f>5/66</f>
        <v>7.575757575757576E-2</v>
      </c>
      <c r="Z30" s="51"/>
      <c r="AA30" s="13">
        <f>40/99</f>
        <v>0.40404040404040403</v>
      </c>
      <c r="AB30" s="13">
        <f t="shared" si="1"/>
        <v>1</v>
      </c>
      <c r="AC30" s="13">
        <f>1</f>
        <v>1</v>
      </c>
      <c r="AD30" s="13">
        <f>27/143</f>
        <v>0.1888111888111888</v>
      </c>
      <c r="AE30" s="48"/>
      <c r="AF30" s="13">
        <f>2/89</f>
        <v>2.247191011235955E-2</v>
      </c>
      <c r="AG30" s="13">
        <f>10/66</f>
        <v>0.15151515151515152</v>
      </c>
      <c r="AH30" s="51"/>
      <c r="AI30" s="13">
        <f>40/99</f>
        <v>0.40404040404040403</v>
      </c>
      <c r="AJ30" s="13">
        <f>2/50</f>
        <v>0.04</v>
      </c>
      <c r="AK30" s="13">
        <f>4/44</f>
        <v>9.0909090909090912E-2</v>
      </c>
      <c r="AL30" s="51"/>
      <c r="AM30" s="13">
        <f>33/74</f>
        <v>0.44594594594594594</v>
      </c>
      <c r="AN30" s="13">
        <v>0</v>
      </c>
      <c r="AO30" s="13">
        <v>0</v>
      </c>
      <c r="AP30" s="13">
        <f>2/80</f>
        <v>2.5000000000000001E-2</v>
      </c>
      <c r="AQ30" s="13">
        <f>2/90</f>
        <v>2.2222222222222223E-2</v>
      </c>
      <c r="AR30" s="13"/>
      <c r="AS30" s="20"/>
      <c r="AT30" s="20"/>
      <c r="AU30" s="51"/>
      <c r="AV30" s="13">
        <f>24/84</f>
        <v>0.2857142857142857</v>
      </c>
      <c r="AW30" s="13">
        <v>1</v>
      </c>
      <c r="AX30" s="13">
        <f>11/61</f>
        <v>0.18032786885245902</v>
      </c>
      <c r="AY30" s="13">
        <v>0</v>
      </c>
      <c r="AZ30" s="13">
        <f>3/46</f>
        <v>6.5217391304347824E-2</v>
      </c>
      <c r="BA30" s="13">
        <f t="shared" si="3"/>
        <v>1</v>
      </c>
      <c r="BB30" s="51"/>
      <c r="BC30" s="13">
        <f>40/99</f>
        <v>0.40404040404040403</v>
      </c>
      <c r="BD30" s="13">
        <f>1-31/111</f>
        <v>0.72072072072072069</v>
      </c>
      <c r="BE30" s="13">
        <f>1</f>
        <v>1</v>
      </c>
      <c r="BF30" s="13">
        <f t="shared" si="4"/>
        <v>1</v>
      </c>
      <c r="BG30" s="51"/>
      <c r="BH30" s="13">
        <f>1-1/62</f>
        <v>0.9838709677419355</v>
      </c>
      <c r="BI30" s="13">
        <f>3/75</f>
        <v>0.04</v>
      </c>
      <c r="BJ30" s="13">
        <f>1/48</f>
        <v>2.0833333333333332E-2</v>
      </c>
      <c r="BK30" s="13">
        <v>0</v>
      </c>
      <c r="BL30" s="13">
        <f>23/69</f>
        <v>0.33333333333333331</v>
      </c>
      <c r="BM30" s="13">
        <f>7/39</f>
        <v>0.17948717948717949</v>
      </c>
      <c r="BN30" s="30">
        <v>0</v>
      </c>
      <c r="BO30" s="31">
        <v>1</v>
      </c>
      <c r="BP30" s="31">
        <v>1</v>
      </c>
      <c r="BQ30" s="31">
        <v>1</v>
      </c>
      <c r="BR30" s="39"/>
      <c r="BS30" s="16">
        <v>327706.34999999998</v>
      </c>
      <c r="BT30" s="16">
        <v>382349.42</v>
      </c>
      <c r="BU30" s="16">
        <v>662296.98</v>
      </c>
      <c r="BV30" s="16">
        <v>449678.39</v>
      </c>
      <c r="BW30" s="53"/>
      <c r="BX30" s="3">
        <v>2</v>
      </c>
      <c r="BY30" s="3">
        <v>3</v>
      </c>
      <c r="BZ30" s="65" t="s">
        <v>129</v>
      </c>
      <c r="CA30" s="72">
        <v>0.97041023100000001</v>
      </c>
      <c r="CB30" s="72">
        <v>0.20119504299999999</v>
      </c>
      <c r="CC30" s="3"/>
      <c r="CD30" s="73"/>
      <c r="CE30" s="73"/>
      <c r="CF30" s="73"/>
      <c r="CG30" s="73"/>
      <c r="CH30" s="73"/>
      <c r="CI30" s="73"/>
      <c r="CJ30" s="47"/>
      <c r="CK30" s="18">
        <v>1.9056782225061499</v>
      </c>
      <c r="CL30" s="18">
        <v>0.77728293575565499</v>
      </c>
      <c r="CM30" s="47"/>
      <c r="CN30" s="18">
        <v>3.6343144598564501</v>
      </c>
      <c r="CO30" s="18">
        <v>3.58720895058861</v>
      </c>
      <c r="CP30" s="18"/>
      <c r="CQ30" s="72"/>
      <c r="CR30" s="72"/>
      <c r="CS30" s="72"/>
      <c r="CT30" s="18"/>
      <c r="CU30" s="72"/>
      <c r="CV30" s="72"/>
      <c r="CW30" s="72"/>
      <c r="CX30" s="72"/>
      <c r="CY30" s="72"/>
      <c r="CZ30" s="72"/>
      <c r="DA30" s="55"/>
      <c r="DB30" s="19">
        <v>0.50880000000000003</v>
      </c>
      <c r="DC30" s="19">
        <v>0.10390000000000001</v>
      </c>
      <c r="DD30" s="19">
        <v>0.2266</v>
      </c>
      <c r="DE30" s="20"/>
      <c r="DF30" s="20"/>
      <c r="DG30" s="20"/>
      <c r="DI30" s="22"/>
      <c r="DJ30" s="5"/>
      <c r="DK30" s="5"/>
      <c r="DL30" s="23" t="s">
        <v>77</v>
      </c>
      <c r="DM30" s="19">
        <v>0.72499999999999998</v>
      </c>
      <c r="DN30" s="19">
        <v>0.73799999999999999</v>
      </c>
      <c r="DO30" s="19">
        <v>0.72699999999999998</v>
      </c>
      <c r="DP30" s="19">
        <v>0.70199999999999996</v>
      </c>
      <c r="DQ30" s="19">
        <v>0.76900000000000002</v>
      </c>
    </row>
    <row r="31" spans="1:121">
      <c r="A31" s="51"/>
      <c r="B31" s="10">
        <f>1/47</f>
        <v>2.1276595744680851E-2</v>
      </c>
      <c r="C31" s="10">
        <f>2/66</f>
        <v>3.0303030303030304E-2</v>
      </c>
      <c r="D31" s="10">
        <v>0</v>
      </c>
      <c r="E31" s="10">
        <v>0</v>
      </c>
      <c r="F31" s="10">
        <v>0</v>
      </c>
      <c r="G31" s="10">
        <f>4/49</f>
        <v>8.1632653061224483E-2</v>
      </c>
      <c r="H31" s="10">
        <v>0</v>
      </c>
      <c r="I31" s="51"/>
      <c r="J31" s="13">
        <v>0</v>
      </c>
      <c r="K31" s="13">
        <f>1-20/66</f>
        <v>0.69696969696969702</v>
      </c>
      <c r="L31" s="13">
        <f>50/94</f>
        <v>0.53191489361702127</v>
      </c>
      <c r="M31" s="13">
        <f>1-16/93</f>
        <v>0.82795698924731176</v>
      </c>
      <c r="N31" s="13">
        <v>1</v>
      </c>
      <c r="O31" s="13">
        <f>1</f>
        <v>1</v>
      </c>
      <c r="P31" s="51"/>
      <c r="Q31" s="13">
        <f>1-23/103</f>
        <v>0.77669902912621358</v>
      </c>
      <c r="R31" s="13">
        <f>19/82</f>
        <v>0.23170731707317074</v>
      </c>
      <c r="S31" s="13">
        <f>26/90</f>
        <v>0.28888888888888886</v>
      </c>
      <c r="T31" s="13">
        <f>31/69</f>
        <v>0.44927536231884058</v>
      </c>
      <c r="U31" s="51"/>
      <c r="V31" s="13">
        <f>1/64</f>
        <v>1.5625E-2</v>
      </c>
      <c r="W31" s="13">
        <f>1/56</f>
        <v>1.7857142857142856E-2</v>
      </c>
      <c r="X31" s="13">
        <f>3/34</f>
        <v>8.8235294117647065E-2</v>
      </c>
      <c r="Y31" s="13">
        <f>2/68</f>
        <v>2.9411764705882353E-2</v>
      </c>
      <c r="Z31" s="51"/>
      <c r="AA31" s="13">
        <f>50/94</f>
        <v>0.53191489361702127</v>
      </c>
      <c r="AB31" s="13">
        <f t="shared" si="1"/>
        <v>1</v>
      </c>
      <c r="AC31" s="13">
        <f>1</f>
        <v>1</v>
      </c>
      <c r="AD31" s="13">
        <f>30/109</f>
        <v>0.27522935779816515</v>
      </c>
      <c r="AE31" s="48"/>
      <c r="AF31" s="13">
        <v>0</v>
      </c>
      <c r="AG31" s="13">
        <f>22/57</f>
        <v>0.38596491228070173</v>
      </c>
      <c r="AH31" s="51"/>
      <c r="AI31" s="13">
        <f>50/94</f>
        <v>0.53191489361702127</v>
      </c>
      <c r="AJ31" s="13">
        <f>3/79</f>
        <v>3.7974683544303799E-2</v>
      </c>
      <c r="AK31" s="13">
        <f>9/65</f>
        <v>0.13846153846153847</v>
      </c>
      <c r="AL31" s="51"/>
      <c r="AM31" s="13">
        <f>24/62</f>
        <v>0.38709677419354838</v>
      </c>
      <c r="AN31" s="13">
        <v>0</v>
      </c>
      <c r="AO31" s="13">
        <f>1/76</f>
        <v>1.3157894736842105E-2</v>
      </c>
      <c r="AP31" s="13">
        <f>1/80</f>
        <v>1.2500000000000001E-2</v>
      </c>
      <c r="AQ31" s="13">
        <f>2/98</f>
        <v>2.0408163265306121E-2</v>
      </c>
      <c r="AR31" s="13"/>
      <c r="AS31" s="20"/>
      <c r="AT31" s="20"/>
      <c r="AU31" s="51"/>
      <c r="AV31" s="13">
        <f>17/78</f>
        <v>0.21794871794871795</v>
      </c>
      <c r="AW31" s="13">
        <v>1</v>
      </c>
      <c r="AX31" s="13">
        <f>38/83</f>
        <v>0.45783132530120479</v>
      </c>
      <c r="AY31" s="13">
        <v>0</v>
      </c>
      <c r="AZ31" s="13">
        <f>3/55</f>
        <v>5.4545454545454543E-2</v>
      </c>
      <c r="BA31" s="13">
        <f t="shared" si="3"/>
        <v>1</v>
      </c>
      <c r="BB31" s="51"/>
      <c r="BC31" s="13">
        <f>50/94</f>
        <v>0.53191489361702127</v>
      </c>
      <c r="BD31" s="13">
        <f>1-29/109</f>
        <v>0.73394495412844041</v>
      </c>
      <c r="BE31" s="13">
        <f>1</f>
        <v>1</v>
      </c>
      <c r="BF31" s="13">
        <f t="shared" si="4"/>
        <v>1</v>
      </c>
      <c r="BG31" s="51"/>
      <c r="BH31" s="13">
        <f>1</f>
        <v>1</v>
      </c>
      <c r="BI31" s="13">
        <f>2/73</f>
        <v>2.7397260273972601E-2</v>
      </c>
      <c r="BJ31" s="13">
        <v>0</v>
      </c>
      <c r="BK31" s="13">
        <v>0</v>
      </c>
      <c r="BL31" s="13">
        <f>15/66</f>
        <v>0.22727272727272727</v>
      </c>
      <c r="BM31" s="13">
        <f>5/36</f>
        <v>0.1388888888888889</v>
      </c>
      <c r="BN31" s="30">
        <v>2</v>
      </c>
      <c r="BO31" s="31">
        <v>0.81315800000000005</v>
      </c>
      <c r="BP31" s="31">
        <v>0.86027399999999998</v>
      </c>
      <c r="BQ31" s="31">
        <v>0.80446600000000001</v>
      </c>
      <c r="BR31" s="39"/>
      <c r="BS31" s="16">
        <v>364605.89</v>
      </c>
      <c r="BT31" s="16">
        <v>449741.97</v>
      </c>
      <c r="BU31" s="16">
        <v>576533.44999999995</v>
      </c>
      <c r="BV31" s="16">
        <v>322432.33</v>
      </c>
      <c r="BW31" s="53"/>
      <c r="BX31" s="3">
        <v>2</v>
      </c>
      <c r="BY31" s="3">
        <v>2</v>
      </c>
      <c r="BZ31" s="48"/>
      <c r="CA31" s="72">
        <v>1.025741121</v>
      </c>
      <c r="CB31" s="72">
        <v>0.20542257899999999</v>
      </c>
      <c r="CC31" s="3"/>
      <c r="CD31" s="73"/>
      <c r="CE31" s="73"/>
      <c r="CF31" s="73"/>
      <c r="CG31" s="73"/>
      <c r="CH31" s="73"/>
      <c r="CI31" s="73"/>
      <c r="CJ31" s="47"/>
      <c r="CK31" s="18">
        <v>4.1622019783436297</v>
      </c>
      <c r="CL31" s="18">
        <v>0.63236128959656701</v>
      </c>
      <c r="CM31" s="47"/>
      <c r="CN31" s="18">
        <v>4.6424936424325498</v>
      </c>
      <c r="CO31" s="18">
        <v>3.2055176328927102</v>
      </c>
      <c r="CP31" s="18"/>
      <c r="CQ31" s="72"/>
      <c r="CR31" s="72"/>
      <c r="CS31" s="72"/>
      <c r="CT31" s="18"/>
      <c r="CU31" s="72"/>
      <c r="CV31" s="72"/>
      <c r="CW31" s="72"/>
      <c r="CX31" s="72"/>
      <c r="CY31" s="72"/>
      <c r="CZ31" s="72"/>
      <c r="DA31" s="56"/>
      <c r="DB31" s="19">
        <v>0.502</v>
      </c>
      <c r="DC31" s="19">
        <v>0.16370000000000001</v>
      </c>
      <c r="DD31" s="19">
        <v>0.28060000000000002</v>
      </c>
      <c r="DE31" s="20"/>
      <c r="DF31" s="20"/>
      <c r="DG31" s="20"/>
      <c r="DL31" s="23"/>
      <c r="DM31" s="50" t="s">
        <v>63</v>
      </c>
      <c r="DN31" s="41"/>
      <c r="DO31" s="41"/>
      <c r="DP31" s="41"/>
      <c r="DQ31" s="41"/>
    </row>
    <row r="32" spans="1:121">
      <c r="A32" s="51"/>
      <c r="B32" s="10">
        <v>0</v>
      </c>
      <c r="C32" s="10">
        <v>0</v>
      </c>
      <c r="D32" s="10">
        <f>4/64</f>
        <v>6.25E-2</v>
      </c>
      <c r="E32" s="10">
        <f>2/44</f>
        <v>4.5454545454545456E-2</v>
      </c>
      <c r="F32" s="10">
        <v>0</v>
      </c>
      <c r="G32" s="10">
        <f>1/62</f>
        <v>1.6129032258064516E-2</v>
      </c>
      <c r="H32" s="10">
        <v>0</v>
      </c>
      <c r="I32" s="51"/>
      <c r="J32" s="13">
        <v>0</v>
      </c>
      <c r="K32" s="13">
        <f>1-18/72</f>
        <v>0.75</v>
      </c>
      <c r="L32" s="13">
        <f>56/95</f>
        <v>0.58947368421052626</v>
      </c>
      <c r="M32" s="13">
        <f>1-32/107</f>
        <v>0.7009345794392523</v>
      </c>
      <c r="N32" s="13">
        <v>1</v>
      </c>
      <c r="O32" s="13">
        <f>1-2/64</f>
        <v>0.96875</v>
      </c>
      <c r="P32" s="51"/>
      <c r="Q32" s="13">
        <f>1-16/87</f>
        <v>0.81609195402298851</v>
      </c>
      <c r="R32" s="13">
        <f>11/81</f>
        <v>0.13580246913580246</v>
      </c>
      <c r="S32" s="13">
        <f>33/76</f>
        <v>0.43421052631578949</v>
      </c>
      <c r="T32" s="13">
        <f>39/81</f>
        <v>0.48148148148148145</v>
      </c>
      <c r="U32" s="51"/>
      <c r="V32" s="13">
        <v>0</v>
      </c>
      <c r="W32" s="13">
        <f>4/48</f>
        <v>8.3333333333333329E-2</v>
      </c>
      <c r="X32" s="13">
        <f>7/36</f>
        <v>0.19444444444444445</v>
      </c>
      <c r="Y32" s="13">
        <f>2/52</f>
        <v>3.8461538461538464E-2</v>
      </c>
      <c r="Z32" s="51"/>
      <c r="AA32" s="13">
        <f>56/95</f>
        <v>0.58947368421052626</v>
      </c>
      <c r="AB32" s="13">
        <f t="shared" si="1"/>
        <v>1</v>
      </c>
      <c r="AC32" s="13">
        <f>1-9/111</f>
        <v>0.91891891891891886</v>
      </c>
      <c r="AD32" s="13">
        <f>17/87</f>
        <v>0.19540229885057472</v>
      </c>
      <c r="AE32" s="48"/>
      <c r="AF32" s="13">
        <f>5/104</f>
        <v>4.807692307692308E-2</v>
      </c>
      <c r="AG32" s="13">
        <f>15/99</f>
        <v>0.15151515151515152</v>
      </c>
      <c r="AH32" s="51"/>
      <c r="AI32" s="13">
        <f>56/95</f>
        <v>0.58947368421052626</v>
      </c>
      <c r="AJ32" s="13">
        <v>0</v>
      </c>
      <c r="AK32" s="13">
        <f>5/51</f>
        <v>9.8039215686274508E-2</v>
      </c>
      <c r="AL32" s="51"/>
      <c r="AM32" s="13">
        <f>29/61</f>
        <v>0.47540983606557374</v>
      </c>
      <c r="AN32" s="13">
        <v>0</v>
      </c>
      <c r="AO32" s="13">
        <v>0</v>
      </c>
      <c r="AP32" s="13">
        <v>0</v>
      </c>
      <c r="AQ32" s="13">
        <f>4/79</f>
        <v>5.0632911392405063E-2</v>
      </c>
      <c r="AR32" s="13"/>
      <c r="AS32" s="20"/>
      <c r="AT32" s="20"/>
      <c r="AU32" s="51"/>
      <c r="AV32" s="13">
        <f>11/74</f>
        <v>0.14864864864864866</v>
      </c>
      <c r="AW32" s="13">
        <v>1</v>
      </c>
      <c r="AX32" s="13">
        <f>71/80</f>
        <v>0.88749999999999996</v>
      </c>
      <c r="AY32" s="13">
        <v>0</v>
      </c>
      <c r="AZ32" s="13">
        <f>2/45</f>
        <v>4.4444444444444446E-2</v>
      </c>
      <c r="BA32" s="13">
        <f t="shared" si="3"/>
        <v>1</v>
      </c>
      <c r="BB32" s="51"/>
      <c r="BC32" s="13">
        <f>56/95</f>
        <v>0.58947368421052626</v>
      </c>
      <c r="BD32" s="13">
        <f>1-13/95</f>
        <v>0.86315789473684212</v>
      </c>
      <c r="BE32" s="13">
        <f>1</f>
        <v>1</v>
      </c>
      <c r="BF32" s="13">
        <f t="shared" si="4"/>
        <v>1</v>
      </c>
      <c r="BG32" s="51"/>
      <c r="BH32" s="13">
        <f>1</f>
        <v>1</v>
      </c>
      <c r="BI32" s="13">
        <f>1/83</f>
        <v>1.2048192771084338E-2</v>
      </c>
      <c r="BJ32" s="13">
        <v>0</v>
      </c>
      <c r="BK32" s="13">
        <v>0</v>
      </c>
      <c r="BL32" s="13">
        <f>17/68</f>
        <v>0.25</v>
      </c>
      <c r="BM32" s="13">
        <f>44/104</f>
        <v>0.42307692307692307</v>
      </c>
      <c r="BN32" s="30">
        <v>4</v>
      </c>
      <c r="BO32" s="31">
        <v>0.67649499999999996</v>
      </c>
      <c r="BP32" s="31">
        <v>0.69830499999999995</v>
      </c>
      <c r="BQ32" s="31">
        <v>0.645424</v>
      </c>
      <c r="BR32" s="39"/>
      <c r="BS32" s="16">
        <v>474774.69</v>
      </c>
      <c r="BT32" s="16">
        <v>401366</v>
      </c>
      <c r="BU32" s="16">
        <v>320327.03000000003</v>
      </c>
      <c r="BV32" s="16">
        <v>399290.23</v>
      </c>
      <c r="BW32" s="53"/>
      <c r="BX32" s="3">
        <v>2</v>
      </c>
      <c r="BY32" s="3">
        <v>2</v>
      </c>
      <c r="BZ32" s="48"/>
      <c r="CA32" s="72">
        <v>1.0046316740000001</v>
      </c>
      <c r="CB32" s="72">
        <v>0.183858358</v>
      </c>
      <c r="CC32" s="3"/>
      <c r="CD32" s="73"/>
      <c r="CE32" s="73"/>
      <c r="CF32" s="73"/>
      <c r="CG32" s="73"/>
      <c r="CH32" s="73"/>
      <c r="CI32" s="73"/>
      <c r="CJ32" s="47"/>
      <c r="CK32" s="18">
        <v>0.31776713851221999</v>
      </c>
      <c r="CL32" s="18">
        <v>0.18243805572491001</v>
      </c>
      <c r="CM32" s="47"/>
      <c r="CN32" s="18">
        <v>4.1795428974926399</v>
      </c>
      <c r="CO32" s="18">
        <v>2.2291572032148701</v>
      </c>
      <c r="CP32" s="18"/>
      <c r="CQ32" s="72"/>
      <c r="CR32" s="72"/>
      <c r="CS32" s="72"/>
      <c r="CT32" s="18"/>
      <c r="CU32" s="72"/>
      <c r="CV32" s="72"/>
      <c r="CW32" s="72"/>
      <c r="CX32" s="72"/>
      <c r="CY32" s="72"/>
      <c r="CZ32" s="72"/>
      <c r="DA32" s="56"/>
      <c r="DB32" s="19">
        <v>0.46310000000000001</v>
      </c>
      <c r="DC32" s="19">
        <v>0.1772</v>
      </c>
      <c r="DD32" s="19">
        <v>0.1789</v>
      </c>
      <c r="DE32" s="20"/>
      <c r="DF32" s="20"/>
      <c r="DG32" s="20"/>
      <c r="DL32" s="23" t="s">
        <v>68</v>
      </c>
      <c r="DM32" s="19">
        <v>0.20899999999999999</v>
      </c>
      <c r="DN32" s="19">
        <v>0.20699999999999999</v>
      </c>
      <c r="DO32" s="19">
        <v>0.20699999999999999</v>
      </c>
      <c r="DP32" s="19">
        <v>0.19700000000000001</v>
      </c>
      <c r="DQ32" s="19">
        <v>0.20899999999999999</v>
      </c>
    </row>
    <row r="33" spans="1:121">
      <c r="A33" s="51"/>
      <c r="B33" s="10">
        <v>0</v>
      </c>
      <c r="C33" s="10">
        <v>0</v>
      </c>
      <c r="D33" s="10">
        <f>3/76</f>
        <v>3.9473684210526314E-2</v>
      </c>
      <c r="E33" s="10">
        <v>0</v>
      </c>
      <c r="F33" s="10">
        <f>4/59</f>
        <v>6.7796610169491525E-2</v>
      </c>
      <c r="G33" s="10">
        <f>7/56</f>
        <v>0.125</v>
      </c>
      <c r="H33" s="10">
        <v>0</v>
      </c>
      <c r="I33" s="51"/>
      <c r="J33" s="13">
        <v>0</v>
      </c>
      <c r="K33" s="13">
        <f>1-8/73</f>
        <v>0.8904109589041096</v>
      </c>
      <c r="L33" s="13">
        <f>47/104</f>
        <v>0.45192307692307693</v>
      </c>
      <c r="M33" s="13">
        <f>1-25/105</f>
        <v>0.76190476190476186</v>
      </c>
      <c r="N33" s="13">
        <v>1</v>
      </c>
      <c r="O33" s="13">
        <f>1-6/101</f>
        <v>0.94059405940594054</v>
      </c>
      <c r="P33" s="51"/>
      <c r="Q33" s="13">
        <f>1-31/83</f>
        <v>0.62650602409638556</v>
      </c>
      <c r="R33" s="13">
        <f>34/72</f>
        <v>0.47222222222222221</v>
      </c>
      <c r="S33" s="13">
        <f>21/71</f>
        <v>0.29577464788732394</v>
      </c>
      <c r="T33" s="13">
        <f>19/76</f>
        <v>0.25</v>
      </c>
      <c r="U33" s="51"/>
      <c r="V33" s="13">
        <f>1/52</f>
        <v>1.9230769230769232E-2</v>
      </c>
      <c r="W33" s="13">
        <f>4/58</f>
        <v>6.8965517241379309E-2</v>
      </c>
      <c r="X33" s="13">
        <f>4/36</f>
        <v>0.1111111111111111</v>
      </c>
      <c r="Y33" s="13">
        <f>3/42</f>
        <v>7.1428571428571425E-2</v>
      </c>
      <c r="Z33" s="51"/>
      <c r="AA33" s="13">
        <f>47/104</f>
        <v>0.45192307692307693</v>
      </c>
      <c r="AB33" s="13">
        <f t="shared" si="1"/>
        <v>1</v>
      </c>
      <c r="AC33" s="13">
        <f>1-7/106</f>
        <v>0.93396226415094341</v>
      </c>
      <c r="AD33" s="13">
        <f>23/108</f>
        <v>0.21296296296296297</v>
      </c>
      <c r="AE33" s="48"/>
      <c r="AF33" s="13">
        <v>0</v>
      </c>
      <c r="AG33" s="13">
        <f>21/101</f>
        <v>0.20792079207920791</v>
      </c>
      <c r="AH33" s="51"/>
      <c r="AI33" s="13">
        <f>47/104</f>
        <v>0.45192307692307693</v>
      </c>
      <c r="AJ33" s="13">
        <v>0</v>
      </c>
      <c r="AK33" s="13">
        <f>5/62</f>
        <v>8.0645161290322578E-2</v>
      </c>
      <c r="AL33" s="51"/>
      <c r="AM33" s="13">
        <f>27/65</f>
        <v>0.41538461538461541</v>
      </c>
      <c r="AN33" s="13">
        <v>0</v>
      </c>
      <c r="AO33" s="13">
        <v>0</v>
      </c>
      <c r="AP33" s="13">
        <v>0</v>
      </c>
      <c r="AQ33" s="13">
        <f>6/51</f>
        <v>0.11764705882352941</v>
      </c>
      <c r="AR33" s="13"/>
      <c r="AS33" s="20"/>
      <c r="AT33" s="20"/>
      <c r="AU33" s="51"/>
      <c r="AV33" s="13">
        <f>17/92</f>
        <v>0.18478260869565216</v>
      </c>
      <c r="AW33" s="13">
        <v>1</v>
      </c>
      <c r="AX33" s="13">
        <f>55/59</f>
        <v>0.93220338983050843</v>
      </c>
      <c r="AY33" s="13">
        <f>1/69</f>
        <v>1.4492753623188406E-2</v>
      </c>
      <c r="AZ33" s="13">
        <f>2/43</f>
        <v>4.6511627906976744E-2</v>
      </c>
      <c r="BA33" s="13">
        <f t="shared" si="3"/>
        <v>1</v>
      </c>
      <c r="BB33" s="51"/>
      <c r="BC33" s="13">
        <f>47/104</f>
        <v>0.45192307692307693</v>
      </c>
      <c r="BD33" s="13">
        <f>1-26/116</f>
        <v>0.77586206896551724</v>
      </c>
      <c r="BE33" s="13">
        <f>1-10/99</f>
        <v>0.89898989898989901</v>
      </c>
      <c r="BF33" s="13">
        <f>1-11/86</f>
        <v>0.87209302325581395</v>
      </c>
      <c r="BG33" s="51"/>
      <c r="BH33" s="13">
        <f>1</f>
        <v>1</v>
      </c>
      <c r="BI33" s="13">
        <v>0</v>
      </c>
      <c r="BJ33" s="13">
        <v>0</v>
      </c>
      <c r="BK33" s="13">
        <f>4/66</f>
        <v>6.0606060606060608E-2</v>
      </c>
      <c r="BL33" s="13">
        <f>19/66</f>
        <v>0.2878787878787879</v>
      </c>
      <c r="BM33" s="13">
        <f>27/51</f>
        <v>0.52941176470588236</v>
      </c>
      <c r="BN33" s="30">
        <v>6</v>
      </c>
      <c r="BO33" s="31">
        <v>0.29371599999999998</v>
      </c>
      <c r="BP33" s="31">
        <v>0.340783</v>
      </c>
      <c r="BQ33" s="31">
        <v>0.30795400000000001</v>
      </c>
      <c r="BR33" s="39"/>
      <c r="BS33" s="16">
        <v>345620.91</v>
      </c>
      <c r="BT33" s="16">
        <v>500956.65</v>
      </c>
      <c r="BU33" s="16">
        <v>381172.76</v>
      </c>
      <c r="BV33" s="16">
        <v>358316.48</v>
      </c>
      <c r="BW33" s="53"/>
      <c r="BX33" s="3">
        <v>2</v>
      </c>
      <c r="BY33" s="3">
        <v>2</v>
      </c>
      <c r="BZ33" s="6" t="s">
        <v>72</v>
      </c>
      <c r="CA33" s="35">
        <f>AVERAGE(CA30:CA32)</f>
        <v>1.0002610086666668</v>
      </c>
      <c r="CB33" s="35">
        <f>AVERAGE(CB30:CB32)</f>
        <v>0.19682532666666663</v>
      </c>
      <c r="CC33" s="3"/>
      <c r="CD33" s="73"/>
      <c r="CE33" s="73"/>
      <c r="CF33" s="73"/>
      <c r="CG33" s="73"/>
      <c r="CH33" s="73"/>
      <c r="CI33" s="73"/>
      <c r="CJ33" s="47"/>
      <c r="CK33" s="18">
        <v>0.46894818018005102</v>
      </c>
      <c r="CL33" s="18">
        <v>1.2720231890610501</v>
      </c>
      <c r="CM33" s="47"/>
      <c r="CN33" s="18">
        <v>2.9857554296183899</v>
      </c>
      <c r="CO33" s="18">
        <v>3.0427143694485501</v>
      </c>
      <c r="CP33" s="18"/>
      <c r="CQ33" s="72"/>
      <c r="CR33" s="72"/>
      <c r="CS33" s="72"/>
      <c r="CT33" s="18"/>
      <c r="CU33" s="72"/>
      <c r="CV33" s="72"/>
      <c r="CW33" s="72"/>
      <c r="CX33" s="72"/>
      <c r="CY33" s="72"/>
      <c r="CZ33" s="72"/>
      <c r="DA33" s="56"/>
      <c r="DB33" s="19">
        <v>0.5827</v>
      </c>
      <c r="DC33" s="19">
        <v>0.1298</v>
      </c>
      <c r="DD33" s="19">
        <v>0.17929999999999999</v>
      </c>
      <c r="DE33" s="20"/>
      <c r="DF33" s="20"/>
      <c r="DG33" s="20"/>
      <c r="DH33" s="3"/>
      <c r="DI33" s="3"/>
      <c r="DJ33" s="3"/>
      <c r="DK33" s="3"/>
      <c r="DL33" s="23" t="s">
        <v>70</v>
      </c>
      <c r="DM33" s="19">
        <v>0.216</v>
      </c>
      <c r="DN33" s="19">
        <v>0.214</v>
      </c>
      <c r="DO33" s="19">
        <v>0.217</v>
      </c>
      <c r="DP33" s="19">
        <v>0.246</v>
      </c>
      <c r="DQ33" s="19">
        <v>0.22900000000000001</v>
      </c>
    </row>
    <row r="34" spans="1:121" s="2" customFormat="1">
      <c r="A34" s="11" t="s">
        <v>72</v>
      </c>
      <c r="B34" s="12">
        <f t="shared" ref="B34" si="5">AVERAGE(B4:B33)</f>
        <v>1.3115598536437746E-2</v>
      </c>
      <c r="C34" s="12">
        <f t="shared" ref="C34:H34" si="6">AVERAGE(C4:C33)</f>
        <v>7.9967380131760434E-3</v>
      </c>
      <c r="D34" s="12">
        <f t="shared" si="6"/>
        <v>3.6725979939356584E-2</v>
      </c>
      <c r="E34" s="12">
        <f t="shared" si="6"/>
        <v>7.6174487946263003E-3</v>
      </c>
      <c r="F34" s="12">
        <f t="shared" si="6"/>
        <v>2.8132385019424243E-2</v>
      </c>
      <c r="G34" s="12">
        <f t="shared" si="6"/>
        <v>2.4649958350328884E-2</v>
      </c>
      <c r="H34" s="12">
        <f t="shared" si="6"/>
        <v>4.8948588277460733E-3</v>
      </c>
      <c r="I34" s="11" t="s">
        <v>72</v>
      </c>
      <c r="J34" s="12">
        <f>AVERAGE(J4:J33)</f>
        <v>2.0463415720679643E-3</v>
      </c>
      <c r="K34" s="12">
        <f t="shared" ref="K34:O34" si="7">AVERAGE(K4:K33)</f>
        <v>0.75209376161253816</v>
      </c>
      <c r="L34" s="12">
        <f t="shared" si="7"/>
        <v>0.41983787364664654</v>
      </c>
      <c r="M34" s="12">
        <f t="shared" si="7"/>
        <v>0.86886006226853274</v>
      </c>
      <c r="N34" s="12">
        <f t="shared" si="7"/>
        <v>0.97140827618387227</v>
      </c>
      <c r="O34" s="12">
        <f t="shared" si="7"/>
        <v>0.94683015675259086</v>
      </c>
      <c r="P34" s="11" t="s">
        <v>72</v>
      </c>
      <c r="Q34" s="12">
        <f>AVERAGE(Q4:Q33)</f>
        <v>0.70034526787668105</v>
      </c>
      <c r="R34" s="12">
        <f>AVERAGE(R4:R33)</f>
        <v>0.28870911618877299</v>
      </c>
      <c r="S34" s="12">
        <f>AVERAGE(S4:S33)</f>
        <v>0.29162939898393092</v>
      </c>
      <c r="T34" s="12">
        <f>AVERAGE(T4:T33)</f>
        <v>0.47958193898287821</v>
      </c>
      <c r="U34" s="14" t="s">
        <v>72</v>
      </c>
      <c r="V34" s="14">
        <f>AVERAGE(V4:V33)</f>
        <v>1.7320484121086614E-2</v>
      </c>
      <c r="W34" s="14">
        <f>AVERAGE(W4:W33)</f>
        <v>7.503894775188015E-2</v>
      </c>
      <c r="X34" s="14">
        <f>AVERAGE(X4:X33)</f>
        <v>7.9151976211767811E-2</v>
      </c>
      <c r="Y34" s="14">
        <f>AVERAGE(Y4:Y33)</f>
        <v>5.3706889030781038E-2</v>
      </c>
      <c r="Z34" s="14" t="s">
        <v>72</v>
      </c>
      <c r="AA34" s="14">
        <f>AVERAGE(AA4:AA33)</f>
        <v>0.41983787364664654</v>
      </c>
      <c r="AB34" s="14">
        <f>AVERAGE(AB4:AB33)</f>
        <v>0.98845532230723754</v>
      </c>
      <c r="AC34" s="14">
        <f>AVERAGE(AC4:AC33)</f>
        <v>0.95951464650451601</v>
      </c>
      <c r="AD34" s="14">
        <f>AVERAGE(AD4:AD33)</f>
        <v>0.22431521921134012</v>
      </c>
      <c r="AE34" s="14" t="s">
        <v>72</v>
      </c>
      <c r="AF34" s="14">
        <f>AVERAGE(AF4:AF33)</f>
        <v>4.1023735899239716E-2</v>
      </c>
      <c r="AG34" s="14">
        <f>AVERAGE(AG4:AG33)</f>
        <v>0.2468515323732805</v>
      </c>
      <c r="AH34" s="11" t="s">
        <v>72</v>
      </c>
      <c r="AI34" s="12">
        <f>AVERAGE(AI4:AI33)</f>
        <v>0.41983787364664654</v>
      </c>
      <c r="AJ34" s="12">
        <f>AVERAGE(AJ4:AJ33)</f>
        <v>2.544880657286331E-2</v>
      </c>
      <c r="AK34" s="12">
        <f>AVERAGE(AK4:AK33)</f>
        <v>0.11419777429525026</v>
      </c>
      <c r="AL34" s="11" t="s">
        <v>72</v>
      </c>
      <c r="AM34" s="14">
        <f>AVERAGE(AM4:AM33)</f>
        <v>0.44297451312111741</v>
      </c>
      <c r="AN34" s="14">
        <f>AVERAGE(AN4:AN33)</f>
        <v>7.3456968204478629E-3</v>
      </c>
      <c r="AO34" s="14">
        <f>AVERAGE(AO4:AO33)</f>
        <v>5.9581452639888895E-3</v>
      </c>
      <c r="AP34" s="14">
        <f>AVERAGE(AP4:AP33)</f>
        <v>1.6593825532182898E-2</v>
      </c>
      <c r="AQ34" s="14">
        <f>AVERAGE(AQ4:AQ33)</f>
        <v>0.10792932840324075</v>
      </c>
      <c r="AR34" s="14"/>
      <c r="AS34" s="33"/>
      <c r="AT34" s="33"/>
      <c r="AU34" s="11" t="s">
        <v>72</v>
      </c>
      <c r="AV34" s="15">
        <f>AVERAGE(AV4:AV33)</f>
        <v>0.18914203341481245</v>
      </c>
      <c r="AW34" s="15">
        <f t="shared" ref="AW34:BA34" si="8">AVERAGE(AW4:AW33)</f>
        <v>0.89760901512827462</v>
      </c>
      <c r="AX34" s="15">
        <f t="shared" si="8"/>
        <v>0.68745026865060799</v>
      </c>
      <c r="AY34" s="15">
        <f t="shared" si="8"/>
        <v>2.6511619829463144E-2</v>
      </c>
      <c r="AZ34" s="12">
        <f t="shared" si="8"/>
        <v>0.12175811076530257</v>
      </c>
      <c r="BA34" s="12">
        <f t="shared" si="8"/>
        <v>0.96082028909366501</v>
      </c>
      <c r="BB34" s="14" t="s">
        <v>72</v>
      </c>
      <c r="BC34" s="12">
        <f>AVERAGE(BC4:BC33)</f>
        <v>0.41983787364664654</v>
      </c>
      <c r="BD34" s="12">
        <f>AVERAGE(BD4:BD33)</f>
        <v>0.81499039821925501</v>
      </c>
      <c r="BE34" s="12">
        <f>AVERAGE(BE4:BE33)</f>
        <v>0.95861076047452032</v>
      </c>
      <c r="BF34" s="12">
        <f>AVERAGE(BF4:BF33)</f>
        <v>0.85670100329404353</v>
      </c>
      <c r="BG34" s="14" t="s">
        <v>72</v>
      </c>
      <c r="BH34" s="14">
        <f t="shared" ref="BH34:BM34" si="9">AVERAGE(BH4:BH33)</f>
        <v>0.98914263116873857</v>
      </c>
      <c r="BI34" s="14">
        <f t="shared" si="9"/>
        <v>1.6587744553603033E-2</v>
      </c>
      <c r="BJ34" s="14">
        <f t="shared" si="9"/>
        <v>9.2626990806416246E-3</v>
      </c>
      <c r="BK34" s="14">
        <f t="shared" si="9"/>
        <v>2.1762147801730077E-2</v>
      </c>
      <c r="BL34" s="14">
        <f t="shared" si="9"/>
        <v>0.22208228515757036</v>
      </c>
      <c r="BM34" s="14">
        <f t="shared" si="9"/>
        <v>0.24106666989653255</v>
      </c>
      <c r="BN34" s="30">
        <v>8</v>
      </c>
      <c r="BO34" s="31">
        <v>0.230403</v>
      </c>
      <c r="BP34" s="31">
        <v>0.17275299999999999</v>
      </c>
      <c r="BQ34" s="31">
        <v>0.29200900000000002</v>
      </c>
      <c r="BR34" s="14" t="s">
        <v>72</v>
      </c>
      <c r="BS34" s="17">
        <f>AVERAGE(BS4:BS33)</f>
        <v>382040.61366666667</v>
      </c>
      <c r="BT34" s="17">
        <f>AVERAGE(BT4:BT33)</f>
        <v>462043.1786666665</v>
      </c>
      <c r="BU34" s="17">
        <f>AVERAGE(BU4:BU33)</f>
        <v>428005.78133333317</v>
      </c>
      <c r="BV34" s="17">
        <f>AVERAGE(BV4:BV33)</f>
        <v>361669.24466666678</v>
      </c>
      <c r="BW34" s="39"/>
      <c r="BX34" s="3">
        <v>1</v>
      </c>
      <c r="BY34" s="3">
        <v>2</v>
      </c>
      <c r="BZ34" s="45" t="s">
        <v>41</v>
      </c>
      <c r="CA34" s="64"/>
      <c r="CB34" s="64"/>
      <c r="CC34" s="3"/>
      <c r="CD34" s="73"/>
      <c r="CE34" s="73"/>
      <c r="CF34" s="73"/>
      <c r="CG34" s="73"/>
      <c r="CH34" s="73"/>
      <c r="CI34" s="73"/>
      <c r="CJ34" s="47"/>
      <c r="CK34" s="18">
        <v>0.62816699928632402</v>
      </c>
      <c r="CL34" s="18">
        <v>0.479541007366316</v>
      </c>
      <c r="CM34" s="47"/>
      <c r="CN34" s="18">
        <v>4.6379347755351397</v>
      </c>
      <c r="CO34" s="18">
        <v>3.3182589877422899</v>
      </c>
      <c r="CP34" s="18"/>
      <c r="CQ34" s="72"/>
      <c r="CR34" s="72"/>
      <c r="CS34" s="72"/>
      <c r="CT34" s="18"/>
      <c r="CU34" s="72"/>
      <c r="CV34" s="72"/>
      <c r="CW34" s="72"/>
      <c r="CX34" s="72"/>
      <c r="CY34" s="72"/>
      <c r="CZ34" s="72"/>
      <c r="DA34" s="22" t="s">
        <v>72</v>
      </c>
      <c r="DB34" s="35">
        <f>AVERAGE(DB28:DB33)</f>
        <v>0.50293333333333334</v>
      </c>
      <c r="DC34" s="35">
        <f>AVERAGE(DC28:DC33)</f>
        <v>0.15181666666666668</v>
      </c>
      <c r="DD34" s="35">
        <f>AVERAGE(DD28:DD33)</f>
        <v>0.22940000000000002</v>
      </c>
      <c r="DE34" s="20"/>
      <c r="DF34" s="20"/>
      <c r="DG34" s="20"/>
      <c r="DH34" s="3"/>
      <c r="DI34" s="3"/>
      <c r="DJ34" s="3"/>
      <c r="DK34" s="3"/>
      <c r="DL34" s="23" t="s">
        <v>73</v>
      </c>
      <c r="DM34" s="19">
        <v>0.25900000000000001</v>
      </c>
      <c r="DN34" s="19">
        <v>0.24299999999999999</v>
      </c>
      <c r="DO34" s="19">
        <v>0.26</v>
      </c>
      <c r="DP34" s="19">
        <v>0.251</v>
      </c>
      <c r="DQ34" s="19">
        <v>0.253</v>
      </c>
    </row>
    <row r="35" spans="1:121">
      <c r="BW35" s="39"/>
      <c r="BX35" s="3">
        <v>2</v>
      </c>
      <c r="BY35" s="3">
        <v>2</v>
      </c>
      <c r="BZ35" s="3"/>
      <c r="CA35" s="70" t="s">
        <v>133</v>
      </c>
      <c r="CB35" s="70" t="s">
        <v>138</v>
      </c>
      <c r="CC35" s="3"/>
      <c r="CD35" s="73"/>
      <c r="CE35" s="73"/>
      <c r="CF35" s="73"/>
      <c r="CG35" s="73"/>
      <c r="CH35" s="73"/>
      <c r="CI35" s="73"/>
      <c r="CJ35" s="47"/>
      <c r="CK35" s="18">
        <v>0.51682202344577599</v>
      </c>
      <c r="CL35" s="18">
        <v>0.30111935315076199</v>
      </c>
      <c r="CM35" s="47"/>
      <c r="CN35" s="18">
        <v>3.5621813564718701</v>
      </c>
      <c r="CO35" s="18">
        <v>3.5242392364663</v>
      </c>
      <c r="CP35" s="18"/>
      <c r="CQ35" s="72"/>
      <c r="CR35" s="72"/>
      <c r="CS35" s="72"/>
      <c r="CT35" s="18"/>
      <c r="CU35" s="72"/>
      <c r="CV35" s="72"/>
      <c r="CW35" s="72"/>
      <c r="CX35" s="72"/>
      <c r="CY35" s="72"/>
      <c r="CZ35" s="72"/>
      <c r="DA35" s="20"/>
      <c r="DB35" s="20"/>
      <c r="DC35" s="20"/>
      <c r="DD35" s="20"/>
      <c r="DE35" s="20"/>
      <c r="DF35" s="20"/>
      <c r="DG35" s="22"/>
      <c r="DL35" s="23" t="s">
        <v>75</v>
      </c>
      <c r="DM35" s="19">
        <v>0.27200000000000002</v>
      </c>
      <c r="DN35" s="19">
        <v>0.372</v>
      </c>
      <c r="DO35" s="19">
        <v>0.32800000000000001</v>
      </c>
      <c r="DP35" s="19">
        <v>0.314</v>
      </c>
      <c r="DQ35" s="19">
        <v>0.28100000000000003</v>
      </c>
    </row>
    <row r="36" spans="1:121" ht="14.25" customHeight="1">
      <c r="BW36" s="39"/>
      <c r="BX36" s="3">
        <v>2</v>
      </c>
      <c r="BY36" s="3">
        <v>2</v>
      </c>
      <c r="BZ36" s="47" t="s">
        <v>79</v>
      </c>
      <c r="CA36" s="72">
        <v>1</v>
      </c>
      <c r="CB36" s="72">
        <v>1.5133333330000001</v>
      </c>
      <c r="CC36" s="3"/>
      <c r="CD36" s="73"/>
      <c r="CE36" s="73"/>
      <c r="CF36" s="73"/>
      <c r="CG36" s="73"/>
      <c r="CH36" s="73"/>
      <c r="CI36" s="73"/>
      <c r="CJ36" s="47"/>
      <c r="CK36" s="18">
        <v>1.92573363446256</v>
      </c>
      <c r="CL36" s="18">
        <v>0.48892626752413398</v>
      </c>
      <c r="CM36" s="47"/>
      <c r="CN36" s="18">
        <v>1.84815719709907</v>
      </c>
      <c r="CO36" s="18">
        <v>3.6262755830497899</v>
      </c>
      <c r="CP36" s="18"/>
      <c r="CQ36" s="72"/>
      <c r="CR36" s="72"/>
      <c r="CS36" s="72"/>
      <c r="CT36" s="18"/>
      <c r="CU36" s="72"/>
      <c r="CV36" s="72"/>
      <c r="CW36" s="72"/>
      <c r="CX36" s="72"/>
      <c r="CY36" s="72"/>
      <c r="CZ36" s="72"/>
      <c r="DA36" s="20"/>
      <c r="DB36" s="22" t="s">
        <v>62</v>
      </c>
      <c r="DC36" s="22" t="s">
        <v>63</v>
      </c>
      <c r="DD36" s="22" t="s">
        <v>64</v>
      </c>
      <c r="DE36" s="20"/>
      <c r="DF36" s="20"/>
      <c r="DG36" s="20"/>
      <c r="DL36" s="23" t="s">
        <v>77</v>
      </c>
      <c r="DM36" s="19">
        <v>0.48199999999999998</v>
      </c>
      <c r="DN36" s="19">
        <v>0.47899999999999998</v>
      </c>
      <c r="DO36" s="19">
        <v>0.437</v>
      </c>
      <c r="DP36" s="19">
        <v>0.51100000000000001</v>
      </c>
      <c r="DQ36" s="19">
        <v>0.434</v>
      </c>
    </row>
    <row r="37" spans="1:121">
      <c r="BW37" s="39"/>
      <c r="BX37" s="3">
        <v>2</v>
      </c>
      <c r="BY37" s="3">
        <v>2</v>
      </c>
      <c r="BZ37" s="48"/>
      <c r="CA37" s="72">
        <v>1.2066666669999999</v>
      </c>
      <c r="CB37" s="72">
        <v>1.3733333329999999</v>
      </c>
      <c r="CC37" s="3"/>
      <c r="CD37" s="73"/>
      <c r="CE37" s="73"/>
      <c r="CF37" s="73"/>
      <c r="CG37" s="73"/>
      <c r="CH37" s="73"/>
      <c r="CI37" s="73"/>
      <c r="CJ37" s="47"/>
      <c r="CK37" s="18">
        <v>0.28688114778816198</v>
      </c>
      <c r="CL37" s="18">
        <v>0.29760229865200799</v>
      </c>
      <c r="CM37" s="47"/>
      <c r="CN37" s="18">
        <v>3.4830805408544401</v>
      </c>
      <c r="CO37" s="18">
        <v>3.9357143185863301</v>
      </c>
      <c r="CP37" s="18"/>
      <c r="CQ37" s="72"/>
      <c r="CR37" s="72"/>
      <c r="CS37" s="72"/>
      <c r="CT37" s="18"/>
      <c r="CU37" s="72"/>
      <c r="CV37" s="72"/>
      <c r="CW37" s="72"/>
      <c r="CX37" s="72"/>
      <c r="CY37" s="72"/>
      <c r="CZ37" s="72"/>
      <c r="DA37" s="54" t="s">
        <v>82</v>
      </c>
      <c r="DB37" s="19">
        <v>40.442</v>
      </c>
      <c r="DC37" s="19">
        <v>16.036000000000001</v>
      </c>
      <c r="DD37" s="19">
        <v>25.427</v>
      </c>
      <c r="DE37" s="20"/>
      <c r="DF37" s="20"/>
      <c r="DG37" s="20"/>
      <c r="DL37" s="23"/>
      <c r="DM37" s="50" t="s">
        <v>64</v>
      </c>
      <c r="DN37" s="41"/>
      <c r="DO37" s="41"/>
      <c r="DP37" s="41"/>
      <c r="DQ37" s="41"/>
    </row>
    <row r="38" spans="1:121">
      <c r="BW38" s="39"/>
      <c r="BX38" s="3">
        <v>2</v>
      </c>
      <c r="BY38" s="3">
        <v>2</v>
      </c>
      <c r="BZ38" s="48"/>
      <c r="CA38" s="72">
        <v>0.87333333300000004</v>
      </c>
      <c r="CB38" s="72">
        <v>1.3666666670000001</v>
      </c>
      <c r="CC38" s="3"/>
      <c r="CD38" s="73"/>
      <c r="CE38" s="73"/>
      <c r="CF38" s="73"/>
      <c r="CG38" s="73"/>
      <c r="CH38" s="73"/>
      <c r="CI38" s="73"/>
      <c r="CJ38" s="47"/>
      <c r="CK38" s="18">
        <v>0.37284068858779301</v>
      </c>
      <c r="CL38" s="18">
        <v>1.3414449909508599</v>
      </c>
      <c r="CM38" s="47"/>
      <c r="CN38" s="18">
        <v>3.8132168267847999</v>
      </c>
      <c r="CO38" s="18">
        <v>3.4542351267114402</v>
      </c>
      <c r="CP38" s="18"/>
      <c r="CQ38" s="72"/>
      <c r="CR38" s="72"/>
      <c r="CS38" s="72"/>
      <c r="CT38" s="18"/>
      <c r="CU38" s="72"/>
      <c r="CV38" s="72"/>
      <c r="CW38" s="72"/>
      <c r="CX38" s="72"/>
      <c r="CY38" s="72"/>
      <c r="CZ38" s="72"/>
      <c r="DA38" s="55"/>
      <c r="DB38" s="19">
        <v>37.404000000000003</v>
      </c>
      <c r="DC38" s="19">
        <v>16.347000000000001</v>
      </c>
      <c r="DD38" s="19">
        <v>27.372</v>
      </c>
      <c r="DE38" s="20"/>
      <c r="DF38" s="20"/>
      <c r="DG38" s="20"/>
      <c r="DL38" s="23" t="s">
        <v>68</v>
      </c>
      <c r="DM38" s="19">
        <v>0.20899999999999999</v>
      </c>
      <c r="DN38" s="19">
        <v>0.20799999999999999</v>
      </c>
      <c r="DO38" s="19">
        <v>0.20399999999999999</v>
      </c>
      <c r="DP38" s="19">
        <v>0.20899999999999999</v>
      </c>
      <c r="DQ38" s="19">
        <v>0.20100000000000001</v>
      </c>
    </row>
    <row r="39" spans="1:121">
      <c r="BW39" s="39"/>
      <c r="BX39" s="3">
        <v>2</v>
      </c>
      <c r="BY39" s="3">
        <v>2</v>
      </c>
      <c r="BZ39" s="6" t="s">
        <v>72</v>
      </c>
      <c r="CA39" s="35">
        <f>AVERAGE(CA36:CA38)</f>
        <v>1.0266666666666666</v>
      </c>
      <c r="CB39" s="35">
        <f>AVERAGE(CB36:CB38)</f>
        <v>1.4177777776666669</v>
      </c>
      <c r="CC39" s="3"/>
      <c r="CD39" s="73"/>
      <c r="CE39" s="73"/>
      <c r="CF39" s="73"/>
      <c r="CG39" s="73"/>
      <c r="CH39" s="73"/>
      <c r="CI39" s="73"/>
      <c r="CJ39" s="47"/>
      <c r="CK39" s="18">
        <v>3.3992531404938302</v>
      </c>
      <c r="CL39" s="18">
        <v>0.46006102097734097</v>
      </c>
      <c r="CM39" s="47"/>
      <c r="CN39" s="18">
        <v>2.7174296702723399</v>
      </c>
      <c r="CO39" s="18">
        <v>3.7597417430752702</v>
      </c>
      <c r="CP39" s="18"/>
      <c r="CQ39" s="72"/>
      <c r="CR39" s="72"/>
      <c r="CS39" s="72"/>
      <c r="CT39" s="18"/>
      <c r="CU39" s="72"/>
      <c r="CV39" s="72"/>
      <c r="CW39" s="72"/>
      <c r="CX39" s="72"/>
      <c r="CY39" s="72"/>
      <c r="CZ39" s="72"/>
      <c r="DA39" s="55"/>
      <c r="DB39" s="19">
        <v>28.907</v>
      </c>
      <c r="DC39" s="19">
        <v>16.879000000000001</v>
      </c>
      <c r="DD39" s="19">
        <v>26.253</v>
      </c>
      <c r="DE39" s="20"/>
      <c r="DF39" s="20"/>
      <c r="DG39" s="20"/>
      <c r="DL39" s="23" t="s">
        <v>70</v>
      </c>
      <c r="DM39" s="19">
        <v>0.247</v>
      </c>
      <c r="DN39" s="19">
        <v>0.251</v>
      </c>
      <c r="DO39" s="19">
        <v>0.26200000000000001</v>
      </c>
      <c r="DP39" s="19">
        <v>0.254</v>
      </c>
      <c r="DQ39" s="19">
        <v>0.26200000000000001</v>
      </c>
    </row>
    <row r="40" spans="1:121">
      <c r="BW40" s="39"/>
      <c r="BX40" s="3">
        <v>2</v>
      </c>
      <c r="BY40" s="3">
        <v>2</v>
      </c>
      <c r="BZ40" s="3"/>
      <c r="CA40" s="73"/>
      <c r="CB40" s="73"/>
      <c r="CC40" s="3"/>
      <c r="CD40" s="73"/>
      <c r="CE40" s="73"/>
      <c r="CF40" s="73"/>
      <c r="CG40" s="73"/>
      <c r="CH40" s="73"/>
      <c r="CI40" s="73"/>
      <c r="CJ40" s="47"/>
      <c r="CK40" s="18">
        <v>0.42642579074202702</v>
      </c>
      <c r="CL40" s="18">
        <v>0.517829984809274</v>
      </c>
      <c r="CM40" s="47"/>
      <c r="CN40" s="18">
        <v>2.6912884838552098</v>
      </c>
      <c r="CO40" s="18">
        <v>3.0059568360075302</v>
      </c>
      <c r="CP40" s="18"/>
      <c r="CQ40" s="72"/>
      <c r="CR40" s="72"/>
      <c r="CS40" s="72"/>
      <c r="CT40" s="18"/>
      <c r="CU40" s="72"/>
      <c r="CV40" s="72"/>
      <c r="CW40" s="72"/>
      <c r="CX40" s="72"/>
      <c r="CY40" s="72"/>
      <c r="CZ40" s="72"/>
      <c r="DA40" s="56"/>
      <c r="DB40" s="19">
        <v>37.404000000000003</v>
      </c>
      <c r="DC40" s="19">
        <v>17.853999999999999</v>
      </c>
      <c r="DD40" s="19">
        <v>26.12</v>
      </c>
      <c r="DE40" s="20"/>
      <c r="DF40" s="20"/>
      <c r="DG40" s="20"/>
      <c r="DL40" s="23" t="s">
        <v>73</v>
      </c>
      <c r="DM40" s="19">
        <v>0.30299999999999999</v>
      </c>
      <c r="DN40" s="19">
        <v>0.32900000000000001</v>
      </c>
      <c r="DO40" s="19">
        <v>0.30499999999999999</v>
      </c>
      <c r="DP40" s="19">
        <v>0.307</v>
      </c>
      <c r="DQ40" s="19">
        <v>0.29299999999999998</v>
      </c>
    </row>
    <row r="41" spans="1:121">
      <c r="BW41" s="39"/>
      <c r="BX41" s="3">
        <v>2</v>
      </c>
      <c r="BY41" s="3">
        <v>2</v>
      </c>
      <c r="BZ41" s="69"/>
      <c r="CA41" s="72"/>
      <c r="CB41" s="72"/>
      <c r="CC41" s="3"/>
      <c r="CD41" s="73"/>
      <c r="CE41" s="73"/>
      <c r="CF41" s="73"/>
      <c r="CG41" s="73"/>
      <c r="CH41" s="73"/>
      <c r="CI41" s="73"/>
      <c r="CJ41" s="47"/>
      <c r="CK41" s="18">
        <v>0.71228762045055005</v>
      </c>
      <c r="CL41" s="18">
        <v>0.22613856056934301</v>
      </c>
      <c r="CM41" s="47"/>
      <c r="CN41" s="18">
        <v>4.0886165358667101</v>
      </c>
      <c r="CO41" s="18">
        <v>1.6711574764385599</v>
      </c>
      <c r="CP41" s="18"/>
      <c r="CQ41" s="72"/>
      <c r="CR41" s="72"/>
      <c r="CS41" s="72"/>
      <c r="CT41" s="18"/>
      <c r="CU41" s="72"/>
      <c r="CV41" s="72"/>
      <c r="CW41" s="72"/>
      <c r="CX41" s="72"/>
      <c r="CY41" s="72"/>
      <c r="CZ41" s="72"/>
      <c r="DA41" s="56"/>
      <c r="DB41" s="19">
        <v>43.801000000000002</v>
      </c>
      <c r="DC41" s="19">
        <v>29.315999999999999</v>
      </c>
      <c r="DD41" s="19">
        <v>24.827999999999999</v>
      </c>
      <c r="DE41" s="20"/>
      <c r="DF41" s="20"/>
      <c r="DG41" s="20"/>
      <c r="DL41" s="23" t="s">
        <v>75</v>
      </c>
      <c r="DM41" s="19">
        <v>0.372</v>
      </c>
      <c r="DN41" s="19">
        <v>0.41399999999999998</v>
      </c>
      <c r="DO41" s="19">
        <v>0.39600000000000002</v>
      </c>
      <c r="DP41" s="19">
        <v>0.40899999999999997</v>
      </c>
      <c r="DQ41" s="19">
        <v>0.42799999999999999</v>
      </c>
    </row>
    <row r="42" spans="1:121">
      <c r="BW42" s="39"/>
      <c r="BX42" s="3">
        <v>2</v>
      </c>
      <c r="BY42" s="3">
        <v>2</v>
      </c>
      <c r="BZ42" s="69"/>
      <c r="CA42" s="72"/>
      <c r="CB42" s="72"/>
      <c r="CC42" s="3"/>
      <c r="CD42" s="73"/>
      <c r="CE42" s="73"/>
      <c r="CF42" s="73"/>
      <c r="CG42" s="73"/>
      <c r="CH42" s="73"/>
      <c r="CI42" s="73"/>
      <c r="CJ42" s="47"/>
      <c r="CK42" s="18">
        <v>0.35061039519923698</v>
      </c>
      <c r="CL42" s="18">
        <v>0.30462785449297602</v>
      </c>
      <c r="CM42" s="47"/>
      <c r="CN42" s="18">
        <v>2.6940332660851301</v>
      </c>
      <c r="CO42" s="18">
        <v>3.1435240325216101</v>
      </c>
      <c r="CP42" s="18"/>
      <c r="CQ42" s="72"/>
      <c r="CR42" s="72"/>
      <c r="CS42" s="72"/>
      <c r="CT42" s="18"/>
      <c r="CU42" s="72"/>
      <c r="CV42" s="72"/>
      <c r="CW42" s="72"/>
      <c r="CX42" s="72"/>
      <c r="CY42" s="72"/>
      <c r="CZ42" s="72"/>
      <c r="DA42" s="56"/>
      <c r="DB42" s="19">
        <v>34.654000000000003</v>
      </c>
      <c r="DC42" s="19">
        <v>23.158999999999999</v>
      </c>
      <c r="DD42" s="19">
        <v>32.643000000000001</v>
      </c>
      <c r="DE42" s="20"/>
      <c r="DF42" s="20"/>
      <c r="DG42" s="20"/>
      <c r="DL42" s="23" t="s">
        <v>77</v>
      </c>
      <c r="DM42" s="19">
        <v>0.48199999999999998</v>
      </c>
      <c r="DN42" s="19">
        <v>0.57899999999999996</v>
      </c>
      <c r="DO42" s="19">
        <v>0.53700000000000003</v>
      </c>
      <c r="DP42" s="19">
        <v>0.61099999999999999</v>
      </c>
      <c r="DQ42" s="19">
        <v>0.53400000000000003</v>
      </c>
    </row>
    <row r="43" spans="1:121">
      <c r="BW43" s="39"/>
      <c r="BX43" s="3">
        <v>2</v>
      </c>
      <c r="BY43" s="3">
        <v>2</v>
      </c>
      <c r="BZ43" s="69"/>
      <c r="CA43" s="72"/>
      <c r="CB43" s="72"/>
      <c r="CC43" s="3"/>
      <c r="CD43" s="73"/>
      <c r="CE43" s="73"/>
      <c r="CF43" s="73"/>
      <c r="CG43" s="73"/>
      <c r="CH43" s="73"/>
      <c r="CI43" s="73"/>
      <c r="CJ43" s="47"/>
      <c r="CK43" s="18">
        <v>0.52386300882634995</v>
      </c>
      <c r="CL43" s="18">
        <v>0.50853006865371497</v>
      </c>
      <c r="CM43" s="47"/>
      <c r="CN43" s="18">
        <v>3.8706113130445399</v>
      </c>
      <c r="CO43" s="18">
        <v>2.9971839981752999</v>
      </c>
      <c r="CP43" s="18"/>
      <c r="CQ43" s="72"/>
      <c r="CR43" s="72"/>
      <c r="CS43" s="72"/>
      <c r="CT43" s="18"/>
      <c r="CU43" s="72"/>
      <c r="CV43" s="72"/>
      <c r="CW43" s="72"/>
      <c r="CX43" s="72"/>
      <c r="CY43" s="72"/>
      <c r="CZ43" s="72"/>
      <c r="DA43" s="22" t="s">
        <v>72</v>
      </c>
      <c r="DB43" s="35">
        <f>AVERAGE(DB37:DB42)</f>
        <v>37.102000000000004</v>
      </c>
      <c r="DC43" s="35">
        <f>AVERAGE(DC37:DC42)</f>
        <v>19.931833333333334</v>
      </c>
      <c r="DD43" s="35">
        <f>AVERAGE(DD37:DD42)</f>
        <v>27.107166666666668</v>
      </c>
      <c r="DE43" s="20"/>
      <c r="DF43" s="20"/>
      <c r="DG43" s="20"/>
      <c r="DH43" s="3"/>
      <c r="DI43" s="3"/>
      <c r="DJ43" s="3"/>
      <c r="DK43" s="3"/>
      <c r="DL43" s="23"/>
      <c r="DM43" s="20"/>
      <c r="DN43" s="20"/>
      <c r="DO43" s="20"/>
      <c r="DP43" s="20"/>
      <c r="DQ43" s="20"/>
    </row>
    <row r="44" spans="1:121">
      <c r="BW44" s="39"/>
      <c r="BX44" s="3">
        <v>2</v>
      </c>
      <c r="BY44" s="3">
        <v>2</v>
      </c>
      <c r="BZ44" s="69"/>
      <c r="CA44" s="72"/>
      <c r="CB44" s="72"/>
      <c r="CC44" s="3"/>
      <c r="CD44" s="73"/>
      <c r="CE44" s="73"/>
      <c r="CF44" s="73"/>
      <c r="CG44" s="73"/>
      <c r="CH44" s="73"/>
      <c r="CI44" s="73"/>
      <c r="CJ44" s="47"/>
      <c r="CK44" s="18">
        <v>0.78224079993609297</v>
      </c>
      <c r="CL44" s="18">
        <v>0.26159098896412503</v>
      </c>
      <c r="CM44" s="47"/>
      <c r="CN44" s="18">
        <v>3.8328798899534902</v>
      </c>
      <c r="CO44" s="18">
        <v>3.1646897520524999</v>
      </c>
      <c r="CP44" s="18"/>
      <c r="CQ44" s="72"/>
      <c r="CR44" s="72"/>
      <c r="CS44" s="72"/>
      <c r="CT44" s="18"/>
      <c r="CU44" s="72"/>
      <c r="CV44" s="72"/>
      <c r="CW44" s="72"/>
      <c r="CX44" s="72"/>
      <c r="CY44" s="72"/>
      <c r="CZ44" s="72"/>
      <c r="DE44" s="20"/>
      <c r="DF44" s="20"/>
      <c r="DG44" s="20"/>
      <c r="DH44" s="3"/>
      <c r="DI44" s="3"/>
      <c r="DJ44" s="3"/>
      <c r="DK44" s="3"/>
      <c r="DL44" s="23"/>
      <c r="DM44" s="20"/>
      <c r="DN44" s="20"/>
      <c r="DO44" s="20"/>
      <c r="DP44" s="20"/>
      <c r="DQ44" s="20"/>
    </row>
    <row r="45" spans="1:121">
      <c r="BW45" s="39"/>
      <c r="BX45" s="3">
        <v>2</v>
      </c>
      <c r="BY45" s="3">
        <v>3</v>
      </c>
      <c r="BZ45" s="69"/>
      <c r="CA45" s="72"/>
      <c r="CB45" s="72"/>
      <c r="CC45" s="3"/>
      <c r="CD45" s="73"/>
      <c r="CE45" s="73"/>
      <c r="CF45" s="73"/>
      <c r="CG45" s="73"/>
      <c r="CH45" s="73"/>
      <c r="CI45" s="73"/>
      <c r="CJ45" s="47"/>
      <c r="CK45" s="18">
        <v>0.364908555088715</v>
      </c>
      <c r="CL45" s="18">
        <v>1.0101353148851899</v>
      </c>
      <c r="CM45" s="47"/>
      <c r="CN45" s="18">
        <v>3.0754470595287402</v>
      </c>
      <c r="CO45" s="18">
        <v>3.0217817378623701</v>
      </c>
      <c r="CP45" s="18"/>
      <c r="CQ45" s="72"/>
      <c r="CR45" s="72"/>
      <c r="CS45" s="72"/>
      <c r="CT45" s="18"/>
      <c r="CU45" s="72"/>
      <c r="CV45" s="72"/>
      <c r="CW45" s="72"/>
      <c r="CX45" s="72"/>
      <c r="CY45" s="72"/>
      <c r="CZ45" s="72"/>
      <c r="DA45" s="20"/>
      <c r="DB45" s="22" t="s">
        <v>62</v>
      </c>
      <c r="DC45" s="22" t="s">
        <v>63</v>
      </c>
      <c r="DD45" s="22" t="s">
        <v>64</v>
      </c>
      <c r="DE45" s="20"/>
      <c r="DF45" s="20"/>
      <c r="DG45" s="20"/>
      <c r="DH45" s="3"/>
      <c r="DI45" s="3"/>
      <c r="DJ45" s="3"/>
      <c r="DK45" s="3"/>
      <c r="DL45" s="23"/>
      <c r="DM45" s="20"/>
      <c r="DN45" s="20"/>
      <c r="DO45" s="20"/>
      <c r="DP45" s="20"/>
      <c r="DQ45" s="20"/>
    </row>
    <row r="46" spans="1:121">
      <c r="BW46" s="39"/>
      <c r="BX46" s="3">
        <v>2</v>
      </c>
      <c r="BY46" s="3">
        <v>2</v>
      </c>
      <c r="BZ46" s="69"/>
      <c r="CA46" s="72"/>
      <c r="CB46" s="72"/>
      <c r="CC46" s="3"/>
      <c r="CD46" s="73"/>
      <c r="CE46" s="73"/>
      <c r="CF46" s="73"/>
      <c r="CG46" s="73"/>
      <c r="CH46" s="73"/>
      <c r="CI46" s="73"/>
      <c r="CJ46" s="47"/>
      <c r="CK46" s="18">
        <v>0.62695304177066502</v>
      </c>
      <c r="CL46" s="18">
        <v>0.22786427254650701</v>
      </c>
      <c r="CM46" s="47"/>
      <c r="CN46" s="18">
        <v>3.6464276646534799</v>
      </c>
      <c r="CO46" s="18">
        <v>3.0051843758597201</v>
      </c>
      <c r="CP46" s="18"/>
      <c r="CQ46" s="72"/>
      <c r="CR46" s="72"/>
      <c r="CS46" s="72"/>
      <c r="CT46" s="18"/>
      <c r="CU46" s="72"/>
      <c r="CV46" s="72"/>
      <c r="CW46" s="72"/>
      <c r="CX46" s="72"/>
      <c r="CY46" s="72"/>
      <c r="CZ46" s="72"/>
      <c r="DA46" s="54" t="s">
        <v>83</v>
      </c>
      <c r="DB46" s="19">
        <v>32.524999999999999</v>
      </c>
      <c r="DC46" s="19">
        <v>18.257999999999999</v>
      </c>
      <c r="DD46" s="19">
        <v>28.603999999999999</v>
      </c>
      <c r="DE46" s="20"/>
      <c r="DF46" s="20"/>
      <c r="DG46" s="20"/>
      <c r="DH46" s="3"/>
      <c r="DI46" s="3"/>
      <c r="DJ46" s="3"/>
      <c r="DK46" s="3"/>
      <c r="DL46" s="23"/>
      <c r="DM46" s="20"/>
      <c r="DN46" s="20"/>
      <c r="DO46" s="20"/>
      <c r="DP46" s="20"/>
      <c r="DQ46" s="20"/>
    </row>
    <row r="47" spans="1:121">
      <c r="BW47" s="39"/>
      <c r="BX47" s="3">
        <v>2</v>
      </c>
      <c r="BY47" s="3">
        <v>2</v>
      </c>
      <c r="BZ47" s="69"/>
      <c r="CA47" s="72"/>
      <c r="CB47" s="72"/>
      <c r="CC47" s="3"/>
      <c r="CD47" s="73"/>
      <c r="CE47" s="73"/>
      <c r="CF47" s="73"/>
      <c r="CG47" s="73"/>
      <c r="CH47" s="73"/>
      <c r="CI47" s="73"/>
      <c r="CJ47" s="47"/>
      <c r="CK47" s="18">
        <v>0.93069949588519996</v>
      </c>
      <c r="CL47" s="18">
        <v>0.62264927905367295</v>
      </c>
      <c r="CM47" s="47"/>
      <c r="CN47" s="18">
        <v>4.2071119612077101</v>
      </c>
      <c r="CO47" s="18">
        <v>3.4942235796443799</v>
      </c>
      <c r="CP47" s="18"/>
      <c r="CQ47" s="72"/>
      <c r="CR47" s="72"/>
      <c r="CS47" s="72"/>
      <c r="CT47" s="18"/>
      <c r="CU47" s="72"/>
      <c r="CV47" s="72"/>
      <c r="CW47" s="72"/>
      <c r="CX47" s="72"/>
      <c r="CY47" s="72"/>
      <c r="CZ47" s="72"/>
      <c r="DA47" s="55"/>
      <c r="DB47" s="19">
        <v>34.453000000000003</v>
      </c>
      <c r="DC47" s="19">
        <v>19.553000000000001</v>
      </c>
      <c r="DD47" s="19">
        <v>22.097000000000001</v>
      </c>
      <c r="DE47" s="20"/>
      <c r="DF47" s="20"/>
      <c r="DG47" s="20"/>
      <c r="DH47" s="3"/>
      <c r="DI47" s="3"/>
      <c r="DJ47" s="3"/>
      <c r="DK47" s="3"/>
      <c r="DL47" s="23"/>
      <c r="DM47" s="20"/>
      <c r="DN47" s="20"/>
      <c r="DO47" s="20"/>
      <c r="DP47" s="20"/>
      <c r="DQ47" s="20"/>
    </row>
    <row r="48" spans="1:121">
      <c r="BW48" s="39"/>
      <c r="BX48" s="3">
        <v>2</v>
      </c>
      <c r="BY48" s="3">
        <v>2</v>
      </c>
      <c r="BZ48" s="69"/>
      <c r="CA48" s="72"/>
      <c r="CB48" s="72"/>
      <c r="CC48" s="3"/>
      <c r="CD48" s="73"/>
      <c r="CE48" s="73"/>
      <c r="CF48" s="73"/>
      <c r="CG48" s="73"/>
      <c r="CH48" s="73"/>
      <c r="CI48" s="73"/>
      <c r="CJ48" s="47"/>
      <c r="CK48" s="18">
        <v>0.57308363118517702</v>
      </c>
      <c r="CL48" s="18">
        <v>0.78947887042392795</v>
      </c>
      <c r="CM48" s="47"/>
      <c r="CN48" s="18">
        <v>3.1688185110354201</v>
      </c>
      <c r="CO48" s="18">
        <v>3.5782262442484201</v>
      </c>
      <c r="CP48" s="18"/>
      <c r="CQ48" s="72"/>
      <c r="CR48" s="72"/>
      <c r="CS48" s="72"/>
      <c r="CT48" s="18"/>
      <c r="CU48" s="72"/>
      <c r="CV48" s="72"/>
      <c r="CW48" s="72"/>
      <c r="CX48" s="72"/>
      <c r="CY48" s="72"/>
      <c r="CZ48" s="72"/>
      <c r="DA48" s="55"/>
      <c r="DB48" s="19">
        <v>32.478000000000002</v>
      </c>
      <c r="DC48" s="19">
        <v>26.579000000000001</v>
      </c>
      <c r="DD48" s="19">
        <v>21.417000000000002</v>
      </c>
      <c r="DH48" s="3"/>
      <c r="DI48" s="3"/>
      <c r="DJ48" s="3"/>
      <c r="DK48" s="3"/>
    </row>
    <row r="49" spans="75:121">
      <c r="BW49" s="39"/>
      <c r="BX49" s="3">
        <v>2</v>
      </c>
      <c r="BY49" s="3">
        <v>2</v>
      </c>
      <c r="BZ49" s="69"/>
      <c r="CA49" s="72"/>
      <c r="CB49" s="72"/>
      <c r="CC49" s="3"/>
      <c r="CD49" s="73"/>
      <c r="CE49" s="73"/>
      <c r="CF49" s="73"/>
      <c r="CG49" s="73"/>
      <c r="CH49" s="73"/>
      <c r="CI49" s="73"/>
      <c r="CJ49" s="47"/>
      <c r="CK49" s="18">
        <v>0.58082083571041299</v>
      </c>
      <c r="CL49" s="18">
        <v>0.31695666818183099</v>
      </c>
      <c r="CM49" s="47"/>
      <c r="CN49" s="18">
        <v>3.0895659450658002</v>
      </c>
      <c r="CO49" s="18">
        <v>3.4449320489421802</v>
      </c>
      <c r="CP49" s="18"/>
      <c r="CQ49" s="72"/>
      <c r="CR49" s="72"/>
      <c r="CS49" s="72"/>
      <c r="CT49" s="18"/>
      <c r="CU49" s="72"/>
      <c r="CV49" s="72"/>
      <c r="CW49" s="72"/>
      <c r="CX49" s="72"/>
      <c r="CY49" s="72"/>
      <c r="CZ49" s="72"/>
      <c r="DA49" s="56"/>
      <c r="DB49" s="19">
        <v>32.042999999999999</v>
      </c>
      <c r="DC49" s="19">
        <v>26.113</v>
      </c>
      <c r="DD49" s="19">
        <v>24.163</v>
      </c>
      <c r="DH49" s="3"/>
      <c r="DI49" s="3"/>
      <c r="DJ49" s="3"/>
      <c r="DK49" s="3"/>
    </row>
    <row r="50" spans="75:121">
      <c r="BW50" s="39"/>
      <c r="BX50" s="3">
        <v>2</v>
      </c>
      <c r="BY50" s="3">
        <v>2</v>
      </c>
      <c r="BZ50" s="69"/>
      <c r="CA50" s="72"/>
      <c r="CB50" s="72"/>
      <c r="CC50" s="3"/>
      <c r="CD50" s="73"/>
      <c r="CE50" s="73"/>
      <c r="CF50" s="73"/>
      <c r="CG50" s="73"/>
      <c r="CH50" s="73"/>
      <c r="CI50" s="73"/>
      <c r="CJ50" s="47"/>
      <c r="CK50" s="18">
        <v>0.70672945503259998</v>
      </c>
      <c r="CL50" s="18">
        <v>0.29077825132017998</v>
      </c>
      <c r="CM50" s="47"/>
      <c r="CN50" s="18">
        <v>2.78043609310842</v>
      </c>
      <c r="CO50" s="18">
        <v>3.58565963486374</v>
      </c>
      <c r="CP50" s="18"/>
      <c r="CQ50" s="72"/>
      <c r="CR50" s="72"/>
      <c r="CS50" s="72"/>
      <c r="CT50" s="18"/>
      <c r="CU50" s="72"/>
      <c r="CV50" s="72"/>
      <c r="CW50" s="72"/>
      <c r="CX50" s="72"/>
      <c r="CY50" s="72"/>
      <c r="CZ50" s="72"/>
      <c r="DA50" s="56"/>
      <c r="DB50" s="19">
        <v>27.516999999999999</v>
      </c>
      <c r="DC50" s="19">
        <v>16.053000000000001</v>
      </c>
      <c r="DD50" s="19">
        <v>21.474</v>
      </c>
      <c r="DH50" s="3"/>
      <c r="DI50" s="3"/>
      <c r="DJ50" s="3"/>
      <c r="DK50" s="3"/>
    </row>
    <row r="51" spans="75:121">
      <c r="BW51" s="39"/>
      <c r="BX51" s="3">
        <v>2</v>
      </c>
      <c r="BY51" s="3">
        <v>2</v>
      </c>
      <c r="BZ51" s="69"/>
      <c r="CA51" s="72"/>
      <c r="CB51" s="72"/>
      <c r="CC51" s="3"/>
      <c r="CD51" s="73"/>
      <c r="CE51" s="73"/>
      <c r="CF51" s="73"/>
      <c r="CG51" s="73"/>
      <c r="CH51" s="73"/>
      <c r="CI51" s="73"/>
      <c r="CJ51" s="47"/>
      <c r="CK51" s="18">
        <v>1.0174943794592699</v>
      </c>
      <c r="CL51" s="18">
        <v>0.31243283680921902</v>
      </c>
      <c r="CM51" s="47"/>
      <c r="CN51" s="18">
        <v>3.3510275521961099</v>
      </c>
      <c r="CO51" s="18">
        <v>2.8415907641390699</v>
      </c>
      <c r="CP51" s="18"/>
      <c r="CQ51" s="72"/>
      <c r="CR51" s="72"/>
      <c r="CS51" s="72"/>
      <c r="CT51" s="18"/>
      <c r="CU51" s="72"/>
      <c r="CV51" s="72"/>
      <c r="CW51" s="72"/>
      <c r="CX51" s="72"/>
      <c r="CY51" s="72"/>
      <c r="CZ51" s="72"/>
      <c r="DA51" s="56"/>
      <c r="DB51" s="19">
        <v>32.722999999999999</v>
      </c>
      <c r="DC51" s="19">
        <v>15.923</v>
      </c>
      <c r="DD51" s="19">
        <v>11.175000000000001</v>
      </c>
      <c r="DH51" s="3"/>
      <c r="DI51" s="3"/>
      <c r="DJ51" s="3"/>
      <c r="DK51" s="3"/>
    </row>
    <row r="52" spans="75:121">
      <c r="BW52" s="39"/>
      <c r="BX52" s="3">
        <v>2</v>
      </c>
      <c r="BY52" s="3">
        <v>2</v>
      </c>
      <c r="BZ52" s="69"/>
      <c r="CA52" s="72"/>
      <c r="CB52" s="72"/>
      <c r="CC52" s="3"/>
      <c r="CD52" s="73"/>
      <c r="CE52" s="73"/>
      <c r="CF52" s="73"/>
      <c r="CG52" s="73"/>
      <c r="CH52" s="73"/>
      <c r="CI52" s="73"/>
      <c r="CJ52" s="47"/>
      <c r="CK52" s="18">
        <v>2.5631581304028099</v>
      </c>
      <c r="CL52" s="18">
        <v>0.50863147764689498</v>
      </c>
      <c r="CM52" s="47"/>
      <c r="CN52" s="18">
        <v>4.2188508989418603</v>
      </c>
      <c r="CO52" s="18">
        <v>3.10880878604166</v>
      </c>
      <c r="CP52" s="18"/>
      <c r="CQ52" s="72"/>
      <c r="CR52" s="72"/>
      <c r="CS52" s="72"/>
      <c r="CT52" s="18"/>
      <c r="CU52" s="72"/>
      <c r="CV52" s="72"/>
      <c r="CW52" s="72"/>
      <c r="CX52" s="72"/>
      <c r="CY52" s="72"/>
      <c r="CZ52" s="72"/>
      <c r="DA52" s="22" t="s">
        <v>72</v>
      </c>
      <c r="DB52" s="35">
        <f>AVERAGE(DB46:DB51)</f>
        <v>31.956500000000005</v>
      </c>
      <c r="DC52" s="35">
        <f>AVERAGE(DC46:DC51)</f>
        <v>20.413166666666665</v>
      </c>
      <c r="DD52" s="35">
        <f>AVERAGE(DD46:DD51)</f>
        <v>21.488333333333333</v>
      </c>
      <c r="DH52" s="3"/>
      <c r="DI52" s="3"/>
      <c r="DJ52" s="3"/>
      <c r="DK52" s="3"/>
    </row>
    <row r="53" spans="75:121">
      <c r="BW53" s="39"/>
      <c r="BX53" s="3">
        <v>2</v>
      </c>
      <c r="BY53" s="3">
        <v>2</v>
      </c>
      <c r="BZ53" s="3"/>
      <c r="CA53" s="73"/>
      <c r="CB53" s="73"/>
      <c r="CC53" s="3"/>
      <c r="CD53" s="73"/>
      <c r="CE53" s="73"/>
      <c r="CF53" s="73"/>
      <c r="CG53" s="73"/>
      <c r="CH53" s="73"/>
      <c r="CI53" s="73"/>
      <c r="CJ53" s="47"/>
      <c r="CK53" s="18">
        <v>0.73283357474092903</v>
      </c>
      <c r="CL53" s="18">
        <v>0.495388173572822</v>
      </c>
      <c r="CM53" s="47"/>
      <c r="CN53" s="18">
        <v>3.4119956182422602</v>
      </c>
      <c r="CO53" s="18">
        <v>3.7227938724536198</v>
      </c>
      <c r="CP53" s="18"/>
      <c r="CQ53" s="72"/>
      <c r="CR53" s="72"/>
      <c r="CS53" s="72"/>
      <c r="CT53" s="18"/>
      <c r="CU53" s="72"/>
      <c r="CV53" s="72"/>
      <c r="CW53" s="72"/>
      <c r="CX53" s="72"/>
      <c r="CY53" s="72"/>
      <c r="CZ53" s="72"/>
      <c r="DH53" s="3"/>
      <c r="DI53" s="3"/>
      <c r="DJ53" s="3"/>
      <c r="DK53" s="3"/>
    </row>
    <row r="54" spans="75:121">
      <c r="BW54" s="39"/>
      <c r="BX54" s="3">
        <v>2</v>
      </c>
      <c r="BY54" s="3">
        <v>2</v>
      </c>
      <c r="BZ54" s="3"/>
      <c r="CA54" s="73"/>
      <c r="CB54" s="73"/>
      <c r="CC54" s="3"/>
      <c r="CD54" s="73"/>
      <c r="CE54" s="73"/>
      <c r="CF54" s="73"/>
      <c r="CG54" s="73"/>
      <c r="CH54" s="73"/>
      <c r="CI54" s="73"/>
      <c r="CJ54" s="47"/>
      <c r="CK54" s="18">
        <v>0.76477076438707603</v>
      </c>
      <c r="CL54" s="18">
        <v>0.38150488256730603</v>
      </c>
      <c r="CM54" s="47"/>
      <c r="CN54" s="18">
        <v>2.95635408464537</v>
      </c>
      <c r="CO54" s="18">
        <v>3.4510264350475301</v>
      </c>
      <c r="CP54" s="18"/>
      <c r="CQ54" s="72"/>
      <c r="CR54" s="72"/>
      <c r="CS54" s="72"/>
      <c r="CT54" s="18"/>
      <c r="CU54" s="72"/>
      <c r="CV54" s="72"/>
      <c r="CW54" s="72"/>
      <c r="CX54" s="72"/>
      <c r="CY54" s="72"/>
      <c r="CZ54" s="72"/>
      <c r="DH54" s="3"/>
      <c r="DI54" s="3"/>
      <c r="DJ54" s="3"/>
      <c r="DK54" s="3"/>
    </row>
    <row r="55" spans="75:121">
      <c r="BW55" s="39"/>
      <c r="BX55" s="3">
        <v>2</v>
      </c>
      <c r="BY55" s="3">
        <v>3</v>
      </c>
      <c r="BZ55" s="3"/>
      <c r="CA55" s="73"/>
      <c r="CB55" s="73"/>
      <c r="CC55" s="3"/>
      <c r="CD55" s="73"/>
      <c r="CE55" s="73"/>
      <c r="CF55" s="73"/>
      <c r="CG55" s="73"/>
      <c r="CH55" s="73"/>
      <c r="CI55" s="73"/>
      <c r="CJ55" s="47"/>
      <c r="CK55" s="18">
        <v>1.38377340195843</v>
      </c>
      <c r="CL55" s="18">
        <v>0.40315862974286398</v>
      </c>
      <c r="CM55" s="47"/>
      <c r="CN55" s="18">
        <v>3.1323629723652999</v>
      </c>
      <c r="CO55" s="18">
        <v>3.75802595517606</v>
      </c>
      <c r="CP55" s="18"/>
      <c r="CQ55" s="72"/>
      <c r="CR55" s="72"/>
      <c r="CS55" s="72"/>
      <c r="CT55" s="18"/>
      <c r="CU55" s="72"/>
      <c r="CV55" s="72"/>
      <c r="CW55" s="72"/>
      <c r="CX55" s="72"/>
      <c r="CY55" s="72"/>
      <c r="CZ55" s="72"/>
      <c r="DH55" s="3"/>
      <c r="DI55" s="3"/>
      <c r="DJ55" s="3"/>
      <c r="DK55" s="3"/>
    </row>
    <row r="56" spans="75:121">
      <c r="BW56" s="39"/>
      <c r="BX56" s="3">
        <v>2</v>
      </c>
      <c r="BY56" s="3">
        <v>2</v>
      </c>
      <c r="BZ56" s="3"/>
      <c r="CA56" s="73"/>
      <c r="CB56" s="73"/>
      <c r="CC56" s="3"/>
      <c r="CD56" s="73"/>
      <c r="CE56" s="73"/>
      <c r="CF56" s="73"/>
      <c r="CG56" s="73"/>
      <c r="CH56" s="73"/>
      <c r="CI56" s="73"/>
      <c r="CJ56" s="47"/>
      <c r="CK56" s="18">
        <v>0.88494951674500999</v>
      </c>
      <c r="CL56" s="18">
        <v>0.57123993120148797</v>
      </c>
      <c r="CM56" s="47"/>
      <c r="CN56" s="18">
        <v>2.7401720247994499</v>
      </c>
      <c r="CO56" s="18">
        <v>3.4654913092517301</v>
      </c>
      <c r="CP56" s="18"/>
      <c r="CQ56" s="72"/>
      <c r="CR56" s="72"/>
      <c r="CS56" s="72"/>
      <c r="CT56" s="18"/>
      <c r="CU56" s="72"/>
      <c r="CV56" s="72"/>
      <c r="CW56" s="72"/>
      <c r="CX56" s="72"/>
      <c r="CY56" s="72"/>
      <c r="CZ56" s="72"/>
      <c r="DH56" s="3"/>
      <c r="DI56" s="3"/>
      <c r="DJ56" s="3"/>
      <c r="DK56" s="3"/>
    </row>
    <row r="57" spans="75:121">
      <c r="BW57" s="39"/>
      <c r="BX57" s="3">
        <v>2</v>
      </c>
      <c r="BY57" s="3">
        <v>2</v>
      </c>
      <c r="BZ57" s="3"/>
      <c r="CA57" s="73"/>
      <c r="CB57" s="73"/>
      <c r="CC57" s="3"/>
      <c r="CD57" s="73"/>
      <c r="CE57" s="73"/>
      <c r="CF57" s="73"/>
      <c r="CG57" s="73"/>
      <c r="CH57" s="73"/>
      <c r="CI57" s="73"/>
      <c r="CJ57" s="47"/>
      <c r="CK57" s="18">
        <v>0.79052183783693897</v>
      </c>
      <c r="CL57" s="18">
        <v>0.47964447457623599</v>
      </c>
      <c r="CM57" s="47"/>
      <c r="CN57" s="18">
        <v>3.22868018512359</v>
      </c>
      <c r="CO57" s="18">
        <v>3.47592793853349</v>
      </c>
      <c r="CP57" s="18"/>
      <c r="CQ57" s="72"/>
      <c r="CR57" s="72"/>
      <c r="CS57" s="72"/>
      <c r="CT57" s="18"/>
      <c r="CU57" s="72"/>
      <c r="CV57" s="72"/>
      <c r="CW57" s="72"/>
      <c r="CX57" s="72"/>
      <c r="CY57" s="72"/>
      <c r="CZ57" s="72"/>
      <c r="DA57" s="20"/>
      <c r="DB57" s="20"/>
      <c r="DC57" s="20"/>
      <c r="DD57" s="20"/>
      <c r="DE57" s="20"/>
      <c r="DF57" s="20"/>
      <c r="DG57" s="20"/>
      <c r="DH57" s="3"/>
      <c r="DI57" s="3"/>
      <c r="DJ57" s="3"/>
      <c r="DK57" s="3"/>
      <c r="DP57" s="20"/>
      <c r="DQ57" s="20"/>
    </row>
    <row r="58" spans="75:121">
      <c r="BW58" s="39"/>
      <c r="BX58" s="3">
        <v>2</v>
      </c>
      <c r="BY58" s="3">
        <v>2</v>
      </c>
      <c r="BZ58" s="3"/>
      <c r="CA58" s="73"/>
      <c r="CB58" s="73"/>
      <c r="CC58" s="3"/>
      <c r="CD58" s="73"/>
      <c r="CE58" s="73"/>
      <c r="CF58" s="73"/>
      <c r="CG58" s="73"/>
      <c r="CH58" s="73"/>
      <c r="CI58" s="73"/>
      <c r="CJ58" s="47"/>
      <c r="CK58" s="18">
        <v>0.32504095549520101</v>
      </c>
      <c r="CL58" s="18">
        <v>0.32607708492313098</v>
      </c>
      <c r="CM58" s="47"/>
      <c r="CN58" s="18">
        <v>3.7511530390951902</v>
      </c>
      <c r="CO58" s="18">
        <v>1.9951588581653701</v>
      </c>
      <c r="CP58" s="18"/>
      <c r="CQ58" s="72"/>
      <c r="CR58" s="72"/>
      <c r="CS58" s="72"/>
      <c r="CT58" s="18"/>
      <c r="CU58" s="72"/>
      <c r="CV58" s="72"/>
      <c r="CW58" s="72"/>
      <c r="CX58" s="72"/>
      <c r="CY58" s="72"/>
      <c r="CZ58" s="72"/>
      <c r="DH58" s="3"/>
      <c r="DI58" s="3"/>
      <c r="DJ58" s="3"/>
      <c r="DK58" s="3"/>
    </row>
    <row r="59" spans="75:121">
      <c r="BW59" s="39"/>
      <c r="BX59" s="3">
        <v>2</v>
      </c>
      <c r="BY59" s="3">
        <v>2</v>
      </c>
      <c r="BZ59" s="3"/>
      <c r="CA59" s="73"/>
      <c r="CB59" s="73"/>
      <c r="CC59" s="3"/>
      <c r="CD59" s="73"/>
      <c r="CE59" s="73"/>
      <c r="CF59" s="73"/>
      <c r="CG59" s="73"/>
      <c r="CH59" s="73"/>
      <c r="CI59" s="73"/>
      <c r="CJ59" s="47"/>
      <c r="CK59" s="18">
        <v>0.20213558088984901</v>
      </c>
      <c r="CL59" s="18">
        <v>0.46696638427307902</v>
      </c>
      <c r="CM59" s="47"/>
      <c r="CN59" s="18">
        <v>2.13316893348604</v>
      </c>
      <c r="CO59" s="18">
        <v>3.8889769830838898</v>
      </c>
      <c r="CP59" s="18"/>
      <c r="CQ59" s="72"/>
      <c r="CR59" s="72"/>
      <c r="CS59" s="72"/>
      <c r="CT59" s="18"/>
      <c r="CU59" s="72"/>
      <c r="CV59" s="72"/>
      <c r="CW59" s="72"/>
      <c r="CX59" s="72"/>
      <c r="CY59" s="72"/>
      <c r="CZ59" s="72"/>
      <c r="DH59" s="3"/>
      <c r="DI59" s="3"/>
      <c r="DJ59" s="3"/>
      <c r="DK59" s="3"/>
    </row>
    <row r="60" spans="75:121">
      <c r="BW60" s="39"/>
      <c r="BX60" s="3">
        <v>2</v>
      </c>
      <c r="BY60" s="3">
        <v>2</v>
      </c>
      <c r="BZ60" s="3"/>
      <c r="CA60" s="73"/>
      <c r="CB60" s="73"/>
      <c r="CC60" s="3"/>
      <c r="CD60" s="73"/>
      <c r="CE60" s="73"/>
      <c r="CF60" s="73"/>
      <c r="CG60" s="73"/>
      <c r="CH60" s="73"/>
      <c r="CI60" s="73"/>
      <c r="CJ60" s="47"/>
      <c r="CK60" s="18">
        <v>0.50994914630431099</v>
      </c>
      <c r="CL60" s="18">
        <v>0.24403458239369299</v>
      </c>
      <c r="CM60" s="47"/>
      <c r="CN60" s="18">
        <v>3.9055049431496198</v>
      </c>
      <c r="CO60" s="18">
        <v>3.3994172198450801</v>
      </c>
      <c r="CP60" s="18"/>
      <c r="CQ60" s="72"/>
      <c r="CR60" s="72"/>
      <c r="CS60" s="72"/>
      <c r="CT60" s="18"/>
      <c r="CU60" s="72"/>
      <c r="CV60" s="72"/>
      <c r="CW60" s="72"/>
      <c r="CX60" s="72"/>
      <c r="CY60" s="72"/>
      <c r="CZ60" s="72"/>
      <c r="DH60" s="3"/>
      <c r="DI60" s="3"/>
      <c r="DJ60" s="3"/>
      <c r="DK60" s="3"/>
    </row>
    <row r="61" spans="75:121">
      <c r="BW61" s="39"/>
      <c r="BX61" s="3">
        <v>2</v>
      </c>
      <c r="BY61" s="3">
        <v>2</v>
      </c>
      <c r="BZ61" s="3"/>
      <c r="CA61" s="73"/>
      <c r="CB61" s="73"/>
      <c r="CC61" s="3"/>
      <c r="CD61" s="73"/>
      <c r="CE61" s="73"/>
      <c r="CF61" s="73"/>
      <c r="CG61" s="73"/>
      <c r="CH61" s="73"/>
      <c r="CI61" s="73"/>
      <c r="CJ61" s="47"/>
      <c r="CK61" s="18">
        <v>0.673646872254548</v>
      </c>
      <c r="CL61" s="18">
        <v>1.0301948038858399</v>
      </c>
      <c r="CM61" s="47"/>
      <c r="CN61" s="18">
        <v>4.3561297213377204</v>
      </c>
      <c r="CO61" s="18">
        <v>3.7827125892586801</v>
      </c>
      <c r="CP61" s="18"/>
      <c r="CQ61" s="72"/>
      <c r="CR61" s="72"/>
      <c r="CS61" s="72"/>
      <c r="CT61" s="18"/>
      <c r="CU61" s="72"/>
      <c r="CV61" s="72"/>
      <c r="CW61" s="72"/>
      <c r="CX61" s="72"/>
      <c r="CY61" s="72"/>
      <c r="CZ61" s="72"/>
      <c r="DH61" s="3"/>
      <c r="DI61" s="3"/>
      <c r="DJ61" s="3"/>
      <c r="DK61" s="3"/>
    </row>
    <row r="62" spans="75:121">
      <c r="BW62" s="39"/>
      <c r="BX62" s="3">
        <v>2</v>
      </c>
      <c r="BY62" s="3">
        <v>2</v>
      </c>
      <c r="BZ62" s="3"/>
      <c r="CA62" s="73"/>
      <c r="CB62" s="73"/>
      <c r="CC62" s="3"/>
      <c r="CD62" s="73"/>
      <c r="CE62" s="73"/>
      <c r="CF62" s="73"/>
      <c r="CG62" s="73"/>
      <c r="CH62" s="73"/>
      <c r="CI62" s="73"/>
      <c r="CJ62" s="47"/>
      <c r="CK62" s="18">
        <v>0.78316326606161701</v>
      </c>
      <c r="CL62" s="18">
        <v>4.2951719919885303</v>
      </c>
      <c r="CM62" s="47"/>
      <c r="CN62" s="18">
        <v>3.6364042121037699</v>
      </c>
      <c r="CO62" s="18">
        <v>3.8429285627926602</v>
      </c>
      <c r="CP62" s="18"/>
      <c r="CQ62" s="72"/>
      <c r="CR62" s="72"/>
      <c r="CS62" s="72"/>
      <c r="CT62" s="18"/>
      <c r="CU62" s="72"/>
      <c r="CV62" s="72"/>
      <c r="CW62" s="72"/>
      <c r="CX62" s="72"/>
      <c r="CY62" s="72"/>
      <c r="CZ62" s="72"/>
      <c r="DH62" s="3"/>
      <c r="DI62" s="3"/>
      <c r="DJ62" s="3"/>
      <c r="DK62" s="3"/>
    </row>
    <row r="63" spans="75:121">
      <c r="BW63" s="39"/>
      <c r="BX63" s="3">
        <v>2</v>
      </c>
      <c r="BY63" s="3">
        <v>2</v>
      </c>
      <c r="BZ63" s="3"/>
      <c r="CA63" s="73"/>
      <c r="CB63" s="73"/>
      <c r="CC63" s="3"/>
      <c r="CD63" s="73"/>
      <c r="CE63" s="73"/>
      <c r="CF63" s="73"/>
      <c r="CG63" s="73"/>
      <c r="CH63" s="73"/>
      <c r="CI63" s="73"/>
      <c r="CJ63" s="47"/>
      <c r="CK63" s="18">
        <v>0.23719657363039401</v>
      </c>
      <c r="CL63" s="18">
        <v>0.93100220151805302</v>
      </c>
      <c r="CM63" s="47"/>
      <c r="CN63" s="18">
        <v>3.4711614422075399</v>
      </c>
      <c r="CO63" s="18">
        <v>3.3820446709047798</v>
      </c>
      <c r="CP63" s="18"/>
      <c r="CQ63" s="72"/>
      <c r="CR63" s="72"/>
      <c r="CS63" s="72"/>
      <c r="CT63" s="18"/>
      <c r="CU63" s="72"/>
      <c r="CV63" s="72"/>
      <c r="CW63" s="72"/>
      <c r="CX63" s="72"/>
      <c r="CY63" s="72"/>
      <c r="CZ63" s="72"/>
      <c r="DH63" s="3"/>
      <c r="DI63" s="3"/>
      <c r="DJ63" s="3"/>
      <c r="DK63" s="3"/>
    </row>
    <row r="64" spans="75:121">
      <c r="BW64" s="39"/>
      <c r="BX64" s="3">
        <v>3</v>
      </c>
      <c r="BY64" s="3">
        <v>2</v>
      </c>
      <c r="BZ64" s="3"/>
      <c r="CA64" s="73"/>
      <c r="CB64" s="73"/>
      <c r="CC64" s="3"/>
      <c r="CD64" s="73"/>
      <c r="CE64" s="73"/>
      <c r="CF64" s="73"/>
      <c r="CG64" s="73"/>
      <c r="CH64" s="73"/>
      <c r="CI64" s="73"/>
      <c r="CJ64" s="47"/>
      <c r="CK64" s="18">
        <v>0.261109528909302</v>
      </c>
      <c r="CL64" s="18">
        <v>0.24768451276238301</v>
      </c>
      <c r="CM64" s="47"/>
      <c r="CN64" s="18">
        <v>2.9454016961913001</v>
      </c>
      <c r="CO64" s="18">
        <v>3.4831579518080802</v>
      </c>
      <c r="CP64" s="18"/>
      <c r="CQ64" s="72"/>
      <c r="CR64" s="72"/>
      <c r="CS64" s="72"/>
      <c r="CT64" s="18"/>
      <c r="CU64" s="72"/>
      <c r="CV64" s="72"/>
      <c r="CW64" s="72"/>
      <c r="CX64" s="72"/>
      <c r="CY64" s="72"/>
      <c r="CZ64" s="72"/>
      <c r="DH64" s="3"/>
      <c r="DI64" s="3"/>
      <c r="DJ64" s="3"/>
      <c r="DK64" s="3"/>
    </row>
    <row r="65" spans="75:115">
      <c r="BW65" s="39"/>
      <c r="BX65" s="3">
        <v>2</v>
      </c>
      <c r="BY65" s="3">
        <v>2</v>
      </c>
      <c r="BZ65" s="3"/>
      <c r="CA65" s="73"/>
      <c r="CB65" s="73"/>
      <c r="CC65" s="3"/>
      <c r="CD65" s="73"/>
      <c r="CE65" s="73"/>
      <c r="CF65" s="73"/>
      <c r="CG65" s="73"/>
      <c r="CH65" s="73"/>
      <c r="CI65" s="73"/>
      <c r="CJ65" s="47"/>
      <c r="CK65" s="18">
        <v>0.12789736448606401</v>
      </c>
      <c r="CL65" s="18">
        <v>0.56218135647186696</v>
      </c>
      <c r="CM65" s="47"/>
      <c r="CN65" s="18">
        <v>1.3766237874230101</v>
      </c>
      <c r="CO65" s="18">
        <v>3.5459436652115799</v>
      </c>
      <c r="CP65" s="18"/>
      <c r="CQ65" s="72"/>
      <c r="CR65" s="72"/>
      <c r="CS65" s="72"/>
      <c r="CT65" s="18"/>
      <c r="CU65" s="72"/>
      <c r="CV65" s="72"/>
      <c r="CW65" s="72"/>
      <c r="CX65" s="72"/>
      <c r="CY65" s="72"/>
      <c r="CZ65" s="72"/>
      <c r="DH65" s="3"/>
      <c r="DI65" s="3"/>
      <c r="DJ65" s="3"/>
      <c r="DK65" s="3"/>
    </row>
    <row r="66" spans="75:115">
      <c r="BW66" s="39"/>
      <c r="BX66" s="3">
        <v>2</v>
      </c>
      <c r="BY66" s="3">
        <v>3</v>
      </c>
      <c r="BZ66" s="3"/>
      <c r="CA66" s="73"/>
      <c r="CB66" s="73"/>
      <c r="CC66" s="3"/>
      <c r="CD66" s="73"/>
      <c r="CE66" s="73"/>
      <c r="CF66" s="73"/>
      <c r="CG66" s="73"/>
      <c r="CH66" s="73"/>
      <c r="CI66" s="73"/>
      <c r="CJ66" s="47"/>
      <c r="CK66" s="18">
        <v>0.243303486918138</v>
      </c>
      <c r="CL66" s="18">
        <v>0.42406212541589999</v>
      </c>
      <c r="CM66" s="47"/>
      <c r="CN66" s="18">
        <v>2.8160876586002099</v>
      </c>
      <c r="CO66" s="18">
        <v>3.0383132593639899</v>
      </c>
      <c r="CP66" s="18"/>
      <c r="CQ66" s="72"/>
      <c r="CR66" s="72"/>
      <c r="CS66" s="72"/>
      <c r="CT66" s="18"/>
      <c r="CU66" s="72"/>
      <c r="CV66" s="72"/>
      <c r="CW66" s="72"/>
      <c r="CX66" s="72"/>
      <c r="CY66" s="72"/>
      <c r="CZ66" s="72"/>
      <c r="DH66" s="3"/>
      <c r="DI66" s="3"/>
      <c r="DJ66" s="3"/>
      <c r="DK66" s="3"/>
    </row>
    <row r="67" spans="75:115">
      <c r="BW67" s="39"/>
      <c r="BX67" s="3">
        <v>2</v>
      </c>
      <c r="BY67" s="3">
        <v>2</v>
      </c>
      <c r="BZ67" s="3"/>
      <c r="CA67" s="73"/>
      <c r="CB67" s="73"/>
      <c r="CC67" s="3"/>
      <c r="CD67" s="73"/>
      <c r="CE67" s="73"/>
      <c r="CF67" s="73"/>
      <c r="CG67" s="73"/>
      <c r="CH67" s="73"/>
      <c r="CI67" s="73"/>
      <c r="CJ67" s="47"/>
      <c r="CK67" s="18">
        <v>0.40053792958372902</v>
      </c>
      <c r="CL67" s="18">
        <v>0.51853513898217996</v>
      </c>
      <c r="CM67" s="47"/>
      <c r="CN67" s="18">
        <v>2.76790899523226</v>
      </c>
      <c r="CO67" s="18">
        <v>3.7563081242714098</v>
      </c>
      <c r="CP67" s="18"/>
      <c r="CQ67" s="72"/>
      <c r="CR67" s="72"/>
      <c r="CS67" s="72"/>
      <c r="CT67" s="18"/>
      <c r="CU67" s="72"/>
      <c r="CV67" s="72"/>
      <c r="CW67" s="72"/>
      <c r="CX67" s="72"/>
      <c r="CY67" s="72"/>
      <c r="CZ67" s="72"/>
      <c r="DH67" s="3"/>
      <c r="DI67" s="3"/>
      <c r="DJ67" s="3"/>
      <c r="DK67" s="3"/>
    </row>
    <row r="68" spans="75:115">
      <c r="BW68" s="39"/>
      <c r="BX68" s="3">
        <v>2</v>
      </c>
      <c r="BY68" s="3">
        <v>2</v>
      </c>
      <c r="BZ68" s="3"/>
      <c r="CA68" s="73"/>
      <c r="CB68" s="73"/>
      <c r="CC68" s="3"/>
      <c r="CD68" s="73"/>
      <c r="CE68" s="73"/>
      <c r="CF68" s="73"/>
      <c r="CG68" s="73"/>
      <c r="CH68" s="73"/>
      <c r="CI68" s="73"/>
      <c r="CJ68" s="47"/>
      <c r="CK68" s="18">
        <v>0.21101219348551201</v>
      </c>
      <c r="CL68" s="18">
        <v>0.44763208998955401</v>
      </c>
      <c r="CM68" s="47"/>
      <c r="CN68" s="18">
        <v>2.4743581628753999</v>
      </c>
      <c r="CO68" s="18">
        <v>3.16494714061113</v>
      </c>
      <c r="CP68" s="18"/>
      <c r="CQ68" s="72"/>
      <c r="CR68" s="72"/>
      <c r="CS68" s="72"/>
      <c r="CT68" s="18"/>
      <c r="CU68" s="72"/>
      <c r="CV68" s="72"/>
      <c r="CW68" s="72"/>
      <c r="CX68" s="72"/>
      <c r="CY68" s="72"/>
      <c r="CZ68" s="72"/>
      <c r="DH68" s="3"/>
      <c r="DI68" s="3"/>
      <c r="DJ68" s="3"/>
      <c r="DK68" s="3"/>
    </row>
    <row r="69" spans="75:115">
      <c r="BW69" s="39"/>
      <c r="BX69" s="3">
        <v>2</v>
      </c>
      <c r="BY69" s="3">
        <v>2</v>
      </c>
      <c r="BZ69" s="3"/>
      <c r="CA69" s="73"/>
      <c r="CB69" s="73"/>
      <c r="CC69" s="3"/>
      <c r="CD69" s="73"/>
      <c r="CE69" s="73"/>
      <c r="CF69" s="73"/>
      <c r="CG69" s="73"/>
      <c r="CH69" s="73"/>
      <c r="CI69" s="73"/>
      <c r="CJ69" s="47"/>
      <c r="CK69" s="18">
        <v>1.83353781595078</v>
      </c>
      <c r="CL69" s="18">
        <v>0.68858322724614796</v>
      </c>
      <c r="CM69" s="47"/>
      <c r="CN69" s="18">
        <v>2.39824090526447</v>
      </c>
      <c r="CO69" s="18">
        <v>2.6298927949533302</v>
      </c>
      <c r="CP69" s="18"/>
      <c r="CQ69" s="72"/>
      <c r="CR69" s="72"/>
      <c r="CS69" s="72"/>
      <c r="CT69" s="18"/>
      <c r="CU69" s="72"/>
      <c r="CV69" s="72"/>
      <c r="CW69" s="72"/>
      <c r="CX69" s="72"/>
      <c r="CY69" s="72"/>
      <c r="CZ69" s="72"/>
      <c r="DH69" s="3"/>
      <c r="DI69" s="3"/>
      <c r="DJ69" s="3"/>
      <c r="DK69" s="3"/>
    </row>
    <row r="70" spans="75:115">
      <c r="BW70" s="39"/>
      <c r="BX70" s="3">
        <v>2</v>
      </c>
      <c r="BY70" s="3">
        <v>2</v>
      </c>
      <c r="BZ70" s="3"/>
      <c r="CA70" s="73"/>
      <c r="CB70" s="73"/>
      <c r="CC70" s="3"/>
      <c r="CD70" s="73"/>
      <c r="CE70" s="73"/>
      <c r="CF70" s="73"/>
      <c r="CG70" s="73"/>
      <c r="CH70" s="73"/>
      <c r="CI70" s="73"/>
      <c r="CJ70" s="47"/>
      <c r="CK70" s="18">
        <v>0.20075543159558701</v>
      </c>
      <c r="CL70" s="18">
        <v>0.48748634934853602</v>
      </c>
      <c r="CM70" s="47"/>
      <c r="CN70" s="18">
        <v>2.6727195086148399</v>
      </c>
      <c r="CO70" s="18">
        <v>3.5426542721020402</v>
      </c>
      <c r="CP70" s="18"/>
      <c r="CQ70" s="72"/>
      <c r="CR70" s="72"/>
      <c r="CS70" s="72"/>
      <c r="CT70" s="18"/>
      <c r="CU70" s="72"/>
      <c r="CV70" s="72"/>
      <c r="CW70" s="72"/>
      <c r="CX70" s="72"/>
      <c r="CY70" s="72"/>
      <c r="CZ70" s="72"/>
      <c r="DH70" s="3"/>
      <c r="DI70" s="3"/>
      <c r="DJ70" s="3"/>
      <c r="DK70" s="3"/>
    </row>
    <row r="71" spans="75:115">
      <c r="BW71" s="39"/>
      <c r="BX71" s="3">
        <v>2</v>
      </c>
      <c r="BY71" s="3">
        <v>2</v>
      </c>
      <c r="BZ71" s="3"/>
      <c r="CA71" s="73"/>
      <c r="CB71" s="73"/>
      <c r="CC71" s="3"/>
      <c r="CD71" s="73"/>
      <c r="CE71" s="73"/>
      <c r="CF71" s="73"/>
      <c r="CG71" s="73"/>
      <c r="CH71" s="73"/>
      <c r="CI71" s="73"/>
      <c r="CJ71" s="47"/>
      <c r="CK71" s="18">
        <v>0.59817461214800705</v>
      </c>
      <c r="CL71" s="18">
        <v>0.827981572647562</v>
      </c>
      <c r="CM71" s="47"/>
      <c r="CN71" s="18">
        <v>2.70968765312004</v>
      </c>
      <c r="CO71" s="18">
        <v>3.2803476412452302</v>
      </c>
      <c r="CP71" s="18"/>
      <c r="CQ71" s="72"/>
      <c r="CR71" s="72"/>
      <c r="CS71" s="72"/>
      <c r="CT71" s="18"/>
      <c r="CU71" s="72"/>
      <c r="CV71" s="72"/>
      <c r="CW71" s="72"/>
      <c r="CX71" s="72"/>
      <c r="CY71" s="72"/>
      <c r="CZ71" s="72"/>
      <c r="DH71" s="3"/>
      <c r="DI71" s="3"/>
      <c r="DJ71" s="3"/>
      <c r="DK71" s="3"/>
    </row>
    <row r="72" spans="75:115">
      <c r="BW72" s="39"/>
      <c r="BX72" s="3">
        <v>2</v>
      </c>
      <c r="BY72" s="3">
        <v>2</v>
      </c>
      <c r="BZ72" s="3"/>
      <c r="CA72" s="73"/>
      <c r="CB72" s="73"/>
      <c r="CC72" s="3"/>
      <c r="CD72" s="73"/>
      <c r="CE72" s="73"/>
      <c r="CF72" s="73"/>
      <c r="CG72" s="73"/>
      <c r="CH72" s="73"/>
      <c r="CI72" s="73"/>
      <c r="CJ72" s="47"/>
      <c r="CK72" s="18">
        <v>0.15678490755436</v>
      </c>
      <c r="CL72" s="18">
        <v>1.05866283937856</v>
      </c>
      <c r="CM72" s="47"/>
      <c r="CN72" s="18">
        <v>2.6717689078506699</v>
      </c>
      <c r="CO72" s="18">
        <v>2.9132628321551999</v>
      </c>
      <c r="CP72" s="18"/>
      <c r="CQ72" s="72"/>
      <c r="CR72" s="72"/>
      <c r="CS72" s="72"/>
      <c r="CT72" s="18"/>
      <c r="CU72" s="72"/>
      <c r="CV72" s="72"/>
      <c r="CW72" s="72"/>
      <c r="CX72" s="72"/>
      <c r="CY72" s="72"/>
      <c r="CZ72" s="72"/>
      <c r="DH72" s="3"/>
      <c r="DI72" s="3"/>
      <c r="DJ72" s="3"/>
      <c r="DK72" s="3"/>
    </row>
    <row r="73" spans="75:115">
      <c r="BW73" s="39"/>
      <c r="BX73" s="3">
        <v>2</v>
      </c>
      <c r="BY73" s="3">
        <v>2</v>
      </c>
      <c r="BZ73" s="3"/>
      <c r="CA73" s="73"/>
      <c r="CB73" s="73"/>
      <c r="CC73" s="3"/>
      <c r="CD73" s="73"/>
      <c r="CE73" s="73"/>
      <c r="CF73" s="73"/>
      <c r="CG73" s="73"/>
      <c r="CH73" s="73"/>
      <c r="CI73" s="73"/>
      <c r="CJ73" s="47"/>
      <c r="CK73" s="18">
        <v>1.2982477341665799</v>
      </c>
      <c r="CL73" s="18">
        <v>0.39517250599577902</v>
      </c>
      <c r="CM73" s="47"/>
      <c r="CN73" s="18">
        <v>2.8334366160937798</v>
      </c>
      <c r="CO73" s="18">
        <v>3.0547443075280198</v>
      </c>
      <c r="CP73" s="18"/>
      <c r="CQ73" s="72"/>
      <c r="CR73" s="72"/>
      <c r="CS73" s="72"/>
      <c r="CT73" s="18"/>
      <c r="CU73" s="72"/>
      <c r="CV73" s="72"/>
      <c r="CW73" s="72"/>
      <c r="CX73" s="72"/>
      <c r="CY73" s="72"/>
      <c r="CZ73" s="72"/>
      <c r="DH73" s="3"/>
      <c r="DI73" s="3"/>
      <c r="DJ73" s="3"/>
      <c r="DK73" s="3"/>
    </row>
    <row r="74" spans="75:115">
      <c r="BW74" s="39"/>
      <c r="BX74" s="3">
        <v>2</v>
      </c>
      <c r="BY74" s="3">
        <v>2</v>
      </c>
      <c r="BZ74" s="3"/>
      <c r="CA74" s="73"/>
      <c r="CB74" s="73"/>
      <c r="CC74" s="3"/>
      <c r="CD74" s="73"/>
      <c r="CE74" s="73"/>
      <c r="CF74" s="73"/>
      <c r="CG74" s="73"/>
      <c r="CH74" s="73"/>
      <c r="CI74" s="73"/>
      <c r="CJ74" s="47"/>
      <c r="CK74" s="18">
        <v>0.48357074009155498</v>
      </c>
      <c r="CL74" s="18">
        <v>0.25059782304823403</v>
      </c>
      <c r="CM74" s="47"/>
      <c r="CN74" s="18">
        <v>3.2582475458897502</v>
      </c>
      <c r="CO74" s="18">
        <v>2.94375258042301</v>
      </c>
      <c r="CP74" s="18"/>
      <c r="CQ74" s="72"/>
      <c r="CR74" s="72"/>
      <c r="CS74" s="72"/>
      <c r="CT74" s="18"/>
      <c r="CU74" s="72"/>
      <c r="CV74" s="72"/>
      <c r="CW74" s="72"/>
      <c r="CX74" s="72"/>
      <c r="CY74" s="72"/>
      <c r="CZ74" s="72"/>
      <c r="DH74" s="3"/>
      <c r="DI74" s="3"/>
      <c r="DJ74" s="3"/>
      <c r="DK74" s="3"/>
    </row>
    <row r="75" spans="75:115">
      <c r="BW75" s="39"/>
      <c r="BX75" s="3">
        <v>2</v>
      </c>
      <c r="BY75" s="3">
        <v>2</v>
      </c>
      <c r="BZ75" s="3"/>
      <c r="CA75" s="73"/>
      <c r="CB75" s="73"/>
      <c r="CC75" s="3"/>
      <c r="CD75" s="73"/>
      <c r="CE75" s="73"/>
      <c r="CF75" s="73"/>
      <c r="CG75" s="73"/>
      <c r="CH75" s="73"/>
      <c r="CI75" s="73"/>
      <c r="CJ75" s="47"/>
      <c r="CK75" s="18">
        <v>0.288181352329059</v>
      </c>
      <c r="CL75" s="18">
        <v>0.45196276620527698</v>
      </c>
      <c r="CM75" s="47"/>
      <c r="CN75" s="18">
        <v>2.7321389277021</v>
      </c>
      <c r="CO75" s="18">
        <v>2.45541271081099</v>
      </c>
      <c r="CP75" s="18"/>
      <c r="CQ75" s="72"/>
      <c r="CR75" s="72"/>
      <c r="CS75" s="72"/>
      <c r="CT75" s="18"/>
      <c r="CU75" s="72"/>
      <c r="CV75" s="72"/>
      <c r="CW75" s="72"/>
      <c r="CX75" s="72"/>
      <c r="CY75" s="72"/>
      <c r="CZ75" s="72"/>
      <c r="DH75" s="3"/>
      <c r="DI75" s="3"/>
      <c r="DJ75" s="3"/>
      <c r="DK75" s="3"/>
    </row>
    <row r="76" spans="75:115">
      <c r="BW76" s="39"/>
      <c r="BX76" s="3">
        <v>2</v>
      </c>
      <c r="BY76" s="3">
        <v>2</v>
      </c>
      <c r="BZ76" s="3"/>
      <c r="CA76" s="73"/>
      <c r="CB76" s="73"/>
      <c r="CC76" s="3"/>
      <c r="CD76" s="73"/>
      <c r="CE76" s="73"/>
      <c r="CF76" s="73"/>
      <c r="CG76" s="73"/>
      <c r="CH76" s="73"/>
      <c r="CI76" s="73"/>
      <c r="CJ76" s="47"/>
      <c r="CK76" s="18">
        <v>0.83082320256150899</v>
      </c>
      <c r="CL76" s="18">
        <v>1.1959144849835801</v>
      </c>
      <c r="CM76" s="47"/>
      <c r="CN76" s="18">
        <v>2.8513592737457101</v>
      </c>
      <c r="CO76" s="18">
        <v>3.4202533205451902</v>
      </c>
      <c r="CP76" s="18"/>
      <c r="CQ76" s="72"/>
      <c r="CR76" s="72"/>
      <c r="CS76" s="72"/>
      <c r="CT76" s="18"/>
      <c r="CU76" s="72"/>
      <c r="CV76" s="72"/>
      <c r="CW76" s="72"/>
      <c r="CX76" s="72"/>
      <c r="CY76" s="72"/>
      <c r="CZ76" s="72"/>
      <c r="DH76" s="3"/>
      <c r="DI76" s="3"/>
      <c r="DJ76" s="3"/>
      <c r="DK76" s="3"/>
    </row>
    <row r="77" spans="75:115">
      <c r="BW77" s="39"/>
      <c r="BX77" s="3">
        <v>2</v>
      </c>
      <c r="BY77" s="3">
        <v>2</v>
      </c>
      <c r="BZ77" s="3"/>
      <c r="CA77" s="73"/>
      <c r="CB77" s="73"/>
      <c r="CC77" s="3"/>
      <c r="CD77" s="73"/>
      <c r="CE77" s="73"/>
      <c r="CF77" s="73"/>
      <c r="CG77" s="73"/>
      <c r="CH77" s="73"/>
      <c r="CI77" s="73"/>
      <c r="CJ77" s="47"/>
      <c r="CK77" s="18">
        <v>0.350270924228404</v>
      </c>
      <c r="CL77" s="18">
        <v>1.12455974176101</v>
      </c>
      <c r="CM77" s="47"/>
      <c r="CN77" s="18">
        <v>3.3541418095345499</v>
      </c>
      <c r="CO77" s="18">
        <v>3.4229124684475098</v>
      </c>
      <c r="CP77" s="18"/>
      <c r="CQ77" s="72"/>
      <c r="CR77" s="72"/>
      <c r="CS77" s="72"/>
      <c r="CT77" s="18"/>
      <c r="CU77" s="72"/>
      <c r="CV77" s="72"/>
      <c r="CW77" s="72"/>
      <c r="CX77" s="72"/>
      <c r="CY77" s="72"/>
      <c r="CZ77" s="72"/>
      <c r="DH77" s="3"/>
      <c r="DI77" s="3"/>
      <c r="DJ77" s="3"/>
      <c r="DK77" s="3"/>
    </row>
    <row r="78" spans="75:115">
      <c r="BW78" s="39"/>
      <c r="BX78" s="3">
        <v>2</v>
      </c>
      <c r="BY78" s="3">
        <v>2</v>
      </c>
      <c r="BZ78" s="3"/>
      <c r="CA78" s="73"/>
      <c r="CB78" s="73"/>
      <c r="CC78" s="3"/>
      <c r="CD78" s="73"/>
      <c r="CE78" s="73"/>
      <c r="CF78" s="73"/>
      <c r="CG78" s="73"/>
      <c r="CH78" s="73"/>
      <c r="CI78" s="73"/>
      <c r="CJ78" s="47"/>
      <c r="CK78" s="18">
        <v>0.25652762689220898</v>
      </c>
      <c r="CL78" s="18">
        <v>0.68194394730573904</v>
      </c>
      <c r="CM78" s="47"/>
      <c r="CN78" s="18">
        <v>2.8014897962893102</v>
      </c>
      <c r="CO78" s="18">
        <v>4.1220017344654396</v>
      </c>
      <c r="CP78" s="18"/>
      <c r="CQ78" s="72"/>
      <c r="CR78" s="72"/>
      <c r="CS78" s="72"/>
      <c r="CT78" s="18"/>
      <c r="CU78" s="72"/>
      <c r="CV78" s="72"/>
      <c r="CW78" s="72"/>
      <c r="CX78" s="72"/>
      <c r="CY78" s="72"/>
      <c r="CZ78" s="72"/>
      <c r="DH78" s="3"/>
      <c r="DI78" s="3"/>
      <c r="DJ78" s="3"/>
      <c r="DK78" s="3"/>
    </row>
    <row r="79" spans="75:115">
      <c r="BW79" s="39"/>
      <c r="BX79" s="3">
        <v>2</v>
      </c>
      <c r="BY79" s="3">
        <v>1</v>
      </c>
      <c r="BZ79" s="3"/>
      <c r="CA79" s="73"/>
      <c r="CB79" s="73"/>
      <c r="CC79" s="3"/>
      <c r="CD79" s="73"/>
      <c r="CE79" s="73"/>
      <c r="CF79" s="73"/>
      <c r="CG79" s="73"/>
      <c r="CH79" s="73"/>
      <c r="CI79" s="73"/>
      <c r="CJ79" s="47"/>
      <c r="CK79" s="18">
        <v>0.82448274761927398</v>
      </c>
      <c r="CL79" s="18">
        <v>0.193582525081649</v>
      </c>
      <c r="CM79" s="47"/>
      <c r="CN79" s="18">
        <v>4.02598554759631</v>
      </c>
      <c r="CO79" s="18">
        <v>2.9933845257252201</v>
      </c>
      <c r="CP79" s="18"/>
      <c r="CQ79" s="72"/>
      <c r="CR79" s="72"/>
      <c r="CS79" s="72"/>
      <c r="CT79" s="18"/>
      <c r="CU79" s="72"/>
      <c r="CV79" s="72"/>
      <c r="CW79" s="72"/>
      <c r="CX79" s="72"/>
      <c r="CY79" s="72"/>
      <c r="CZ79" s="72"/>
      <c r="DH79" s="3"/>
      <c r="DI79" s="3"/>
      <c r="DJ79" s="3"/>
      <c r="DK79" s="3"/>
    </row>
    <row r="80" spans="75:115">
      <c r="BW80" s="39"/>
      <c r="BX80" s="3">
        <v>2</v>
      </c>
      <c r="BY80" s="3">
        <v>2</v>
      </c>
      <c r="BZ80" s="3"/>
      <c r="CA80" s="73"/>
      <c r="CB80" s="73"/>
      <c r="CC80" s="3"/>
      <c r="CD80" s="73"/>
      <c r="CE80" s="73"/>
      <c r="CF80" s="73"/>
      <c r="CG80" s="73"/>
      <c r="CH80" s="73"/>
      <c r="CI80" s="73"/>
      <c r="CJ80" s="47"/>
      <c r="CK80" s="18">
        <v>0.2904244038653</v>
      </c>
      <c r="CL80" s="18">
        <v>0.68535712356801204</v>
      </c>
      <c r="CM80" s="47"/>
      <c r="CN80" s="18">
        <v>3.0593552776164201</v>
      </c>
      <c r="CO80" s="18">
        <v>2.5070842154442698</v>
      </c>
      <c r="CP80" s="18"/>
      <c r="CQ80" s="72"/>
      <c r="CR80" s="72"/>
      <c r="CS80" s="72"/>
      <c r="CT80" s="18"/>
      <c r="CU80" s="72"/>
      <c r="CV80" s="72"/>
      <c r="CW80" s="72"/>
      <c r="CX80" s="72"/>
      <c r="CY80" s="72"/>
      <c r="CZ80" s="72"/>
      <c r="DH80" s="3"/>
      <c r="DI80" s="3"/>
      <c r="DJ80" s="3"/>
      <c r="DK80" s="3"/>
    </row>
    <row r="81" spans="75:121">
      <c r="BW81" s="39"/>
      <c r="BX81" s="3">
        <v>3</v>
      </c>
      <c r="BY81" s="3">
        <v>2</v>
      </c>
      <c r="BZ81" s="3"/>
      <c r="CA81" s="73"/>
      <c r="CB81" s="73"/>
      <c r="CC81" s="3"/>
      <c r="CD81" s="73"/>
      <c r="CE81" s="73"/>
      <c r="CF81" s="73"/>
      <c r="CG81" s="73"/>
      <c r="CH81" s="73"/>
      <c r="CI81" s="73"/>
      <c r="CJ81" s="47"/>
      <c r="CK81" s="18">
        <v>0.37128005402265402</v>
      </c>
      <c r="CL81" s="18">
        <v>1.13468095139303</v>
      </c>
      <c r="CM81" s="47"/>
      <c r="CN81" s="18">
        <v>2.8443253887931599</v>
      </c>
      <c r="CO81" s="18">
        <v>3.6684141705926399</v>
      </c>
      <c r="CP81" s="18"/>
      <c r="CQ81" s="72"/>
      <c r="CR81" s="72"/>
      <c r="CS81" s="72"/>
      <c r="CT81" s="18"/>
      <c r="CU81" s="72"/>
      <c r="CV81" s="72"/>
      <c r="CW81" s="72"/>
      <c r="CX81" s="72"/>
      <c r="CY81" s="72"/>
      <c r="CZ81" s="72"/>
      <c r="DH81" s="3"/>
      <c r="DI81" s="3"/>
      <c r="DJ81" s="3"/>
      <c r="DK81" s="3"/>
    </row>
    <row r="82" spans="75:121">
      <c r="BW82" s="39"/>
      <c r="BX82" s="3">
        <v>2</v>
      </c>
      <c r="BY82" s="3">
        <v>2</v>
      </c>
      <c r="BZ82" s="3"/>
      <c r="CA82" s="73"/>
      <c r="CB82" s="73"/>
      <c r="CC82" s="3"/>
      <c r="CD82" s="73"/>
      <c r="CE82" s="73"/>
      <c r="CF82" s="73"/>
      <c r="CG82" s="73"/>
      <c r="CH82" s="73"/>
      <c r="CI82" s="73"/>
      <c r="CJ82" s="47"/>
      <c r="CK82" s="18">
        <v>0.699906932374876</v>
      </c>
      <c r="CL82" s="18">
        <v>0.52376266488328105</v>
      </c>
      <c r="CM82" s="47"/>
      <c r="CN82" s="18">
        <v>3.69508070790453</v>
      </c>
      <c r="CO82" s="18">
        <v>3.4169207899194198</v>
      </c>
      <c r="CP82" s="18"/>
      <c r="CQ82" s="72"/>
      <c r="CR82" s="72"/>
      <c r="CS82" s="72"/>
      <c r="CT82" s="18"/>
      <c r="CU82" s="72"/>
      <c r="CV82" s="72"/>
      <c r="CW82" s="72"/>
      <c r="CX82" s="72"/>
      <c r="CY82" s="72"/>
      <c r="CZ82" s="72"/>
      <c r="DH82" s="3"/>
      <c r="DI82" s="3"/>
      <c r="DJ82" s="3"/>
      <c r="DK82" s="3"/>
    </row>
    <row r="83" spans="75:121">
      <c r="BW83" s="39"/>
      <c r="BX83" s="3">
        <v>2</v>
      </c>
      <c r="BY83" s="3">
        <v>2</v>
      </c>
      <c r="BZ83" s="3"/>
      <c r="CA83" s="73"/>
      <c r="CB83" s="73"/>
      <c r="CC83" s="3"/>
      <c r="CD83" s="73"/>
      <c r="CE83" s="73"/>
      <c r="CF83" s="73"/>
      <c r="CG83" s="73"/>
      <c r="CH83" s="73"/>
      <c r="CI83" s="73"/>
      <c r="CJ83" s="47"/>
      <c r="CK83" s="18">
        <v>9.4506338681492302E-2</v>
      </c>
      <c r="CL83" s="18">
        <v>0.45827700069580501</v>
      </c>
      <c r="CM83" s="47"/>
      <c r="CN83" s="18">
        <v>0.92926077613458502</v>
      </c>
      <c r="CO83" s="18">
        <v>3.2334893010844601</v>
      </c>
      <c r="CP83" s="18"/>
      <c r="CQ83" s="72"/>
      <c r="CR83" s="72"/>
      <c r="CS83" s="72"/>
      <c r="CT83" s="18"/>
      <c r="CU83" s="72"/>
      <c r="CV83" s="72"/>
      <c r="CW83" s="72"/>
      <c r="CX83" s="72"/>
      <c r="CY83" s="72"/>
      <c r="CZ83" s="72"/>
      <c r="DH83" s="3"/>
      <c r="DI83" s="3"/>
      <c r="DJ83" s="3"/>
      <c r="DK83" s="3"/>
    </row>
    <row r="84" spans="75:121">
      <c r="BW84" s="39"/>
      <c r="BX84" s="3">
        <v>2</v>
      </c>
      <c r="BY84" s="3">
        <v>2</v>
      </c>
      <c r="BZ84" s="3"/>
      <c r="CA84" s="73"/>
      <c r="CB84" s="73"/>
      <c r="CC84" s="3"/>
      <c r="CD84" s="73"/>
      <c r="CE84" s="73"/>
      <c r="CF84" s="73"/>
      <c r="CG84" s="73"/>
      <c r="CH84" s="73"/>
      <c r="CI84" s="73"/>
      <c r="CJ84" s="47"/>
      <c r="CK84" s="18">
        <v>0.16504364948304401</v>
      </c>
      <c r="CL84" s="18">
        <v>0.467592508712949</v>
      </c>
      <c r="CM84" s="47"/>
      <c r="CN84" s="18">
        <v>2.83266726510367</v>
      </c>
      <c r="CO84" s="18">
        <v>3.4708101508521598</v>
      </c>
      <c r="CP84" s="18"/>
      <c r="CQ84" s="72"/>
      <c r="CR84" s="72"/>
      <c r="CS84" s="72"/>
      <c r="CT84" s="18"/>
      <c r="CU84" s="72"/>
      <c r="CV84" s="72"/>
      <c r="CW84" s="72"/>
      <c r="CX84" s="72"/>
      <c r="CY84" s="72"/>
      <c r="CZ84" s="72"/>
      <c r="DH84" s="3"/>
      <c r="DI84" s="3"/>
      <c r="DJ84" s="3"/>
      <c r="DK84" s="3"/>
    </row>
    <row r="85" spans="75:121">
      <c r="BW85" s="39"/>
      <c r="BX85" s="3">
        <v>2</v>
      </c>
      <c r="BY85" s="3">
        <v>2</v>
      </c>
      <c r="BZ85" s="3"/>
      <c r="CA85" s="73"/>
      <c r="CB85" s="73"/>
      <c r="CC85" s="3"/>
      <c r="CD85" s="73"/>
      <c r="CE85" s="73"/>
      <c r="CF85" s="73"/>
      <c r="CG85" s="73"/>
      <c r="CH85" s="73"/>
      <c r="CI85" s="73"/>
      <c r="CJ85" s="47"/>
      <c r="CK85" s="18">
        <v>0.57259867537003195</v>
      </c>
      <c r="CL85" s="18">
        <v>0.56900492681818005</v>
      </c>
      <c r="CM85" s="47"/>
      <c r="CN85" s="18">
        <v>3.5425799887026499</v>
      </c>
      <c r="CO85" s="18">
        <v>3.61468628971818</v>
      </c>
      <c r="CP85" s="18"/>
      <c r="CQ85" s="72"/>
      <c r="CR85" s="72"/>
      <c r="CS85" s="72"/>
      <c r="CT85" s="18"/>
      <c r="CU85" s="72"/>
      <c r="CV85" s="72"/>
      <c r="CW85" s="72"/>
      <c r="CX85" s="72"/>
      <c r="CY85" s="72"/>
      <c r="CZ85" s="72"/>
      <c r="DH85" s="3"/>
      <c r="DI85" s="3"/>
      <c r="DJ85" s="3"/>
      <c r="DK85" s="3"/>
    </row>
    <row r="86" spans="75:121">
      <c r="BW86" s="39"/>
      <c r="BX86" s="3">
        <v>2</v>
      </c>
      <c r="BY86" s="3">
        <v>2</v>
      </c>
      <c r="BZ86" s="3"/>
      <c r="CA86" s="73"/>
      <c r="CB86" s="73"/>
      <c r="CC86" s="3"/>
      <c r="CD86" s="73"/>
      <c r="CE86" s="73"/>
      <c r="CF86" s="73"/>
      <c r="CG86" s="73"/>
      <c r="CH86" s="73"/>
      <c r="CI86" s="73"/>
      <c r="CJ86" s="47"/>
      <c r="CK86" s="18">
        <v>0.61192776721533704</v>
      </c>
      <c r="CL86" s="18">
        <v>0.38106182842458802</v>
      </c>
      <c r="CM86" s="47"/>
      <c r="CN86" s="18">
        <v>1.5559633613309301</v>
      </c>
      <c r="CO86" s="18">
        <v>5.0486067530187704</v>
      </c>
      <c r="CP86" s="18"/>
      <c r="CQ86" s="72"/>
      <c r="CR86" s="72"/>
      <c r="CS86" s="72"/>
      <c r="CT86" s="18"/>
      <c r="CU86" s="72"/>
      <c r="CV86" s="72"/>
      <c r="CW86" s="72"/>
      <c r="CX86" s="72"/>
      <c r="CY86" s="72"/>
      <c r="CZ86" s="72"/>
      <c r="DH86" s="3"/>
      <c r="DI86" s="3"/>
      <c r="DJ86" s="3"/>
      <c r="DK86" s="3"/>
    </row>
    <row r="87" spans="75:121">
      <c r="BW87" s="39"/>
      <c r="BX87" s="3">
        <v>2</v>
      </c>
      <c r="BY87" s="3">
        <v>2</v>
      </c>
      <c r="BZ87" s="3"/>
      <c r="CA87" s="73"/>
      <c r="CB87" s="73"/>
      <c r="CC87" s="3"/>
      <c r="CD87" s="73"/>
      <c r="CE87" s="73"/>
      <c r="CF87" s="73"/>
      <c r="CG87" s="73"/>
      <c r="CH87" s="73"/>
      <c r="CI87" s="73"/>
      <c r="CJ87" s="47"/>
      <c r="CK87" s="18">
        <v>0.260868738615679</v>
      </c>
      <c r="CL87" s="18">
        <v>0.36681177312712698</v>
      </c>
      <c r="CM87" s="47"/>
      <c r="CN87" s="18">
        <v>2.4964112164754901</v>
      </c>
      <c r="CO87" s="18">
        <v>2.8856134083638199</v>
      </c>
      <c r="CP87" s="18"/>
      <c r="CQ87" s="72"/>
      <c r="CR87" s="72"/>
      <c r="CS87" s="72"/>
      <c r="CT87" s="18"/>
      <c r="CU87" s="72"/>
      <c r="CV87" s="72"/>
      <c r="CW87" s="72"/>
      <c r="CX87" s="72"/>
      <c r="CY87" s="72"/>
      <c r="CZ87" s="72"/>
      <c r="DH87" s="3"/>
      <c r="DI87" s="3"/>
      <c r="DJ87" s="3"/>
      <c r="DK87" s="3"/>
    </row>
    <row r="88" spans="75:121">
      <c r="BW88" s="39"/>
      <c r="BX88" s="3">
        <v>2</v>
      </c>
      <c r="BY88" s="3">
        <v>2</v>
      </c>
      <c r="BZ88" s="3"/>
      <c r="CA88" s="73"/>
      <c r="CB88" s="73"/>
      <c r="CC88" s="3"/>
      <c r="CD88" s="73"/>
      <c r="CE88" s="73"/>
      <c r="CF88" s="73"/>
      <c r="CG88" s="73"/>
      <c r="CH88" s="73"/>
      <c r="CI88" s="73"/>
      <c r="CJ88" s="47"/>
      <c r="CK88" s="18">
        <v>0.72176636633861502</v>
      </c>
      <c r="CL88" s="18">
        <v>0.21909105824619701</v>
      </c>
      <c r="CM88" s="47"/>
      <c r="CN88" s="18">
        <v>3.8367825658244201</v>
      </c>
      <c r="CO88" s="18">
        <v>3.2303721173241802</v>
      </c>
      <c r="CP88" s="18"/>
      <c r="CQ88" s="72"/>
      <c r="CR88" s="72"/>
      <c r="CS88" s="72"/>
      <c r="CT88" s="18"/>
      <c r="CU88" s="72"/>
      <c r="CV88" s="72"/>
      <c r="CW88" s="72"/>
      <c r="CX88" s="72"/>
      <c r="CY88" s="72"/>
      <c r="CZ88" s="72"/>
      <c r="DH88" s="3"/>
      <c r="DI88" s="3"/>
      <c r="DJ88" s="3"/>
      <c r="DK88" s="3"/>
    </row>
    <row r="89" spans="75:121">
      <c r="BW89" s="39"/>
      <c r="BX89" s="3">
        <v>2</v>
      </c>
      <c r="BY89" s="3">
        <v>2</v>
      </c>
      <c r="BZ89" s="3"/>
      <c r="CA89" s="73"/>
      <c r="CB89" s="73"/>
      <c r="CC89" s="3"/>
      <c r="CD89" s="73"/>
      <c r="CE89" s="73"/>
      <c r="CF89" s="73"/>
      <c r="CG89" s="73"/>
      <c r="CH89" s="73"/>
      <c r="CI89" s="73"/>
      <c r="CJ89" s="47"/>
      <c r="CK89" s="18">
        <v>0.72115388700829997</v>
      </c>
      <c r="CL89" s="18">
        <v>0.23854231427915101</v>
      </c>
      <c r="CM89" s="47"/>
      <c r="CN89" s="18">
        <v>3.2232217325808201</v>
      </c>
      <c r="CO89" s="18">
        <v>3.2902916886915898</v>
      </c>
      <c r="CP89" s="18"/>
      <c r="CQ89" s="72"/>
      <c r="CR89" s="72"/>
      <c r="CS89" s="72"/>
      <c r="CT89" s="18"/>
      <c r="CU89" s="72"/>
      <c r="CV89" s="72"/>
      <c r="CW89" s="72"/>
      <c r="CX89" s="72"/>
      <c r="CY89" s="72"/>
      <c r="CZ89" s="72"/>
      <c r="DH89" s="3"/>
      <c r="DI89" s="3"/>
      <c r="DJ89" s="3"/>
      <c r="DK89" s="3"/>
    </row>
    <row r="90" spans="75:121">
      <c r="BW90" s="39"/>
      <c r="BX90" s="3">
        <v>2</v>
      </c>
      <c r="BY90" s="3">
        <v>2</v>
      </c>
      <c r="BZ90" s="3"/>
      <c r="CA90" s="73"/>
      <c r="CB90" s="73"/>
      <c r="CC90" s="3"/>
      <c r="CD90" s="73"/>
      <c r="CE90" s="73"/>
      <c r="CF90" s="73"/>
      <c r="CG90" s="73"/>
      <c r="CH90" s="73"/>
      <c r="CI90" s="73"/>
      <c r="CJ90" s="47"/>
      <c r="CK90" s="18">
        <v>0.30614555930877402</v>
      </c>
      <c r="CL90" s="18">
        <v>0.75351896464137502</v>
      </c>
      <c r="CM90" s="47"/>
      <c r="CN90" s="18">
        <v>2.6308713830125798</v>
      </c>
      <c r="CO90" s="18">
        <v>3.23373470433667</v>
      </c>
      <c r="CP90" s="18"/>
      <c r="CQ90" s="72"/>
      <c r="CR90" s="72"/>
      <c r="CS90" s="72"/>
      <c r="CT90" s="18"/>
      <c r="CU90" s="72"/>
      <c r="CV90" s="72"/>
      <c r="CW90" s="72"/>
      <c r="CX90" s="72"/>
      <c r="CY90" s="72"/>
      <c r="CZ90" s="72"/>
      <c r="DH90" s="3"/>
      <c r="DI90" s="3"/>
      <c r="DJ90" s="3"/>
      <c r="DK90" s="3"/>
    </row>
    <row r="91" spans="75:121">
      <c r="BW91" s="39"/>
      <c r="BX91" s="3">
        <v>2</v>
      </c>
      <c r="BY91" s="3">
        <v>2</v>
      </c>
      <c r="BZ91" s="3"/>
      <c r="CA91" s="73"/>
      <c r="CB91" s="73"/>
      <c r="CC91" s="3"/>
      <c r="CD91" s="73"/>
      <c r="CE91" s="73"/>
      <c r="CF91" s="73"/>
      <c r="CG91" s="73"/>
      <c r="CH91" s="73"/>
      <c r="CI91" s="73"/>
      <c r="CJ91" s="47"/>
      <c r="CK91" s="18">
        <v>1.13606010688027</v>
      </c>
      <c r="CL91" s="18">
        <v>0.70141598131696203</v>
      </c>
      <c r="CM91" s="47"/>
      <c r="CN91" s="18">
        <v>3.83084347979913</v>
      </c>
      <c r="CO91" s="18">
        <v>2.545993072576</v>
      </c>
      <c r="CP91" s="18"/>
      <c r="CQ91" s="72"/>
      <c r="CR91" s="72"/>
      <c r="CS91" s="72"/>
      <c r="CT91" s="18"/>
      <c r="CU91" s="72"/>
      <c r="CV91" s="72"/>
      <c r="CW91" s="72"/>
      <c r="CX91" s="72"/>
      <c r="CY91" s="72"/>
      <c r="CZ91" s="72"/>
      <c r="DA91" s="20"/>
      <c r="DB91" s="20"/>
      <c r="DC91" s="20"/>
      <c r="DD91" s="20"/>
      <c r="DE91" s="20"/>
      <c r="DF91" s="20"/>
      <c r="DG91" s="20"/>
      <c r="DH91" s="3"/>
      <c r="DI91" s="3"/>
      <c r="DJ91" s="3"/>
      <c r="DK91" s="3"/>
      <c r="DL91" s="20"/>
      <c r="DM91" s="20"/>
      <c r="DN91" s="20"/>
      <c r="DO91" s="20"/>
      <c r="DP91" s="20"/>
      <c r="DQ91" s="20"/>
    </row>
    <row r="92" spans="75:121">
      <c r="BW92" s="39"/>
      <c r="BX92" s="3">
        <v>2</v>
      </c>
      <c r="BY92" s="3">
        <v>2</v>
      </c>
      <c r="BZ92" s="3"/>
      <c r="CA92" s="73"/>
      <c r="CB92" s="73"/>
      <c r="CC92" s="3"/>
      <c r="CD92" s="73"/>
      <c r="CE92" s="73"/>
      <c r="CF92" s="73"/>
      <c r="CG92" s="73"/>
      <c r="CH92" s="73"/>
      <c r="CI92" s="73"/>
      <c r="CJ92" s="47"/>
      <c r="CK92" s="18">
        <v>0.29372360990493401</v>
      </c>
      <c r="CL92" s="18">
        <v>0.31869283314833502</v>
      </c>
      <c r="CM92" s="47"/>
      <c r="CN92" s="18">
        <v>2.3609260736848698</v>
      </c>
      <c r="CO92" s="18">
        <v>3.1366015574555401</v>
      </c>
      <c r="CP92" s="18"/>
      <c r="CQ92" s="72"/>
      <c r="CR92" s="72"/>
      <c r="CS92" s="72"/>
      <c r="CT92" s="18"/>
      <c r="CU92" s="72"/>
      <c r="CV92" s="72"/>
      <c r="CW92" s="72"/>
      <c r="CX92" s="72"/>
      <c r="CY92" s="72"/>
      <c r="CZ92" s="72"/>
      <c r="DA92" s="20"/>
      <c r="DB92" s="20"/>
      <c r="DC92" s="20"/>
      <c r="DD92" s="20"/>
      <c r="DE92" s="20"/>
      <c r="DF92" s="20"/>
      <c r="DG92" s="20"/>
      <c r="DH92" s="3"/>
      <c r="DI92" s="3"/>
      <c r="DJ92" s="3"/>
      <c r="DK92" s="3"/>
      <c r="DL92" s="20"/>
      <c r="DM92" s="20"/>
      <c r="DN92" s="20"/>
      <c r="DO92" s="20"/>
      <c r="DP92" s="20"/>
      <c r="DQ92" s="20"/>
    </row>
    <row r="93" spans="75:121">
      <c r="BW93" s="39"/>
      <c r="BX93" s="3">
        <v>2</v>
      </c>
      <c r="BY93" s="3">
        <v>3</v>
      </c>
      <c r="BZ93" s="3"/>
      <c r="CA93" s="73"/>
      <c r="CB93" s="73"/>
      <c r="CC93" s="3"/>
      <c r="CD93" s="73"/>
      <c r="CE93" s="73"/>
      <c r="CF93" s="73"/>
      <c r="CG93" s="73"/>
      <c r="CH93" s="73"/>
      <c r="CI93" s="73"/>
      <c r="CJ93" s="47"/>
      <c r="CK93" s="18">
        <v>0.32342771806093301</v>
      </c>
      <c r="CL93" s="18">
        <v>0.94035471153329298</v>
      </c>
      <c r="CM93" s="47"/>
      <c r="CN93" s="18">
        <v>2.5935689041583001</v>
      </c>
      <c r="CO93" s="18">
        <v>4.4418685364043498</v>
      </c>
      <c r="CP93" s="18"/>
      <c r="CQ93" s="72"/>
      <c r="CR93" s="72"/>
      <c r="CS93" s="72"/>
      <c r="CT93" s="18"/>
      <c r="CU93" s="72"/>
      <c r="CV93" s="72"/>
      <c r="CW93" s="72"/>
      <c r="CX93" s="72"/>
      <c r="CY93" s="72"/>
      <c r="CZ93" s="72"/>
      <c r="DA93" s="20"/>
      <c r="DB93" s="20"/>
      <c r="DC93" s="20"/>
      <c r="DD93" s="20"/>
      <c r="DE93" s="20"/>
      <c r="DF93" s="20"/>
      <c r="DG93" s="20"/>
      <c r="DH93" s="3"/>
      <c r="DI93" s="3"/>
      <c r="DJ93" s="3"/>
      <c r="DK93" s="3"/>
      <c r="DL93" s="20"/>
      <c r="DM93" s="20"/>
      <c r="DN93" s="20"/>
      <c r="DO93" s="20"/>
      <c r="DP93" s="20"/>
      <c r="DQ93" s="20"/>
    </row>
    <row r="94" spans="75:121">
      <c r="BW94" s="39"/>
      <c r="BX94" s="3">
        <v>2</v>
      </c>
      <c r="BY94" s="3">
        <v>2</v>
      </c>
      <c r="BZ94" s="3"/>
      <c r="CA94" s="73"/>
      <c r="CB94" s="73"/>
      <c r="CC94" s="3"/>
      <c r="CD94" s="73"/>
      <c r="CE94" s="73"/>
      <c r="CF94" s="73"/>
      <c r="CG94" s="73"/>
      <c r="CH94" s="73"/>
      <c r="CI94" s="73"/>
      <c r="CJ94" s="47"/>
      <c r="CK94" s="18">
        <v>0.330443668229009</v>
      </c>
      <c r="CL94" s="18">
        <v>0.38526535935068101</v>
      </c>
      <c r="CM94" s="47"/>
      <c r="CN94" s="18">
        <v>1.8274532245740001</v>
      </c>
      <c r="CO94" s="18">
        <v>1.2154922299909801</v>
      </c>
      <c r="CP94" s="18"/>
      <c r="CQ94" s="72"/>
      <c r="CR94" s="72"/>
      <c r="CS94" s="72"/>
      <c r="CT94" s="18"/>
      <c r="CU94" s="72"/>
      <c r="CV94" s="72"/>
      <c r="CW94" s="72"/>
      <c r="CX94" s="72"/>
      <c r="CY94" s="72"/>
      <c r="CZ94" s="72"/>
      <c r="DA94" s="20"/>
      <c r="DB94" s="20"/>
      <c r="DC94" s="20"/>
      <c r="DD94" s="20"/>
      <c r="DE94" s="20"/>
      <c r="DF94" s="20"/>
      <c r="DG94" s="20"/>
      <c r="DH94" s="3"/>
      <c r="DI94" s="3"/>
      <c r="DJ94" s="3"/>
      <c r="DK94" s="3"/>
      <c r="DL94" s="20"/>
      <c r="DM94" s="20"/>
      <c r="DN94" s="20"/>
      <c r="DO94" s="20"/>
      <c r="DP94" s="20"/>
      <c r="DQ94" s="20"/>
    </row>
    <row r="95" spans="75:121">
      <c r="BW95" s="39"/>
      <c r="BX95" s="3">
        <v>2</v>
      </c>
      <c r="BY95" s="3">
        <v>2</v>
      </c>
      <c r="BZ95" s="3"/>
      <c r="CA95" s="73"/>
      <c r="CB95" s="73"/>
      <c r="CC95" s="3"/>
      <c r="CD95" s="73"/>
      <c r="CE95" s="73"/>
      <c r="CF95" s="73"/>
      <c r="CG95" s="73"/>
      <c r="CH95" s="73"/>
      <c r="CI95" s="73"/>
      <c r="CJ95" s="47"/>
      <c r="CK95" s="18">
        <v>0.428035163281905</v>
      </c>
      <c r="CL95" s="18">
        <v>0.40675433692871199</v>
      </c>
      <c r="CM95" s="47"/>
      <c r="CN95" s="18">
        <v>2.5056877189343698</v>
      </c>
      <c r="CO95" s="18">
        <v>3.17834814530773</v>
      </c>
      <c r="CP95" s="18"/>
      <c r="CQ95" s="72"/>
      <c r="CR95" s="72"/>
      <c r="CS95" s="72"/>
      <c r="CT95" s="18"/>
      <c r="CU95" s="72"/>
      <c r="CV95" s="72"/>
      <c r="CW95" s="72"/>
      <c r="CX95" s="72"/>
      <c r="CY95" s="72"/>
      <c r="CZ95" s="72"/>
      <c r="DA95" s="20"/>
      <c r="DB95" s="20"/>
      <c r="DC95" s="20"/>
      <c r="DD95" s="20"/>
      <c r="DE95" s="20"/>
      <c r="DF95" s="20"/>
      <c r="DG95" s="20"/>
      <c r="DH95" s="3"/>
      <c r="DI95" s="3"/>
      <c r="DJ95" s="3"/>
      <c r="DK95" s="3"/>
      <c r="DL95" s="20"/>
      <c r="DM95" s="20"/>
      <c r="DN95" s="20"/>
      <c r="DO95" s="20"/>
      <c r="DP95" s="20"/>
      <c r="DQ95" s="20"/>
    </row>
    <row r="96" spans="75:121">
      <c r="BW96" s="39"/>
      <c r="BX96" s="3">
        <v>1</v>
      </c>
      <c r="BY96" s="3">
        <v>2</v>
      </c>
      <c r="BZ96" s="3"/>
      <c r="CA96" s="73"/>
      <c r="CB96" s="73"/>
      <c r="CC96" s="3"/>
      <c r="CD96" s="73"/>
      <c r="CE96" s="73"/>
      <c r="CF96" s="73"/>
      <c r="CG96" s="73"/>
      <c r="CH96" s="73"/>
      <c r="CI96" s="73"/>
      <c r="CJ96" s="47"/>
      <c r="CK96" s="18">
        <v>0.89979434820882898</v>
      </c>
      <c r="CL96" s="18">
        <v>0.29030643542491402</v>
      </c>
      <c r="CM96" s="47"/>
      <c r="CN96" s="18">
        <v>2.78960406633158</v>
      </c>
      <c r="CO96" s="18">
        <v>0.91418179500227004</v>
      </c>
      <c r="CP96" s="18"/>
      <c r="CQ96" s="72"/>
      <c r="CR96" s="72"/>
      <c r="CS96" s="72"/>
      <c r="CT96" s="18"/>
      <c r="CU96" s="72"/>
      <c r="CV96" s="72"/>
      <c r="CW96" s="72"/>
      <c r="CX96" s="72"/>
      <c r="CY96" s="72"/>
      <c r="CZ96" s="72"/>
      <c r="DA96" s="20"/>
      <c r="DB96" s="20"/>
      <c r="DC96" s="20"/>
      <c r="DD96" s="20"/>
      <c r="DE96" s="20"/>
      <c r="DF96" s="20"/>
      <c r="DG96" s="20"/>
      <c r="DH96" s="3"/>
      <c r="DI96" s="3"/>
      <c r="DJ96" s="3"/>
      <c r="DK96" s="3"/>
      <c r="DL96" s="20"/>
      <c r="DM96" s="20"/>
      <c r="DN96" s="20"/>
      <c r="DO96" s="20"/>
      <c r="DP96" s="20"/>
      <c r="DQ96" s="20"/>
    </row>
    <row r="97" spans="75:121">
      <c r="BW97" s="39"/>
      <c r="BX97" s="3">
        <v>2</v>
      </c>
      <c r="BY97" s="3">
        <v>2</v>
      </c>
      <c r="BZ97" s="3"/>
      <c r="CA97" s="73"/>
      <c r="CB97" s="73"/>
      <c r="CC97" s="3"/>
      <c r="CD97" s="73"/>
      <c r="CE97" s="73"/>
      <c r="CF97" s="73"/>
      <c r="CG97" s="73"/>
      <c r="CH97" s="73"/>
      <c r="CI97" s="73"/>
      <c r="CJ97" s="47"/>
      <c r="CK97" s="18">
        <v>0.55267217116221701</v>
      </c>
      <c r="CL97" s="18">
        <v>0.38227990006694801</v>
      </c>
      <c r="CM97" s="47"/>
      <c r="CN97" s="18">
        <v>3.1180440395768798</v>
      </c>
      <c r="CO97" s="18">
        <v>4.04011214763133</v>
      </c>
      <c r="CP97" s="18"/>
      <c r="CQ97" s="72"/>
      <c r="CR97" s="72"/>
      <c r="CS97" s="72"/>
      <c r="CT97" s="18"/>
      <c r="CU97" s="72"/>
      <c r="CV97" s="72"/>
      <c r="CW97" s="72"/>
      <c r="CX97" s="72"/>
      <c r="CY97" s="72"/>
      <c r="CZ97" s="72"/>
      <c r="DA97" s="20"/>
      <c r="DB97" s="20"/>
      <c r="DC97" s="20"/>
      <c r="DD97" s="20"/>
      <c r="DE97" s="20"/>
      <c r="DF97" s="20"/>
      <c r="DG97" s="20"/>
      <c r="DH97" s="3"/>
      <c r="DI97" s="3"/>
      <c r="DJ97" s="3"/>
      <c r="DK97" s="3"/>
      <c r="DL97" s="20"/>
      <c r="DM97" s="20"/>
      <c r="DN97" s="20"/>
      <c r="DO97" s="20"/>
      <c r="DP97" s="20"/>
      <c r="DQ97" s="20"/>
    </row>
    <row r="98" spans="75:121">
      <c r="BW98" s="39"/>
      <c r="BX98" s="3">
        <v>2</v>
      </c>
      <c r="BY98" s="3">
        <v>2</v>
      </c>
      <c r="BZ98" s="3"/>
      <c r="CA98" s="73"/>
      <c r="CB98" s="73"/>
      <c r="CC98" s="3"/>
      <c r="CD98" s="73"/>
      <c r="CE98" s="73"/>
      <c r="CF98" s="73"/>
      <c r="CG98" s="73"/>
      <c r="CH98" s="73"/>
      <c r="CI98" s="73"/>
      <c r="CJ98" s="47"/>
      <c r="CK98" s="18">
        <v>0.70496047063968104</v>
      </c>
      <c r="CL98" s="18">
        <v>0.49395469364137101</v>
      </c>
      <c r="CM98" s="47"/>
      <c r="CN98" s="18">
        <v>4.4173867276187799</v>
      </c>
      <c r="CO98" s="18">
        <v>2.9255247697475699</v>
      </c>
      <c r="CP98" s="18"/>
      <c r="CQ98" s="72"/>
      <c r="CR98" s="72"/>
      <c r="CS98" s="72"/>
      <c r="CT98" s="18"/>
      <c r="CU98" s="72"/>
      <c r="CV98" s="72"/>
      <c r="CW98" s="72"/>
      <c r="CX98" s="72"/>
      <c r="CY98" s="72"/>
      <c r="CZ98" s="72"/>
      <c r="DA98" s="20"/>
      <c r="DB98" s="20"/>
      <c r="DC98" s="20"/>
      <c r="DD98" s="20"/>
      <c r="DE98" s="20"/>
      <c r="DF98" s="20"/>
      <c r="DG98" s="20"/>
      <c r="DH98" s="3"/>
      <c r="DI98" s="3"/>
      <c r="DJ98" s="3"/>
      <c r="DK98" s="3"/>
      <c r="DL98" s="20"/>
      <c r="DM98" s="20"/>
      <c r="DN98" s="20"/>
      <c r="DO98" s="20"/>
      <c r="DP98" s="20"/>
      <c r="DQ98" s="20"/>
    </row>
    <row r="99" spans="75:121">
      <c r="BW99" s="39"/>
      <c r="BX99" s="3">
        <v>2</v>
      </c>
      <c r="BY99" s="3">
        <v>3</v>
      </c>
      <c r="BZ99" s="3"/>
      <c r="CA99" s="73"/>
      <c r="CB99" s="73"/>
      <c r="CC99" s="3"/>
      <c r="CD99" s="73"/>
      <c r="CE99" s="73"/>
      <c r="CF99" s="73"/>
      <c r="CG99" s="73"/>
      <c r="CH99" s="73"/>
      <c r="CI99" s="73"/>
      <c r="CJ99" s="47"/>
      <c r="CK99" s="18">
        <v>0.35174138854728898</v>
      </c>
      <c r="CL99" s="18">
        <v>0.596935142387232</v>
      </c>
      <c r="CM99" s="47"/>
      <c r="CN99" s="18">
        <v>2.6873070903628302</v>
      </c>
      <c r="CO99" s="18">
        <v>3.5855514809542401</v>
      </c>
      <c r="CP99" s="18"/>
      <c r="CQ99" s="72"/>
      <c r="CR99" s="72"/>
      <c r="CS99" s="72"/>
      <c r="CT99" s="18"/>
      <c r="CU99" s="72"/>
      <c r="CV99" s="72"/>
      <c r="CW99" s="72"/>
      <c r="CX99" s="72"/>
      <c r="CY99" s="72"/>
      <c r="CZ99" s="72"/>
      <c r="DA99" s="20"/>
      <c r="DB99" s="20"/>
      <c r="DC99" s="20"/>
      <c r="DD99" s="20"/>
      <c r="DE99" s="20"/>
      <c r="DF99" s="20"/>
      <c r="DG99" s="20"/>
      <c r="DH99" s="3"/>
      <c r="DI99" s="3"/>
      <c r="DJ99" s="3"/>
      <c r="DK99" s="3"/>
      <c r="DP99" s="20"/>
      <c r="DQ99" s="20"/>
    </row>
    <row r="100" spans="75:121">
      <c r="BW100" s="39"/>
      <c r="BX100" s="3">
        <v>2</v>
      </c>
      <c r="BY100" s="3">
        <v>2</v>
      </c>
      <c r="BZ100" s="3"/>
      <c r="CA100" s="73"/>
      <c r="CB100" s="73"/>
      <c r="CC100" s="3"/>
      <c r="CD100" s="73"/>
      <c r="CE100" s="73"/>
      <c r="CF100" s="73"/>
      <c r="CG100" s="73"/>
      <c r="CH100" s="73"/>
      <c r="CI100" s="73"/>
      <c r="CJ100" s="47"/>
      <c r="CK100" s="18">
        <v>0.49998616442187399</v>
      </c>
      <c r="CL100" s="18">
        <v>0.47871300244172199</v>
      </c>
      <c r="CM100" s="47"/>
      <c r="CN100" s="18">
        <v>3.2343786893376101</v>
      </c>
      <c r="CO100" s="18">
        <v>2.8828582149492101</v>
      </c>
      <c r="CP100" s="18"/>
      <c r="CQ100" s="72"/>
      <c r="CR100" s="72"/>
      <c r="CS100" s="72"/>
      <c r="CT100" s="18"/>
      <c r="CU100" s="72"/>
      <c r="CV100" s="72"/>
      <c r="CW100" s="72"/>
      <c r="CX100" s="72"/>
      <c r="CY100" s="72"/>
      <c r="CZ100" s="72"/>
      <c r="DA100" s="20"/>
      <c r="DB100" s="20"/>
      <c r="DC100" s="20"/>
      <c r="DD100" s="20"/>
      <c r="DE100" s="20"/>
      <c r="DF100" s="20"/>
      <c r="DG100" s="20"/>
      <c r="DH100" s="3"/>
      <c r="DI100" s="3"/>
      <c r="DJ100" s="3"/>
      <c r="DK100" s="3"/>
      <c r="DP100" s="20"/>
      <c r="DQ100" s="20"/>
    </row>
    <row r="101" spans="75:121">
      <c r="BW101" s="39"/>
      <c r="BX101" s="3">
        <v>2</v>
      </c>
      <c r="BY101" s="3">
        <v>2</v>
      </c>
      <c r="BZ101" s="3"/>
      <c r="CA101" s="73"/>
      <c r="CB101" s="73"/>
      <c r="CC101" s="3"/>
      <c r="CD101" s="73"/>
      <c r="CE101" s="73"/>
      <c r="CF101" s="73"/>
      <c r="CG101" s="73"/>
      <c r="CH101" s="73"/>
      <c r="CI101" s="73"/>
      <c r="CJ101" s="47"/>
      <c r="CK101" s="18">
        <v>0.79027159441330197</v>
      </c>
      <c r="CL101" s="18">
        <v>0.350044565862694</v>
      </c>
      <c r="CM101" s="47"/>
      <c r="CN101" s="18">
        <v>3.2988489029297701</v>
      </c>
      <c r="CO101" s="18">
        <v>3.10255735752706</v>
      </c>
      <c r="CP101" s="18"/>
      <c r="CQ101" s="72"/>
      <c r="CR101" s="72"/>
      <c r="CS101" s="72"/>
      <c r="CT101" s="18"/>
      <c r="CU101" s="72"/>
      <c r="CV101" s="72"/>
      <c r="CW101" s="72"/>
      <c r="CX101" s="72"/>
      <c r="CY101" s="72"/>
      <c r="CZ101" s="72"/>
      <c r="DA101" s="20"/>
      <c r="DB101" s="20"/>
      <c r="DC101" s="20"/>
      <c r="DD101" s="20"/>
      <c r="DE101" s="20"/>
      <c r="DF101" s="20"/>
      <c r="DG101" s="20"/>
      <c r="DH101" s="3"/>
      <c r="DI101" s="3"/>
      <c r="DJ101" s="3"/>
      <c r="DK101" s="3"/>
      <c r="DP101" s="20"/>
      <c r="DQ101" s="20"/>
    </row>
    <row r="102" spans="75:121">
      <c r="BW102" s="39"/>
      <c r="BX102" s="3">
        <v>2</v>
      </c>
      <c r="BY102" s="3">
        <v>2</v>
      </c>
      <c r="BZ102" s="3"/>
      <c r="CA102" s="73"/>
      <c r="CB102" s="73"/>
      <c r="CC102" s="3"/>
      <c r="CD102" s="73"/>
      <c r="CE102" s="73"/>
      <c r="CF102" s="73"/>
      <c r="CG102" s="73"/>
      <c r="CH102" s="73"/>
      <c r="CI102" s="73"/>
      <c r="CJ102" s="47"/>
      <c r="CK102" s="18">
        <v>0.72691838630480099</v>
      </c>
      <c r="CL102" s="18">
        <v>0.370610693490593</v>
      </c>
      <c r="CM102" s="47"/>
      <c r="CN102" s="18">
        <v>1.95702308305332</v>
      </c>
      <c r="CO102" s="18">
        <v>3.2255988519696999</v>
      </c>
      <c r="CP102" s="18"/>
      <c r="CQ102" s="72"/>
      <c r="CR102" s="72"/>
      <c r="CS102" s="72"/>
      <c r="CT102" s="18"/>
      <c r="CU102" s="72"/>
      <c r="CV102" s="72"/>
      <c r="CW102" s="72"/>
      <c r="CX102" s="72"/>
      <c r="CY102" s="72"/>
      <c r="CZ102" s="72"/>
      <c r="DA102" s="20"/>
      <c r="DB102" s="20"/>
      <c r="DC102" s="20"/>
      <c r="DD102" s="20"/>
      <c r="DE102" s="20"/>
      <c r="DF102" s="20"/>
      <c r="DG102" s="20"/>
      <c r="DH102" s="3"/>
      <c r="DI102" s="3"/>
      <c r="DJ102" s="3"/>
      <c r="DK102" s="3"/>
      <c r="DP102" s="20"/>
      <c r="DQ102" s="20"/>
    </row>
    <row r="103" spans="75:121">
      <c r="BW103" s="39"/>
      <c r="BX103" s="3">
        <v>2</v>
      </c>
      <c r="BY103" s="3">
        <v>2</v>
      </c>
      <c r="BZ103" s="3"/>
      <c r="CA103" s="73"/>
      <c r="CB103" s="73"/>
      <c r="CC103" s="3"/>
      <c r="CD103" s="73"/>
      <c r="CE103" s="73"/>
      <c r="CF103" s="73"/>
      <c r="CG103" s="73"/>
      <c r="CH103" s="73"/>
      <c r="CI103" s="73"/>
      <c r="CJ103" s="47"/>
      <c r="CK103" s="18">
        <v>0.78626178511730105</v>
      </c>
      <c r="CL103" s="18">
        <v>0.17146305600258099</v>
      </c>
      <c r="CM103" s="47"/>
      <c r="CN103" s="18">
        <v>3.3831927793716399</v>
      </c>
      <c r="CO103" s="18">
        <v>3.3274143183613698</v>
      </c>
      <c r="CP103" s="18"/>
      <c r="CQ103" s="72"/>
      <c r="CR103" s="72"/>
      <c r="CS103" s="72"/>
      <c r="CT103" s="18"/>
      <c r="CU103" s="72"/>
      <c r="CV103" s="72"/>
      <c r="CW103" s="72"/>
      <c r="CX103" s="72"/>
      <c r="CY103" s="72"/>
      <c r="CZ103" s="72"/>
      <c r="DA103" s="20"/>
      <c r="DB103" s="20"/>
      <c r="DC103" s="20"/>
      <c r="DD103" s="20"/>
      <c r="DE103" s="20"/>
      <c r="DF103" s="20"/>
      <c r="DG103" s="20"/>
      <c r="DH103" s="3"/>
      <c r="DI103" s="3"/>
      <c r="DJ103" s="3"/>
      <c r="DK103" s="3"/>
      <c r="DP103" s="20"/>
      <c r="DQ103" s="20"/>
    </row>
    <row r="104" spans="75:121">
      <c r="BW104" s="6" t="s">
        <v>72</v>
      </c>
      <c r="BX104" s="6">
        <f>AVERAGE(BX4:BX103)</f>
        <v>2.0699999999999998</v>
      </c>
      <c r="BY104" s="6">
        <f>AVERAGE(BY4:BY103)</f>
        <v>2.04</v>
      </c>
      <c r="BZ104" s="6"/>
      <c r="CA104" s="35"/>
      <c r="CB104" s="35"/>
      <c r="CC104" s="6"/>
      <c r="CD104" s="35"/>
      <c r="CE104" s="35"/>
      <c r="CF104" s="35"/>
      <c r="CG104" s="35"/>
      <c r="CH104" s="35"/>
      <c r="CI104" s="35"/>
      <c r="CJ104" s="47"/>
      <c r="CK104" s="18">
        <v>0.88900619719469698</v>
      </c>
      <c r="CL104" s="18">
        <v>0.59014687658087905</v>
      </c>
      <c r="CM104" s="47"/>
      <c r="CN104" s="18">
        <v>3.2202370745266702</v>
      </c>
      <c r="CO104" s="18">
        <v>3.3817678816016401</v>
      </c>
      <c r="CP104" s="18"/>
      <c r="CQ104" s="72"/>
      <c r="CR104" s="72"/>
      <c r="CS104" s="72"/>
      <c r="CT104" s="18"/>
      <c r="CU104" s="72"/>
      <c r="CV104" s="72"/>
      <c r="CW104" s="72"/>
      <c r="CX104" s="72"/>
      <c r="CY104" s="72"/>
      <c r="CZ104" s="72"/>
      <c r="DA104" s="22"/>
      <c r="DB104" s="22"/>
      <c r="DC104" s="22"/>
      <c r="DD104" s="22"/>
      <c r="DE104" s="22"/>
      <c r="DF104" s="22"/>
      <c r="DG104" s="22"/>
      <c r="DH104" s="6"/>
      <c r="DI104" s="6"/>
      <c r="DJ104" s="6"/>
      <c r="DK104" s="6"/>
      <c r="DP104" s="22"/>
      <c r="DQ104" s="22"/>
    </row>
    <row r="105" spans="75:121">
      <c r="CJ105" s="47"/>
      <c r="CK105" s="18">
        <v>0.32192809488736202</v>
      </c>
      <c r="CL105" s="18">
        <v>0.35850879228243099</v>
      </c>
      <c r="CM105" s="47"/>
      <c r="CN105" s="18">
        <v>3.33111758694089</v>
      </c>
      <c r="CO105" s="18">
        <v>3.1513717762539502</v>
      </c>
      <c r="CP105" s="18"/>
      <c r="CQ105" s="72"/>
      <c r="CR105" s="72"/>
      <c r="CS105" s="72"/>
      <c r="CT105" s="18"/>
      <c r="CU105" s="72"/>
      <c r="CV105" s="72"/>
      <c r="CW105" s="72"/>
      <c r="CX105" s="72"/>
      <c r="CY105" s="72"/>
      <c r="CZ105" s="72"/>
    </row>
    <row r="106" spans="75:121">
      <c r="CJ106" s="47"/>
      <c r="CK106" s="18">
        <v>0.28498784693784301</v>
      </c>
      <c r="CL106" s="18">
        <v>0.56491465867282598</v>
      </c>
      <c r="CM106" s="47"/>
      <c r="CN106" s="18">
        <v>3.0232553523002998</v>
      </c>
      <c r="CO106" s="18">
        <v>4.04227661341426</v>
      </c>
      <c r="CP106" s="18"/>
      <c r="CQ106" s="72"/>
      <c r="CR106" s="72"/>
      <c r="CS106" s="72"/>
      <c r="CT106" s="18"/>
      <c r="CU106" s="72"/>
      <c r="CV106" s="72"/>
      <c r="CW106" s="72"/>
      <c r="CX106" s="72"/>
      <c r="CY106" s="72"/>
      <c r="CZ106" s="72"/>
    </row>
    <row r="107" spans="75:121">
      <c r="CJ107" s="47"/>
      <c r="CK107" s="18">
        <v>0.716508086768746</v>
      </c>
      <c r="CL107" s="18">
        <v>0.60492529819923802</v>
      </c>
      <c r="CM107" s="47"/>
      <c r="CN107" s="18">
        <v>3.6510631752728502</v>
      </c>
      <c r="CO107" s="18">
        <v>2.6543897111771702</v>
      </c>
      <c r="CP107" s="18"/>
      <c r="CQ107" s="72"/>
      <c r="CR107" s="72"/>
      <c r="CS107" s="72"/>
      <c r="CT107" s="18"/>
      <c r="CU107" s="72"/>
      <c r="CV107" s="72"/>
      <c r="CW107" s="72"/>
      <c r="CX107" s="72"/>
      <c r="CY107" s="72"/>
      <c r="CZ107" s="72"/>
    </row>
    <row r="108" spans="75:121">
      <c r="CJ108" s="47"/>
      <c r="CK108" s="18">
        <v>0.33765401107659498</v>
      </c>
      <c r="CL108" s="18">
        <v>0.53903470297075395</v>
      </c>
      <c r="CM108" s="47"/>
      <c r="CN108" s="18">
        <v>3.05309395448689</v>
      </c>
      <c r="CO108" s="18">
        <v>4.5880789602883496</v>
      </c>
      <c r="CP108" s="18"/>
      <c r="CQ108" s="72"/>
      <c r="CR108" s="72"/>
      <c r="CS108" s="72"/>
      <c r="CT108" s="18"/>
      <c r="CU108" s="72"/>
      <c r="CV108" s="72"/>
      <c r="CW108" s="72"/>
      <c r="CX108" s="72"/>
      <c r="CY108" s="72"/>
      <c r="CZ108" s="72"/>
    </row>
    <row r="109" spans="75:121">
      <c r="CJ109" s="47"/>
      <c r="CK109" s="18">
        <v>0.312897472897257</v>
      </c>
      <c r="CL109" s="18">
        <v>0.60966041811520699</v>
      </c>
      <c r="CM109" s="47"/>
      <c r="CN109" s="18">
        <v>3.0380146901867202</v>
      </c>
      <c r="CO109" s="18">
        <v>3.0430469752218601</v>
      </c>
      <c r="CP109" s="18"/>
      <c r="CQ109" s="72"/>
      <c r="CR109" s="72"/>
      <c r="CS109" s="72"/>
      <c r="CT109" s="18"/>
      <c r="CU109" s="72"/>
      <c r="CV109" s="72"/>
      <c r="CW109" s="72"/>
      <c r="CX109" s="72"/>
      <c r="CY109" s="72"/>
      <c r="CZ109" s="72"/>
    </row>
    <row r="110" spans="75:121">
      <c r="CJ110" s="47"/>
      <c r="CK110" s="18">
        <v>1.0716253939737701</v>
      </c>
      <c r="CL110" s="18">
        <v>0.72700555031056002</v>
      </c>
      <c r="CM110" s="47"/>
      <c r="CN110" s="18">
        <v>3.16043619766802</v>
      </c>
      <c r="CO110" s="18">
        <v>3.1089760123772598</v>
      </c>
      <c r="CP110" s="18"/>
      <c r="CQ110" s="72"/>
      <c r="CR110" s="72"/>
      <c r="CS110" s="72"/>
      <c r="CT110" s="18"/>
      <c r="CU110" s="72"/>
      <c r="CV110" s="72"/>
      <c r="CW110" s="72"/>
      <c r="CX110" s="72"/>
      <c r="CY110" s="72"/>
      <c r="CZ110" s="72"/>
    </row>
    <row r="111" spans="75:121">
      <c r="CJ111" s="47"/>
      <c r="CK111" s="18">
        <v>0.46079497682632098</v>
      </c>
      <c r="CL111" s="18">
        <v>0.43839931960922301</v>
      </c>
      <c r="CM111" s="47"/>
      <c r="CN111" s="18">
        <v>1.5175780604820801</v>
      </c>
      <c r="CO111" s="18">
        <v>2.72539216311448</v>
      </c>
      <c r="CP111" s="18"/>
      <c r="CQ111" s="72"/>
      <c r="CR111" s="72"/>
      <c r="CS111" s="72"/>
      <c r="CT111" s="18"/>
      <c r="CU111" s="72"/>
      <c r="CV111" s="72"/>
      <c r="CW111" s="72"/>
      <c r="CX111" s="72"/>
      <c r="CY111" s="72"/>
      <c r="CZ111" s="72"/>
    </row>
    <row r="112" spans="75:121">
      <c r="CJ112" s="47"/>
      <c r="CK112" s="18">
        <v>0.75540036922926401</v>
      </c>
      <c r="CL112" s="18">
        <v>0.49630894482472798</v>
      </c>
      <c r="CM112" s="47"/>
      <c r="CN112" s="18">
        <v>3.1335635257411099</v>
      </c>
      <c r="CO112" s="18">
        <v>3.1865797895988699</v>
      </c>
      <c r="CP112" s="18"/>
      <c r="CQ112" s="72"/>
      <c r="CR112" s="72"/>
      <c r="CS112" s="72"/>
      <c r="CT112" s="18"/>
      <c r="CU112" s="72"/>
      <c r="CV112" s="72"/>
      <c r="CW112" s="72"/>
      <c r="CX112" s="72"/>
      <c r="CY112" s="72"/>
      <c r="CZ112" s="72"/>
    </row>
    <row r="113" spans="88:104">
      <c r="CJ113" s="47"/>
      <c r="CK113" s="18">
        <v>0.45659590512621301</v>
      </c>
      <c r="CL113" s="18">
        <v>0.57482812358744295</v>
      </c>
      <c r="CM113" s="47"/>
      <c r="CN113" s="18">
        <v>3.5453259303486702</v>
      </c>
      <c r="CO113" s="18">
        <v>1.50370491219459</v>
      </c>
      <c r="CP113" s="18"/>
      <c r="CQ113" s="72"/>
      <c r="CR113" s="72"/>
      <c r="CS113" s="72"/>
      <c r="CT113" s="18"/>
      <c r="CU113" s="72"/>
      <c r="CV113" s="72"/>
      <c r="CW113" s="72"/>
      <c r="CX113" s="72"/>
      <c r="CY113" s="72"/>
      <c r="CZ113" s="72"/>
    </row>
    <row r="114" spans="88:104">
      <c r="CJ114" s="47"/>
      <c r="CK114" s="18">
        <v>0.31730406836191499</v>
      </c>
      <c r="CL114" s="18">
        <v>0.58813294360128399</v>
      </c>
      <c r="CM114" s="47"/>
      <c r="CN114" s="18">
        <v>1.31074727546341</v>
      </c>
      <c r="CO114" s="18">
        <v>3.3779011231215299</v>
      </c>
      <c r="CP114" s="18"/>
      <c r="CQ114" s="72"/>
      <c r="CR114" s="72"/>
      <c r="CS114" s="72"/>
      <c r="CT114" s="18"/>
      <c r="CU114" s="72"/>
      <c r="CV114" s="72"/>
      <c r="CW114" s="72"/>
      <c r="CX114" s="72"/>
      <c r="CY114" s="72"/>
      <c r="CZ114" s="72"/>
    </row>
    <row r="115" spans="88:104">
      <c r="CJ115" s="47"/>
      <c r="CK115" s="18">
        <v>0.50517956668337305</v>
      </c>
      <c r="CL115" s="18">
        <v>0.70026214474670401</v>
      </c>
      <c r="CM115" s="47"/>
      <c r="CN115" s="18">
        <v>3.1198375484630199</v>
      </c>
      <c r="CO115" s="18">
        <v>3.47671866591867</v>
      </c>
      <c r="CP115" s="18"/>
      <c r="CQ115" s="72"/>
      <c r="CR115" s="72"/>
      <c r="CS115" s="72"/>
      <c r="CT115" s="18"/>
      <c r="CU115" s="72"/>
      <c r="CV115" s="72"/>
      <c r="CW115" s="72"/>
      <c r="CX115" s="72"/>
      <c r="CY115" s="72"/>
      <c r="CZ115" s="72"/>
    </row>
    <row r="116" spans="88:104">
      <c r="CJ116" s="47"/>
      <c r="CK116" s="18">
        <v>0.63969523339958201</v>
      </c>
      <c r="CL116" s="18">
        <v>0.226015216402988</v>
      </c>
      <c r="CM116" s="47"/>
      <c r="CN116" s="18">
        <v>3.5181448283682601</v>
      </c>
      <c r="CO116" s="18">
        <v>1.56227906362987</v>
      </c>
      <c r="CP116" s="18"/>
      <c r="CQ116" s="72"/>
      <c r="CR116" s="72"/>
      <c r="CS116" s="72"/>
      <c r="CT116" s="18"/>
      <c r="CU116" s="72"/>
      <c r="CV116" s="72"/>
      <c r="CW116" s="72"/>
      <c r="CX116" s="72"/>
      <c r="CY116" s="72"/>
      <c r="CZ116" s="72"/>
    </row>
    <row r="117" spans="88:104">
      <c r="CJ117" s="47"/>
      <c r="CK117" s="18">
        <v>0.79875561391461902</v>
      </c>
      <c r="CL117" s="18">
        <v>0.86306622827259805</v>
      </c>
      <c r="CM117" s="47"/>
      <c r="CN117" s="18">
        <v>3.7411972985714299</v>
      </c>
      <c r="CO117" s="18">
        <v>3.5635242501968998</v>
      </c>
      <c r="CP117" s="18"/>
      <c r="CQ117" s="72"/>
      <c r="CR117" s="72"/>
      <c r="CS117" s="72"/>
      <c r="CT117" s="18"/>
      <c r="CU117" s="72"/>
      <c r="CV117" s="72"/>
      <c r="CW117" s="72"/>
      <c r="CX117" s="72"/>
      <c r="CY117" s="72"/>
      <c r="CZ117" s="72"/>
    </row>
    <row r="118" spans="88:104">
      <c r="CJ118" s="47"/>
      <c r="CK118" s="18">
        <v>0.776272468166885</v>
      </c>
      <c r="CL118" s="18">
        <v>0.89886617208359798</v>
      </c>
      <c r="CM118" s="47"/>
      <c r="CN118" s="18">
        <v>3.3502567778709902</v>
      </c>
      <c r="CO118" s="18">
        <v>2.91027215382615</v>
      </c>
      <c r="CP118" s="18"/>
      <c r="CQ118" s="72"/>
      <c r="CR118" s="72"/>
      <c r="CS118" s="72"/>
      <c r="CT118" s="18"/>
      <c r="CU118" s="72"/>
      <c r="CV118" s="72"/>
      <c r="CW118" s="72"/>
      <c r="CX118" s="72"/>
      <c r="CY118" s="72"/>
      <c r="CZ118" s="72"/>
    </row>
    <row r="119" spans="88:104">
      <c r="CJ119" s="47"/>
      <c r="CK119" s="18">
        <v>1.28563894939416</v>
      </c>
      <c r="CL119" s="18">
        <v>1.2541707258927901</v>
      </c>
      <c r="CM119" s="47"/>
      <c r="CN119" s="18">
        <v>3.4993611876678798</v>
      </c>
      <c r="CO119" s="18">
        <v>3.0752587840558498</v>
      </c>
      <c r="CP119" s="18"/>
      <c r="CQ119" s="72"/>
      <c r="CR119" s="72"/>
      <c r="CS119" s="72"/>
      <c r="CT119" s="18"/>
      <c r="CU119" s="72"/>
      <c r="CV119" s="72"/>
      <c r="CW119" s="72"/>
      <c r="CX119" s="72"/>
      <c r="CY119" s="72"/>
      <c r="CZ119" s="72"/>
    </row>
    <row r="120" spans="88:104">
      <c r="CJ120" s="47"/>
      <c r="CK120" s="18">
        <v>0.22823379956006801</v>
      </c>
      <c r="CL120" s="18">
        <v>0.54715365881256905</v>
      </c>
      <c r="CM120" s="47"/>
      <c r="CN120" s="18">
        <v>3.1234675556511302</v>
      </c>
      <c r="CO120" s="18">
        <v>3.65758284500096</v>
      </c>
      <c r="CP120" s="18"/>
      <c r="CQ120" s="72"/>
      <c r="CR120" s="72"/>
      <c r="CS120" s="72"/>
      <c r="CT120" s="18"/>
      <c r="CU120" s="72"/>
      <c r="CV120" s="72"/>
      <c r="CW120" s="72"/>
      <c r="CX120" s="72"/>
      <c r="CY120" s="72"/>
      <c r="CZ120" s="72"/>
    </row>
    <row r="121" spans="88:104">
      <c r="CJ121" s="47"/>
      <c r="CK121" s="18">
        <v>0.60606314515211901</v>
      </c>
      <c r="CL121" s="18">
        <v>0.58457773073864105</v>
      </c>
      <c r="CM121" s="47"/>
      <c r="CN121" s="18">
        <v>3.0180109604981902</v>
      </c>
      <c r="CO121" s="18">
        <v>3.63810860049781</v>
      </c>
      <c r="CP121" s="18"/>
      <c r="CQ121" s="72"/>
      <c r="CR121" s="72"/>
      <c r="CS121" s="72"/>
      <c r="CT121" s="18"/>
      <c r="CU121" s="72"/>
      <c r="CV121" s="72"/>
      <c r="CW121" s="72"/>
      <c r="CX121" s="72"/>
      <c r="CY121" s="72"/>
      <c r="CZ121" s="72"/>
    </row>
    <row r="122" spans="88:104">
      <c r="CJ122" s="47"/>
      <c r="CK122" s="18">
        <v>0.61927213846012397</v>
      </c>
      <c r="CL122" s="18">
        <v>0.482538547845415</v>
      </c>
      <c r="CM122" s="47"/>
      <c r="CN122" s="18">
        <v>3.3516141960492201</v>
      </c>
      <c r="CO122" s="18">
        <v>3.8722870317144298</v>
      </c>
      <c r="CP122" s="18"/>
      <c r="CQ122" s="72"/>
      <c r="CR122" s="72"/>
      <c r="CS122" s="72"/>
      <c r="CT122" s="18"/>
      <c r="CU122" s="72"/>
      <c r="CV122" s="72"/>
      <c r="CW122" s="72"/>
      <c r="CX122" s="72"/>
      <c r="CY122" s="72"/>
      <c r="CZ122" s="72"/>
    </row>
    <row r="123" spans="88:104">
      <c r="CJ123" s="47"/>
      <c r="CK123" s="18">
        <v>0.59893683382252705</v>
      </c>
      <c r="CL123" s="18">
        <v>0.50406100130929299</v>
      </c>
      <c r="CM123" s="47"/>
      <c r="CN123" s="18">
        <v>2.6720858443723601</v>
      </c>
      <c r="CO123" s="18">
        <v>2.9753550465754199</v>
      </c>
      <c r="CP123" s="18"/>
      <c r="CQ123" s="72"/>
      <c r="CR123" s="72"/>
      <c r="CS123" s="72"/>
      <c r="CT123" s="18"/>
      <c r="CU123" s="72"/>
      <c r="CV123" s="72"/>
      <c r="CW123" s="72"/>
      <c r="CX123" s="72"/>
      <c r="CY123" s="72"/>
      <c r="CZ123" s="72"/>
    </row>
    <row r="124" spans="88:104">
      <c r="CJ124" s="47"/>
      <c r="CK124" s="18">
        <v>0.65278475490875598</v>
      </c>
      <c r="CL124" s="18">
        <v>0.45280626256250101</v>
      </c>
      <c r="CM124" s="47"/>
      <c r="CN124" s="18">
        <v>3.4348550381602498</v>
      </c>
      <c r="CO124" s="18">
        <v>3.1311778855005201</v>
      </c>
      <c r="CP124" s="18"/>
      <c r="CQ124" s="72"/>
      <c r="CR124" s="72"/>
      <c r="CS124" s="72"/>
      <c r="CT124" s="18"/>
      <c r="CU124" s="72"/>
      <c r="CV124" s="72"/>
      <c r="CW124" s="72"/>
      <c r="CX124" s="72"/>
      <c r="CY124" s="72"/>
      <c r="CZ124" s="72"/>
    </row>
    <row r="125" spans="88:104">
      <c r="CJ125" s="47"/>
      <c r="CK125" s="18">
        <v>0.26255342731929099</v>
      </c>
      <c r="CL125" s="18">
        <v>0.43253187873811599</v>
      </c>
      <c r="CM125" s="47"/>
      <c r="CN125" s="18">
        <v>3.5208245126256301</v>
      </c>
      <c r="CO125" s="18">
        <v>3.50493813164961</v>
      </c>
      <c r="CP125" s="18"/>
      <c r="CQ125" s="72"/>
      <c r="CR125" s="72"/>
      <c r="CS125" s="72"/>
      <c r="CT125" s="18"/>
      <c r="CU125" s="72"/>
      <c r="CV125" s="72"/>
      <c r="CW125" s="72"/>
      <c r="CX125" s="72"/>
      <c r="CY125" s="72"/>
      <c r="CZ125" s="72"/>
    </row>
    <row r="126" spans="88:104">
      <c r="CJ126" s="47"/>
      <c r="CK126" s="18">
        <v>1.03344062213263</v>
      </c>
      <c r="CL126" s="18">
        <v>0.395062799517578</v>
      </c>
      <c r="CM126" s="47"/>
      <c r="CN126" s="18">
        <v>3.2318010227771601</v>
      </c>
      <c r="CO126" s="18">
        <v>3.1662494659770601</v>
      </c>
      <c r="CP126" s="18"/>
      <c r="CQ126" s="72"/>
      <c r="CR126" s="72"/>
      <c r="CS126" s="72"/>
      <c r="CT126" s="18"/>
      <c r="CU126" s="72"/>
      <c r="CV126" s="72"/>
      <c r="CW126" s="72"/>
      <c r="CX126" s="72"/>
      <c r="CY126" s="72"/>
      <c r="CZ126" s="72"/>
    </row>
    <row r="127" spans="88:104">
      <c r="CJ127" s="47"/>
      <c r="CK127" s="18">
        <v>7.0251921820444194E-2</v>
      </c>
      <c r="CL127" s="18">
        <v>0.39615948907315501</v>
      </c>
      <c r="CM127" s="47"/>
      <c r="CN127" s="18">
        <v>0.80049614759648602</v>
      </c>
      <c r="CO127" s="18">
        <v>2.4998586401321701</v>
      </c>
      <c r="CP127" s="18"/>
      <c r="CQ127" s="72"/>
      <c r="CR127" s="72"/>
      <c r="CS127" s="72"/>
      <c r="CT127" s="18"/>
      <c r="CU127" s="72"/>
      <c r="CV127" s="72"/>
      <c r="CW127" s="72"/>
      <c r="CX127" s="72"/>
      <c r="CY127" s="72"/>
      <c r="CZ127" s="72"/>
    </row>
    <row r="128" spans="88:104">
      <c r="CJ128" s="47"/>
      <c r="CK128" s="18">
        <v>0.50416272491525005</v>
      </c>
      <c r="CL128" s="18">
        <v>0.353774944932223</v>
      </c>
      <c r="CM128" s="47"/>
      <c r="CN128" s="18">
        <v>2.3241769455033801</v>
      </c>
      <c r="CO128" s="18">
        <v>3.4061420655445298</v>
      </c>
      <c r="CP128" s="18"/>
      <c r="CQ128" s="72"/>
      <c r="CR128" s="72"/>
      <c r="CS128" s="72"/>
      <c r="CT128" s="18"/>
      <c r="CU128" s="72"/>
      <c r="CV128" s="72"/>
      <c r="CW128" s="72"/>
      <c r="CX128" s="72"/>
      <c r="CY128" s="72"/>
      <c r="CZ128" s="72"/>
    </row>
    <row r="129" spans="88:104">
      <c r="CJ129" s="47"/>
      <c r="CK129" s="18">
        <v>1.0164250034997899</v>
      </c>
      <c r="CL129" s="18">
        <v>0.29360591094171301</v>
      </c>
      <c r="CM129" s="47"/>
      <c r="CN129" s="18">
        <v>3.2909846222636299</v>
      </c>
      <c r="CO129" s="18">
        <v>1.3780676487800301</v>
      </c>
      <c r="CP129" s="18"/>
      <c r="CQ129" s="72"/>
      <c r="CR129" s="72"/>
      <c r="CS129" s="72"/>
      <c r="CT129" s="18"/>
      <c r="CU129" s="72"/>
      <c r="CV129" s="72"/>
      <c r="CW129" s="72"/>
      <c r="CX129" s="72"/>
      <c r="CY129" s="72"/>
      <c r="CZ129" s="72"/>
    </row>
    <row r="130" spans="88:104">
      <c r="CJ130" s="47"/>
      <c r="CK130" s="18">
        <v>0.51994441418302495</v>
      </c>
      <c r="CL130" s="18">
        <v>0.62965969992739201</v>
      </c>
      <c r="CM130" s="47"/>
      <c r="CN130" s="18">
        <v>2.8938475581329199</v>
      </c>
      <c r="CO130" s="18">
        <v>3.0066570819014502</v>
      </c>
      <c r="CP130" s="18"/>
      <c r="CQ130" s="72"/>
      <c r="CR130" s="72"/>
      <c r="CS130" s="72"/>
      <c r="CT130" s="18"/>
      <c r="CU130" s="72"/>
      <c r="CV130" s="72"/>
      <c r="CW130" s="72"/>
      <c r="CX130" s="72"/>
      <c r="CY130" s="72"/>
      <c r="CZ130" s="72"/>
    </row>
    <row r="131" spans="88:104">
      <c r="CJ131" s="47"/>
      <c r="CK131" s="18">
        <v>0.48377708995114899</v>
      </c>
      <c r="CL131" s="18">
        <v>0.92059819692918898</v>
      </c>
      <c r="CM131" s="47"/>
      <c r="CN131" s="18">
        <v>2.59953203942902</v>
      </c>
      <c r="CO131" s="18">
        <v>3.3548329547290501</v>
      </c>
      <c r="CP131" s="18"/>
      <c r="CQ131" s="72"/>
      <c r="CR131" s="72"/>
      <c r="CS131" s="72"/>
      <c r="CT131" s="18"/>
      <c r="CU131" s="72"/>
      <c r="CV131" s="72"/>
      <c r="CW131" s="72"/>
      <c r="CX131" s="72"/>
      <c r="CY131" s="72"/>
      <c r="CZ131" s="72"/>
    </row>
    <row r="132" spans="88:104">
      <c r="CJ132" s="47"/>
      <c r="CK132" s="18">
        <v>1.14110576043013</v>
      </c>
      <c r="CL132" s="18">
        <v>0.59607642371051195</v>
      </c>
      <c r="CM132" s="47"/>
      <c r="CN132" s="18">
        <v>3.6590340129274099</v>
      </c>
      <c r="CO132" s="18">
        <v>4.1003890156946099</v>
      </c>
      <c r="CP132" s="18"/>
      <c r="CQ132" s="72"/>
      <c r="CR132" s="72"/>
      <c r="CS132" s="72"/>
      <c r="CT132" s="18"/>
      <c r="CU132" s="72"/>
      <c r="CV132" s="72"/>
      <c r="CW132" s="72"/>
      <c r="CX132" s="72"/>
      <c r="CY132" s="72"/>
      <c r="CZ132" s="72"/>
    </row>
    <row r="133" spans="88:104">
      <c r="CJ133" s="47"/>
      <c r="CK133" s="18">
        <v>0.83543905322412504</v>
      </c>
      <c r="CL133" s="18">
        <v>0.79135566923276002</v>
      </c>
      <c r="CM133" s="47"/>
      <c r="CN133" s="18">
        <v>2.69797393291645</v>
      </c>
      <c r="CO133" s="18">
        <v>4.1064069508339802</v>
      </c>
      <c r="CP133" s="18"/>
      <c r="CQ133" s="72"/>
      <c r="CR133" s="72"/>
      <c r="CS133" s="72"/>
      <c r="CT133" s="18"/>
      <c r="CU133" s="72"/>
      <c r="CV133" s="72"/>
      <c r="CW133" s="72"/>
      <c r="CX133" s="72"/>
      <c r="CY133" s="72"/>
      <c r="CZ133" s="72"/>
    </row>
    <row r="134" spans="88:104">
      <c r="CJ134" s="47"/>
      <c r="CK134" s="18">
        <v>0.76638314100129801</v>
      </c>
      <c r="CL134" s="18">
        <v>0.45617532497867003</v>
      </c>
      <c r="CM134" s="47"/>
      <c r="CN134" s="18">
        <v>3.3969540680216501</v>
      </c>
      <c r="CO134" s="18">
        <v>3.2593327550232698</v>
      </c>
      <c r="CP134" s="18"/>
      <c r="CQ134" s="72"/>
      <c r="CR134" s="72"/>
      <c r="CS134" s="72"/>
      <c r="CT134" s="18"/>
      <c r="CU134" s="72"/>
      <c r="CV134" s="72"/>
      <c r="CW134" s="72"/>
      <c r="CX134" s="72"/>
      <c r="CY134" s="72"/>
      <c r="CZ134" s="72"/>
    </row>
    <row r="135" spans="88:104">
      <c r="CJ135" s="47"/>
      <c r="CK135" s="18">
        <v>0.40566567475745702</v>
      </c>
      <c r="CL135" s="18">
        <v>1.0396297391953</v>
      </c>
      <c r="CM135" s="47"/>
      <c r="CN135" s="18">
        <v>3.4619737670187298</v>
      </c>
      <c r="CO135" s="18">
        <v>3.4784929837307299</v>
      </c>
      <c r="CP135" s="18"/>
      <c r="CQ135" s="72"/>
      <c r="CR135" s="72"/>
      <c r="CS135" s="72"/>
      <c r="CT135" s="18"/>
      <c r="CU135" s="72"/>
      <c r="CV135" s="72"/>
      <c r="CW135" s="72"/>
      <c r="CX135" s="72"/>
      <c r="CY135" s="72"/>
      <c r="CZ135" s="72"/>
    </row>
    <row r="136" spans="88:104">
      <c r="CJ136" s="47"/>
      <c r="CK136" s="18">
        <v>0.93304380494605499</v>
      </c>
      <c r="CL136" s="18">
        <v>0.53684865042082996</v>
      </c>
      <c r="CM136" s="47"/>
      <c r="CN136" s="18">
        <v>3.0130334074540599</v>
      </c>
      <c r="CO136" s="18">
        <v>4.1061137703590598</v>
      </c>
      <c r="CP136" s="18"/>
      <c r="CQ136" s="72"/>
      <c r="CR136" s="72"/>
      <c r="CS136" s="72"/>
      <c r="CT136" s="18"/>
      <c r="CU136" s="72"/>
      <c r="CV136" s="72"/>
      <c r="CW136" s="72"/>
      <c r="CX136" s="72"/>
      <c r="CY136" s="72"/>
      <c r="CZ136" s="72"/>
    </row>
    <row r="137" spans="88:104">
      <c r="CJ137" s="47"/>
      <c r="CK137" s="18">
        <v>0.67726016082764795</v>
      </c>
      <c r="CL137" s="18">
        <v>0.42427716417630501</v>
      </c>
      <c r="CM137" s="47"/>
      <c r="CN137" s="18">
        <v>3.633198686374</v>
      </c>
      <c r="CO137" s="18">
        <v>2.7863454365852101</v>
      </c>
      <c r="CP137" s="18"/>
      <c r="CQ137" s="72"/>
      <c r="CR137" s="72"/>
      <c r="CS137" s="72"/>
      <c r="CT137" s="18"/>
      <c r="CU137" s="72"/>
      <c r="CV137" s="72"/>
      <c r="CW137" s="72"/>
      <c r="CX137" s="72"/>
      <c r="CY137" s="72"/>
      <c r="CZ137" s="72"/>
    </row>
    <row r="138" spans="88:104">
      <c r="CJ138" s="47"/>
      <c r="CK138" s="18">
        <v>0.44604444259604098</v>
      </c>
      <c r="CL138" s="18">
        <v>0.58062791045726503</v>
      </c>
      <c r="CM138" s="47"/>
      <c r="CN138" s="18">
        <v>3.0428194111349298</v>
      </c>
      <c r="CO138" s="18">
        <v>3.4212098317640001</v>
      </c>
      <c r="CP138" s="18"/>
      <c r="CQ138" s="72"/>
      <c r="CR138" s="72"/>
      <c r="CS138" s="72"/>
      <c r="CT138" s="18"/>
      <c r="CU138" s="72"/>
      <c r="CV138" s="72"/>
      <c r="CW138" s="72"/>
      <c r="CX138" s="72"/>
      <c r="CY138" s="72"/>
      <c r="CZ138" s="72"/>
    </row>
    <row r="139" spans="88:104">
      <c r="CJ139" s="47"/>
      <c r="CK139" s="18">
        <v>0.88416807644809703</v>
      </c>
      <c r="CL139" s="18">
        <v>0.78701447377342904</v>
      </c>
      <c r="CM139" s="47"/>
      <c r="CN139" s="18">
        <v>3.6121401486142002</v>
      </c>
      <c r="CO139" s="18">
        <v>2.4665488169645502</v>
      </c>
      <c r="CP139" s="18"/>
      <c r="CQ139" s="72"/>
      <c r="CR139" s="72"/>
      <c r="CS139" s="72"/>
      <c r="CT139" s="18"/>
      <c r="CU139" s="72"/>
      <c r="CV139" s="72"/>
      <c r="CW139" s="72"/>
      <c r="CX139" s="72"/>
      <c r="CY139" s="72"/>
      <c r="CZ139" s="72"/>
    </row>
    <row r="140" spans="88:104">
      <c r="CJ140" s="47"/>
      <c r="CK140" s="18">
        <v>0.75745001623129005</v>
      </c>
      <c r="CL140" s="18">
        <v>0.51561153949204097</v>
      </c>
      <c r="CM140" s="47"/>
      <c r="CN140" s="18">
        <v>2.8119230863495699</v>
      </c>
      <c r="CO140" s="18">
        <v>3.24401935501619</v>
      </c>
      <c r="CP140" s="18"/>
      <c r="CQ140" s="72"/>
      <c r="CR140" s="72"/>
      <c r="CS140" s="72"/>
      <c r="CT140" s="18"/>
      <c r="CU140" s="72"/>
      <c r="CV140" s="72"/>
      <c r="CW140" s="72"/>
      <c r="CX140" s="72"/>
      <c r="CY140" s="72"/>
      <c r="CZ140" s="72"/>
    </row>
    <row r="141" spans="88:104">
      <c r="CJ141" s="47"/>
      <c r="CK141" s="18">
        <v>0.92561971200293502</v>
      </c>
      <c r="CL141" s="18">
        <v>3.1549557912719801</v>
      </c>
      <c r="CM141" s="47"/>
      <c r="CN141" s="18">
        <v>3.7109111027644901</v>
      </c>
      <c r="CO141" s="18">
        <v>3.5985200437409199</v>
      </c>
      <c r="CP141" s="18"/>
      <c r="CQ141" s="72"/>
      <c r="CR141" s="72"/>
      <c r="CS141" s="72"/>
      <c r="CT141" s="18"/>
      <c r="CU141" s="72"/>
      <c r="CV141" s="72"/>
      <c r="CW141" s="72"/>
      <c r="CX141" s="72"/>
      <c r="CY141" s="72"/>
      <c r="CZ141" s="72"/>
    </row>
    <row r="142" spans="88:104">
      <c r="CJ142" s="47"/>
      <c r="CK142" s="18">
        <v>0.44222694522181799</v>
      </c>
      <c r="CL142" s="18">
        <v>0.234256047688296</v>
      </c>
      <c r="CM142" s="47"/>
      <c r="CN142" s="18">
        <v>3.3596898310720502</v>
      </c>
      <c r="CO142" s="18">
        <v>3.7403339585802899</v>
      </c>
      <c r="CP142" s="18"/>
      <c r="CQ142" s="72"/>
      <c r="CR142" s="72"/>
      <c r="CS142" s="72"/>
      <c r="CT142" s="18"/>
      <c r="CU142" s="72"/>
      <c r="CV142" s="72"/>
      <c r="CW142" s="72"/>
      <c r="CX142" s="72"/>
      <c r="CY142" s="72"/>
      <c r="CZ142" s="72"/>
    </row>
    <row r="143" spans="88:104">
      <c r="CJ143" s="47"/>
      <c r="CK143" s="18">
        <v>0.35038409009431998</v>
      </c>
      <c r="CL143" s="18">
        <v>0.36154379796786501</v>
      </c>
      <c r="CM143" s="47"/>
      <c r="CN143" s="18">
        <v>3.4888234638727602</v>
      </c>
      <c r="CO143" s="18">
        <v>2.4235512798636898</v>
      </c>
      <c r="CP143" s="18"/>
      <c r="CQ143" s="72"/>
      <c r="CR143" s="72"/>
      <c r="CS143" s="72"/>
      <c r="CT143" s="18"/>
      <c r="CU143" s="72"/>
      <c r="CV143" s="72"/>
      <c r="CW143" s="72"/>
      <c r="CX143" s="72"/>
      <c r="CY143" s="72"/>
      <c r="CZ143" s="72"/>
    </row>
    <row r="144" spans="88:104">
      <c r="CJ144" s="47"/>
      <c r="CK144" s="18">
        <v>0.19471746289360001</v>
      </c>
      <c r="CL144" s="18">
        <v>0.15924165973010601</v>
      </c>
      <c r="CM144" s="47"/>
      <c r="CN144" s="18">
        <v>3.3844781296648101</v>
      </c>
      <c r="CO144" s="18">
        <v>3.2631395985120899</v>
      </c>
      <c r="CP144" s="18"/>
      <c r="CQ144" s="72"/>
      <c r="CR144" s="72"/>
      <c r="CS144" s="72"/>
      <c r="CT144" s="18"/>
      <c r="CU144" s="72"/>
      <c r="CV144" s="72"/>
      <c r="CW144" s="72"/>
      <c r="CX144" s="72"/>
      <c r="CY144" s="72"/>
      <c r="CZ144" s="72"/>
    </row>
    <row r="145" spans="88:104">
      <c r="CJ145" s="47"/>
      <c r="CK145" s="18">
        <v>0.73005297752357601</v>
      </c>
      <c r="CL145" s="18">
        <v>0.31487050853683302</v>
      </c>
      <c r="CM145" s="47"/>
      <c r="CN145" s="18">
        <v>3.1651401518994402</v>
      </c>
      <c r="CO145" s="18">
        <v>2.9526690378375098</v>
      </c>
      <c r="CP145" s="18"/>
      <c r="CQ145" s="72"/>
      <c r="CR145" s="72"/>
      <c r="CS145" s="72"/>
      <c r="CT145" s="18"/>
      <c r="CU145" s="72"/>
      <c r="CV145" s="72"/>
      <c r="CW145" s="72"/>
      <c r="CX145" s="72"/>
      <c r="CY145" s="72"/>
      <c r="CZ145" s="72"/>
    </row>
    <row r="146" spans="88:104">
      <c r="CJ146" s="47"/>
      <c r="CK146" s="18">
        <v>0.57473126266284502</v>
      </c>
      <c r="CL146" s="18">
        <v>0.69171281578202404</v>
      </c>
      <c r="CM146" s="47"/>
      <c r="CN146" s="18">
        <v>4.0735717667889801</v>
      </c>
      <c r="CO146" s="18">
        <v>3.8138017094005998</v>
      </c>
      <c r="CP146" s="18"/>
      <c r="CQ146" s="72"/>
      <c r="CR146" s="72"/>
      <c r="CS146" s="72"/>
      <c r="CT146" s="18"/>
      <c r="CU146" s="72"/>
      <c r="CV146" s="72"/>
      <c r="CW146" s="72"/>
      <c r="CX146" s="72"/>
      <c r="CY146" s="72"/>
      <c r="CZ146" s="72"/>
    </row>
    <row r="147" spans="88:104">
      <c r="CJ147" s="47"/>
      <c r="CK147" s="18">
        <v>0.84326030579973199</v>
      </c>
      <c r="CL147" s="18">
        <v>0.78450398292956702</v>
      </c>
      <c r="CM147" s="47"/>
      <c r="CN147" s="18">
        <v>4.1866986293722102</v>
      </c>
      <c r="CO147" s="18">
        <v>3.5038193789953298</v>
      </c>
      <c r="CP147" s="18"/>
      <c r="CQ147" s="72"/>
      <c r="CR147" s="72"/>
      <c r="CS147" s="72"/>
      <c r="CT147" s="18"/>
      <c r="CU147" s="72"/>
      <c r="CV147" s="72"/>
      <c r="CW147" s="72"/>
      <c r="CX147" s="72"/>
      <c r="CY147" s="72"/>
      <c r="CZ147" s="72"/>
    </row>
    <row r="148" spans="88:104">
      <c r="CJ148" s="47"/>
      <c r="CK148" s="18">
        <v>0.43007112795128</v>
      </c>
      <c r="CL148" s="18">
        <v>0.36154379796786501</v>
      </c>
      <c r="CM148" s="47"/>
      <c r="CN148" s="18">
        <v>3.1551663386668301</v>
      </c>
      <c r="CO148" s="18">
        <v>3.0280032784727502</v>
      </c>
      <c r="CP148" s="18"/>
      <c r="CQ148" s="72"/>
      <c r="CR148" s="72"/>
      <c r="CS148" s="72"/>
      <c r="CT148" s="18"/>
      <c r="CU148" s="72"/>
      <c r="CV148" s="72"/>
      <c r="CW148" s="72"/>
      <c r="CX148" s="72"/>
      <c r="CY148" s="72"/>
      <c r="CZ148" s="72"/>
    </row>
    <row r="149" spans="88:104">
      <c r="CJ149" s="47"/>
      <c r="CK149" s="18">
        <v>1.04369446122598</v>
      </c>
      <c r="CL149" s="18">
        <v>0.44339447483858402</v>
      </c>
      <c r="CM149" s="47"/>
      <c r="CN149" s="18">
        <v>3.79850679473997</v>
      </c>
      <c r="CO149" s="18">
        <v>2.2084860458148898</v>
      </c>
      <c r="CP149" s="18"/>
      <c r="CQ149" s="72"/>
      <c r="CR149" s="72"/>
      <c r="CS149" s="72"/>
      <c r="CT149" s="18"/>
      <c r="CU149" s="72"/>
      <c r="CV149" s="72"/>
      <c r="CW149" s="72"/>
      <c r="CX149" s="72"/>
      <c r="CY149" s="72"/>
      <c r="CZ149" s="72"/>
    </row>
    <row r="150" spans="88:104">
      <c r="CJ150" s="47"/>
      <c r="CK150" s="18">
        <v>0.82195506470135304</v>
      </c>
      <c r="CL150" s="18">
        <v>0.45585980938618498</v>
      </c>
      <c r="CM150" s="47"/>
      <c r="CN150" s="18">
        <v>4.3614806337613299</v>
      </c>
      <c r="CO150" s="18">
        <v>3.80114830673778</v>
      </c>
      <c r="CP150" s="18"/>
      <c r="CQ150" s="72"/>
      <c r="CR150" s="72"/>
      <c r="CS150" s="72"/>
      <c r="CT150" s="18"/>
      <c r="CU150" s="72"/>
      <c r="CV150" s="72"/>
      <c r="CW150" s="72"/>
      <c r="CX150" s="72"/>
      <c r="CY150" s="72"/>
      <c r="CZ150" s="72"/>
    </row>
    <row r="151" spans="88:104">
      <c r="CJ151" s="47"/>
      <c r="CK151" s="18">
        <v>0.91149984886110802</v>
      </c>
      <c r="CL151" s="18">
        <v>0.39933518250207101</v>
      </c>
      <c r="CM151" s="47"/>
      <c r="CN151" s="18">
        <v>3.1598067671638002</v>
      </c>
      <c r="CO151" s="18">
        <v>2.8295248661976999</v>
      </c>
      <c r="CP151" s="18"/>
      <c r="CQ151" s="72"/>
      <c r="CR151" s="72"/>
      <c r="CS151" s="72"/>
      <c r="CT151" s="18"/>
      <c r="CU151" s="72"/>
      <c r="CV151" s="72"/>
      <c r="CW151" s="72"/>
      <c r="CX151" s="72"/>
      <c r="CY151" s="72"/>
      <c r="CZ151" s="72"/>
    </row>
    <row r="152" spans="88:104">
      <c r="CJ152" s="47"/>
      <c r="CK152" s="18">
        <v>0.70070603725840197</v>
      </c>
      <c r="CL152" s="18">
        <v>0.52446492596499805</v>
      </c>
      <c r="CM152" s="47"/>
      <c r="CN152" s="18">
        <v>4.3645304114399899</v>
      </c>
      <c r="CO152" s="18">
        <v>1.7811078756837599</v>
      </c>
      <c r="CP152" s="18"/>
      <c r="CQ152" s="72"/>
      <c r="CR152" s="72"/>
      <c r="CS152" s="72"/>
      <c r="CT152" s="18"/>
      <c r="CU152" s="72"/>
      <c r="CV152" s="72"/>
      <c r="CW152" s="72"/>
      <c r="CX152" s="72"/>
      <c r="CY152" s="72"/>
      <c r="CZ152" s="72"/>
    </row>
    <row r="153" spans="88:104">
      <c r="CJ153" s="47"/>
      <c r="CK153" s="18">
        <v>0.71878902801998401</v>
      </c>
      <c r="CL153" s="18">
        <v>0.48315795180808402</v>
      </c>
      <c r="CM153" s="47"/>
      <c r="CN153" s="18">
        <v>4.4911411911584498</v>
      </c>
      <c r="CO153" s="18">
        <v>3.0744198037747399</v>
      </c>
      <c r="CP153" s="18"/>
      <c r="CQ153" s="72"/>
      <c r="CR153" s="72"/>
      <c r="CS153" s="72"/>
      <c r="CT153" s="18"/>
      <c r="CU153" s="72"/>
      <c r="CV153" s="72"/>
      <c r="CW153" s="72"/>
      <c r="CX153" s="72"/>
      <c r="CY153" s="72"/>
      <c r="CZ153" s="72"/>
    </row>
    <row r="154" spans="88:104">
      <c r="CJ154" s="47"/>
      <c r="CK154" s="18">
        <v>0.69296275277291897</v>
      </c>
      <c r="CL154" s="18">
        <v>0.58178507518013201</v>
      </c>
      <c r="CM154" s="47"/>
      <c r="CN154" s="18">
        <v>3.44748662836118</v>
      </c>
      <c r="CO154" s="18">
        <v>2.9408432956894601</v>
      </c>
      <c r="CP154" s="18"/>
      <c r="CQ154" s="72"/>
      <c r="CR154" s="72"/>
      <c r="CS154" s="72"/>
      <c r="CT154" s="18"/>
      <c r="CU154" s="72"/>
      <c r="CV154" s="72"/>
      <c r="CW154" s="72"/>
      <c r="CX154" s="72"/>
      <c r="CY154" s="72"/>
      <c r="CZ154" s="72"/>
    </row>
    <row r="155" spans="88:104">
      <c r="CJ155" s="47"/>
      <c r="CK155" s="18">
        <v>0.54735111245564605</v>
      </c>
      <c r="CL155" s="18">
        <v>8.3792032493886504E-2</v>
      </c>
      <c r="CM155" s="47"/>
      <c r="CN155" s="18">
        <v>1.52697021440912</v>
      </c>
      <c r="CO155" s="18">
        <v>2.2012260853827099</v>
      </c>
      <c r="CP155" s="18"/>
      <c r="CQ155" s="72"/>
      <c r="CR155" s="72"/>
      <c r="CS155" s="72"/>
      <c r="CT155" s="18"/>
      <c r="CU155" s="72"/>
      <c r="CV155" s="72"/>
      <c r="CW155" s="72"/>
      <c r="CX155" s="72"/>
      <c r="CY155" s="72"/>
      <c r="CZ155" s="72"/>
    </row>
    <row r="156" spans="88:104">
      <c r="CJ156" s="47"/>
      <c r="CK156" s="18">
        <v>0.57744091338861303</v>
      </c>
      <c r="CL156" s="18">
        <v>0.56647422376316403</v>
      </c>
      <c r="CM156" s="47"/>
      <c r="CN156" s="18">
        <v>3.0713164767231902</v>
      </c>
      <c r="CO156" s="18">
        <v>2.6849084825093001</v>
      </c>
      <c r="CP156" s="18"/>
      <c r="CQ156" s="72"/>
      <c r="CR156" s="72"/>
      <c r="CS156" s="72"/>
      <c r="CT156" s="18"/>
      <c r="CU156" s="72"/>
      <c r="CV156" s="72"/>
      <c r="CW156" s="72"/>
      <c r="CX156" s="72"/>
      <c r="CY156" s="72"/>
      <c r="CZ156" s="72"/>
    </row>
    <row r="157" spans="88:104">
      <c r="CJ157" s="47"/>
      <c r="CK157" s="18">
        <v>0.62227443136312299</v>
      </c>
      <c r="CL157" s="18">
        <v>0.59187087006333405</v>
      </c>
      <c r="CM157" s="47"/>
      <c r="CN157" s="18">
        <v>3.8116765280077001</v>
      </c>
      <c r="CO157" s="18">
        <v>3.09781302941991</v>
      </c>
      <c r="CP157" s="18"/>
      <c r="CQ157" s="72"/>
      <c r="CR157" s="72"/>
      <c r="CS157" s="72"/>
      <c r="CT157" s="18"/>
      <c r="CU157" s="72"/>
      <c r="CV157" s="72"/>
      <c r="CW157" s="72"/>
      <c r="CX157" s="72"/>
      <c r="CY157" s="72"/>
      <c r="CZ157" s="72"/>
    </row>
    <row r="158" spans="88:104">
      <c r="CJ158" s="47"/>
      <c r="CK158" s="18">
        <v>0.45670103100820503</v>
      </c>
      <c r="CL158" s="18">
        <v>0.53017064839463901</v>
      </c>
      <c r="CM158" s="47"/>
      <c r="CN158" s="18">
        <v>3.25226426015529</v>
      </c>
      <c r="CO158" s="18">
        <v>2.5797111630216301</v>
      </c>
      <c r="CP158" s="18"/>
      <c r="CQ158" s="72"/>
      <c r="CR158" s="72"/>
      <c r="CS158" s="72"/>
      <c r="CT158" s="18"/>
      <c r="CU158" s="72"/>
      <c r="CV158" s="72"/>
      <c r="CW158" s="72"/>
      <c r="CX158" s="72"/>
      <c r="CY158" s="72"/>
      <c r="CZ158" s="72"/>
    </row>
    <row r="159" spans="88:104">
      <c r="CJ159" s="47"/>
      <c r="CK159" s="18">
        <v>0.84831746983610201</v>
      </c>
      <c r="CL159" s="18">
        <v>0.48171226200330403</v>
      </c>
      <c r="CM159" s="47"/>
      <c r="CN159" s="18">
        <v>2.6186145532111502</v>
      </c>
      <c r="CO159" s="18">
        <v>3.1833435876729399</v>
      </c>
      <c r="CP159" s="18"/>
      <c r="CQ159" s="72"/>
      <c r="CR159" s="72"/>
      <c r="CS159" s="72"/>
      <c r="CT159" s="18"/>
      <c r="CU159" s="72"/>
      <c r="CV159" s="72"/>
      <c r="CW159" s="72"/>
      <c r="CX159" s="72"/>
      <c r="CY159" s="72"/>
      <c r="CZ159" s="72"/>
    </row>
    <row r="160" spans="88:104">
      <c r="CJ160" s="47"/>
      <c r="CK160" s="18">
        <v>0.51146803927586604</v>
      </c>
      <c r="CL160" s="18">
        <v>0.45333319746038803</v>
      </c>
      <c r="CM160" s="47"/>
      <c r="CN160" s="18">
        <v>3.4322913382477802</v>
      </c>
      <c r="CO160" s="18">
        <v>3.3951999313118799</v>
      </c>
      <c r="CP160" s="18"/>
      <c r="CQ160" s="72"/>
      <c r="CR160" s="72"/>
      <c r="CS160" s="72"/>
      <c r="CT160" s="18"/>
      <c r="CU160" s="72"/>
      <c r="CV160" s="72"/>
      <c r="CW160" s="72"/>
      <c r="CX160" s="72"/>
      <c r="CY160" s="72"/>
      <c r="CZ160" s="72"/>
    </row>
    <row r="161" spans="88:104">
      <c r="CJ161" s="47"/>
      <c r="CK161" s="18">
        <v>0.68194394730573904</v>
      </c>
      <c r="CL161" s="18">
        <v>0.36647609351009602</v>
      </c>
      <c r="CM161" s="47"/>
      <c r="CN161" s="18">
        <v>3.1412529333285799</v>
      </c>
      <c r="CO161" s="18">
        <v>3.3243209831070502</v>
      </c>
      <c r="CP161" s="18"/>
      <c r="CQ161" s="72"/>
      <c r="CR161" s="72"/>
      <c r="CS161" s="72"/>
      <c r="CT161" s="18"/>
      <c r="CU161" s="72"/>
      <c r="CV161" s="72"/>
      <c r="CW161" s="72"/>
      <c r="CX161" s="72"/>
      <c r="CY161" s="72"/>
      <c r="CZ161" s="72"/>
    </row>
    <row r="162" spans="88:104">
      <c r="CJ162" s="47"/>
      <c r="CK162" s="18">
        <v>0.77171658530433895</v>
      </c>
      <c r="CL162" s="18">
        <v>0.248777693649712</v>
      </c>
      <c r="CM162" s="47"/>
      <c r="CN162" s="18">
        <v>2.8455502665241998</v>
      </c>
      <c r="CO162" s="18">
        <v>2.8859452396435898</v>
      </c>
      <c r="CP162" s="18"/>
      <c r="CQ162" s="72"/>
      <c r="CR162" s="72"/>
      <c r="CS162" s="72"/>
      <c r="CT162" s="18"/>
      <c r="CU162" s="72"/>
      <c r="CV162" s="72"/>
      <c r="CW162" s="72"/>
      <c r="CX162" s="72"/>
      <c r="CY162" s="72"/>
      <c r="CZ162" s="72"/>
    </row>
    <row r="163" spans="88:104">
      <c r="CJ163" s="47"/>
      <c r="CK163" s="18">
        <v>1.2255217342566</v>
      </c>
      <c r="CL163" s="18">
        <v>0.72465027173296703</v>
      </c>
      <c r="CM163" s="47"/>
      <c r="CN163" s="18">
        <v>2.9103297253751301</v>
      </c>
      <c r="CO163" s="18">
        <v>3.01328358681842</v>
      </c>
      <c r="CP163" s="18"/>
      <c r="CQ163" s="72"/>
      <c r="CR163" s="72"/>
      <c r="CS163" s="72"/>
      <c r="CT163" s="18"/>
      <c r="CU163" s="72"/>
      <c r="CV163" s="72"/>
      <c r="CW163" s="72"/>
      <c r="CX163" s="72"/>
      <c r="CY163" s="72"/>
      <c r="CZ163" s="72"/>
    </row>
    <row r="164" spans="88:104">
      <c r="CJ164" s="47"/>
      <c r="CK164" s="18">
        <v>0.98389654460229503</v>
      </c>
      <c r="CL164" s="18">
        <v>0.70752479089960796</v>
      </c>
      <c r="CM164" s="47"/>
      <c r="CN164" s="18">
        <v>2.8953995733874298</v>
      </c>
      <c r="CO164" s="18">
        <v>3.0103859972724401</v>
      </c>
      <c r="CP164" s="18"/>
      <c r="CQ164" s="72"/>
      <c r="CR164" s="72"/>
      <c r="CS164" s="72"/>
      <c r="CT164" s="18"/>
      <c r="CU164" s="72"/>
      <c r="CV164" s="72"/>
      <c r="CW164" s="72"/>
      <c r="CX164" s="72"/>
      <c r="CY164" s="72"/>
      <c r="CZ164" s="72"/>
    </row>
    <row r="165" spans="88:104">
      <c r="CJ165" s="47"/>
      <c r="CK165" s="18">
        <v>0.62339868237726404</v>
      </c>
      <c r="CL165" s="18">
        <v>0.76629832398484798</v>
      </c>
      <c r="CM165" s="47"/>
      <c r="CN165" s="18">
        <v>3.5626087764426702</v>
      </c>
      <c r="CO165" s="18">
        <v>3.7612427153580801</v>
      </c>
      <c r="CP165" s="18"/>
      <c r="CQ165" s="72"/>
      <c r="CR165" s="72"/>
      <c r="CS165" s="72"/>
      <c r="CT165" s="18"/>
      <c r="CU165" s="72"/>
      <c r="CV165" s="72"/>
      <c r="CW165" s="72"/>
      <c r="CX165" s="72"/>
      <c r="CY165" s="72"/>
      <c r="CZ165" s="72"/>
    </row>
    <row r="166" spans="88:104">
      <c r="CJ166" s="47"/>
      <c r="CK166" s="18">
        <v>0.78500643070834697</v>
      </c>
      <c r="CL166" s="18">
        <v>0.873813198359087</v>
      </c>
      <c r="CM166" s="47"/>
      <c r="CN166" s="18">
        <v>3.7926367456432502</v>
      </c>
      <c r="CO166" s="18">
        <v>3.75579557986141</v>
      </c>
      <c r="CP166" s="18"/>
      <c r="CQ166" s="72"/>
      <c r="CR166" s="72"/>
      <c r="CS166" s="72"/>
      <c r="CT166" s="18"/>
      <c r="CU166" s="72"/>
      <c r="CV166" s="72"/>
      <c r="CW166" s="72"/>
      <c r="CX166" s="72"/>
      <c r="CY166" s="72"/>
      <c r="CZ166" s="72"/>
    </row>
    <row r="167" spans="88:104">
      <c r="CJ167" s="47"/>
      <c r="CK167" s="18">
        <v>0.82317869009563704</v>
      </c>
      <c r="CL167" s="18">
        <v>0.19522159325284499</v>
      </c>
      <c r="CM167" s="47"/>
      <c r="CN167" s="18">
        <v>3.0535458177279802</v>
      </c>
      <c r="CO167" s="18">
        <v>3.5406100836635002</v>
      </c>
      <c r="CP167" s="18"/>
      <c r="CQ167" s="72"/>
      <c r="CR167" s="72"/>
      <c r="CS167" s="72"/>
      <c r="CT167" s="18"/>
      <c r="CU167" s="72"/>
      <c r="CV167" s="72"/>
      <c r="CW167" s="72"/>
      <c r="CX167" s="72"/>
      <c r="CY167" s="72"/>
      <c r="CZ167" s="72"/>
    </row>
    <row r="168" spans="88:104">
      <c r="CJ168" s="47"/>
      <c r="CK168" s="18">
        <v>0.93869981323933605</v>
      </c>
      <c r="CL168" s="18">
        <v>0.48892626752413398</v>
      </c>
      <c r="CM168" s="47"/>
      <c r="CN168" s="18">
        <v>2.9934388744154798</v>
      </c>
      <c r="CO168" s="18">
        <v>3.7917724042773702</v>
      </c>
      <c r="CP168" s="18"/>
      <c r="CQ168" s="72"/>
      <c r="CR168" s="72"/>
      <c r="CS168" s="72"/>
      <c r="CT168" s="18"/>
      <c r="CU168" s="72"/>
      <c r="CV168" s="72"/>
      <c r="CW168" s="72"/>
      <c r="CX168" s="72"/>
      <c r="CY168" s="72"/>
      <c r="CZ168" s="72"/>
    </row>
    <row r="169" spans="88:104">
      <c r="CJ169" s="47"/>
      <c r="CK169" s="18">
        <v>0.481092236906351</v>
      </c>
      <c r="CL169" s="18">
        <v>0.33170521649889201</v>
      </c>
      <c r="CM169" s="47"/>
      <c r="CN169" s="18">
        <v>3.7629653111141099</v>
      </c>
      <c r="CO169" s="18">
        <v>1.70818723602071</v>
      </c>
      <c r="CP169" s="18"/>
      <c r="CQ169" s="72"/>
      <c r="CR169" s="72"/>
      <c r="CS169" s="72"/>
      <c r="CT169" s="18"/>
      <c r="CU169" s="72"/>
      <c r="CV169" s="72"/>
      <c r="CW169" s="72"/>
      <c r="CX169" s="72"/>
      <c r="CY169" s="72"/>
      <c r="CZ169" s="72"/>
    </row>
    <row r="170" spans="88:104">
      <c r="CJ170" s="47"/>
      <c r="CK170" s="18">
        <v>0.89739533753037504</v>
      </c>
      <c r="CL170" s="18">
        <v>0.58650055528142497</v>
      </c>
      <c r="CM170" s="47"/>
      <c r="CN170" s="18">
        <v>2.9063711318847201</v>
      </c>
      <c r="CO170" s="18">
        <v>2.2048293391035001</v>
      </c>
      <c r="CP170" s="18"/>
      <c r="CQ170" s="72"/>
      <c r="CR170" s="72"/>
      <c r="CS170" s="72"/>
      <c r="CT170" s="18"/>
      <c r="CU170" s="72"/>
      <c r="CV170" s="72"/>
      <c r="CW170" s="72"/>
      <c r="CX170" s="72"/>
      <c r="CY170" s="72"/>
      <c r="CZ170" s="72"/>
    </row>
    <row r="171" spans="88:104">
      <c r="CJ171" s="47"/>
      <c r="CK171" s="18">
        <v>0.613720228180059</v>
      </c>
      <c r="CL171" s="18">
        <v>0.51551061996901104</v>
      </c>
      <c r="CM171" s="47"/>
      <c r="CN171" s="18">
        <v>2.6803468636113701</v>
      </c>
      <c r="CO171" s="18">
        <v>3.3991163934448001</v>
      </c>
      <c r="CP171" s="18"/>
      <c r="CQ171" s="72"/>
      <c r="CR171" s="72"/>
      <c r="CS171" s="72"/>
      <c r="CT171" s="18"/>
      <c r="CU171" s="72"/>
      <c r="CV171" s="72"/>
      <c r="CW171" s="72"/>
      <c r="CX171" s="72"/>
      <c r="CY171" s="72"/>
      <c r="CZ171" s="72"/>
    </row>
    <row r="172" spans="88:104">
      <c r="CJ172" s="47"/>
      <c r="CK172" s="18">
        <v>0.32837693403266599</v>
      </c>
      <c r="CL172" s="18">
        <v>1.21032651672652</v>
      </c>
      <c r="CM172" s="47"/>
      <c r="CN172" s="18">
        <v>3.1973936397420699</v>
      </c>
      <c r="CO172" s="18">
        <v>3.4948891769991799</v>
      </c>
      <c r="CP172" s="18"/>
      <c r="CQ172" s="72"/>
      <c r="CR172" s="72"/>
      <c r="CS172" s="72"/>
      <c r="CT172" s="18"/>
      <c r="CU172" s="72"/>
      <c r="CV172" s="72"/>
      <c r="CW172" s="72"/>
      <c r="CX172" s="72"/>
      <c r="CY172" s="72"/>
      <c r="CZ172" s="72"/>
    </row>
    <row r="173" spans="88:104">
      <c r="CJ173" s="47"/>
      <c r="CK173" s="18">
        <v>0.66557468832866995</v>
      </c>
      <c r="CL173" s="18">
        <v>0.554932601880473</v>
      </c>
      <c r="CM173" s="47"/>
      <c r="CN173" s="18">
        <v>2.92778270193506</v>
      </c>
      <c r="CO173" s="18">
        <v>3.6267545092376401</v>
      </c>
      <c r="CP173" s="18"/>
      <c r="CQ173" s="72"/>
      <c r="CR173" s="72"/>
      <c r="CS173" s="72"/>
      <c r="CT173" s="18"/>
      <c r="CU173" s="72"/>
      <c r="CV173" s="72"/>
      <c r="CW173" s="72"/>
      <c r="CX173" s="72"/>
      <c r="CY173" s="72"/>
      <c r="CZ173" s="72"/>
    </row>
    <row r="174" spans="88:104">
      <c r="CJ174" s="47"/>
      <c r="CK174" s="18">
        <v>0.66766509005140595</v>
      </c>
      <c r="CL174" s="18">
        <v>0.911039585644287</v>
      </c>
      <c r="CM174" s="47"/>
      <c r="CN174" s="18">
        <v>3.4378935264741699</v>
      </c>
      <c r="CO174" s="18">
        <v>2.97916564408097</v>
      </c>
      <c r="CP174" s="18"/>
      <c r="CQ174" s="72"/>
      <c r="CR174" s="72"/>
      <c r="CS174" s="72"/>
      <c r="CT174" s="18"/>
      <c r="CU174" s="72"/>
      <c r="CV174" s="72"/>
      <c r="CW174" s="72"/>
      <c r="CX174" s="72"/>
      <c r="CY174" s="72"/>
      <c r="CZ174" s="72"/>
    </row>
    <row r="175" spans="88:104">
      <c r="CJ175" s="47"/>
      <c r="CK175" s="18">
        <v>0.44424299422248498</v>
      </c>
      <c r="CL175" s="18">
        <v>0.66411870733879996</v>
      </c>
      <c r="CM175" s="47"/>
      <c r="CN175" s="18">
        <v>2.9241188933553302</v>
      </c>
      <c r="CO175" s="18">
        <v>4.10551884974356</v>
      </c>
      <c r="CP175" s="18"/>
      <c r="CQ175" s="72"/>
      <c r="CR175" s="72"/>
      <c r="CS175" s="72"/>
      <c r="CT175" s="18"/>
      <c r="CU175" s="72"/>
      <c r="CV175" s="72"/>
      <c r="CW175" s="72"/>
      <c r="CX175" s="72"/>
      <c r="CY175" s="72"/>
      <c r="CZ175" s="72"/>
    </row>
    <row r="176" spans="88:104">
      <c r="CJ176" s="47"/>
      <c r="CK176" s="18">
        <v>0.49005662446431097</v>
      </c>
      <c r="CL176" s="18">
        <v>0.39330636035265298</v>
      </c>
      <c r="CM176" s="47"/>
      <c r="CN176" s="18">
        <v>2.70778980545031</v>
      </c>
      <c r="CO176" s="18">
        <v>1.3866454270302799</v>
      </c>
      <c r="CP176" s="18"/>
      <c r="CQ176" s="72"/>
      <c r="CR176" s="72"/>
      <c r="CS176" s="72"/>
      <c r="CT176" s="18"/>
      <c r="CU176" s="72"/>
      <c r="CV176" s="72"/>
      <c r="CW176" s="72"/>
      <c r="CX176" s="72"/>
      <c r="CY176" s="72"/>
      <c r="CZ176" s="72"/>
    </row>
    <row r="177" spans="88:104">
      <c r="CJ177" s="47"/>
      <c r="CK177" s="18">
        <v>0.33342373372519202</v>
      </c>
      <c r="CL177" s="18">
        <v>0.53873679987421697</v>
      </c>
      <c r="CM177" s="47"/>
      <c r="CN177" s="18">
        <v>3.4828353787617301</v>
      </c>
      <c r="CO177" s="18">
        <v>3.127171015044</v>
      </c>
      <c r="CP177" s="18"/>
      <c r="CQ177" s="72"/>
      <c r="CR177" s="72"/>
      <c r="CS177" s="72"/>
      <c r="CT177" s="18"/>
      <c r="CU177" s="72"/>
      <c r="CV177" s="72"/>
      <c r="CW177" s="72"/>
      <c r="CX177" s="72"/>
      <c r="CY177" s="72"/>
      <c r="CZ177" s="72"/>
    </row>
    <row r="178" spans="88:104">
      <c r="CJ178" s="47"/>
      <c r="CK178" s="18">
        <v>0.39561124850380203</v>
      </c>
      <c r="CL178" s="18">
        <v>0.357495703225234</v>
      </c>
      <c r="CM178" s="47"/>
      <c r="CN178" s="18">
        <v>1.6845045862357799</v>
      </c>
      <c r="CO178" s="18">
        <v>3.95652136333312</v>
      </c>
      <c r="CP178" s="18"/>
      <c r="CQ178" s="72"/>
      <c r="CR178" s="72"/>
      <c r="CS178" s="72"/>
      <c r="CT178" s="18"/>
      <c r="CU178" s="72"/>
      <c r="CV178" s="72"/>
      <c r="CW178" s="72"/>
      <c r="CX178" s="72"/>
      <c r="CY178" s="72"/>
      <c r="CZ178" s="72"/>
    </row>
    <row r="179" spans="88:104">
      <c r="CJ179" s="47"/>
      <c r="CK179" s="18">
        <v>0.38703160952570398</v>
      </c>
      <c r="CL179" s="18">
        <v>0.37362037324573699</v>
      </c>
      <c r="CM179" s="47"/>
      <c r="CN179" s="18">
        <v>2.2099523738196298</v>
      </c>
      <c r="CO179" s="18">
        <v>3.0643827869631801</v>
      </c>
      <c r="CP179" s="18"/>
      <c r="CQ179" s="72"/>
      <c r="CR179" s="72"/>
      <c r="CS179" s="72"/>
      <c r="CT179" s="18"/>
      <c r="CU179" s="72"/>
      <c r="CV179" s="72"/>
      <c r="CW179" s="72"/>
      <c r="CX179" s="72"/>
      <c r="CY179" s="72"/>
      <c r="CZ179" s="72"/>
    </row>
    <row r="180" spans="88:104">
      <c r="CJ180" s="47"/>
      <c r="CK180" s="18">
        <v>0.905658970272048</v>
      </c>
      <c r="CL180" s="18">
        <v>0.41456854718171099</v>
      </c>
      <c r="CM180" s="47"/>
      <c r="CN180" s="18">
        <v>2.88910357329177</v>
      </c>
      <c r="CO180" s="18">
        <v>2.8142632913997798</v>
      </c>
      <c r="CP180" s="18"/>
      <c r="CQ180" s="72"/>
      <c r="CR180" s="72"/>
      <c r="CS180" s="72"/>
      <c r="CT180" s="18"/>
      <c r="CU180" s="72"/>
      <c r="CV180" s="72"/>
      <c r="CW180" s="72"/>
      <c r="CX180" s="72"/>
      <c r="CY180" s="72"/>
      <c r="CZ180" s="72"/>
    </row>
    <row r="181" spans="88:104">
      <c r="CJ181" s="47"/>
      <c r="CK181" s="18">
        <v>0.64052838529594402</v>
      </c>
      <c r="CL181" s="18">
        <v>0.33159057586623703</v>
      </c>
      <c r="CM181" s="47"/>
      <c r="CN181" s="18">
        <v>4.2816982500988301</v>
      </c>
      <c r="CO181" s="18">
        <v>3.6985629944530598</v>
      </c>
      <c r="CP181" s="18"/>
      <c r="CQ181" s="72"/>
      <c r="CR181" s="72"/>
      <c r="CS181" s="72"/>
      <c r="CT181" s="18"/>
      <c r="CU181" s="72"/>
      <c r="CV181" s="72"/>
      <c r="CW181" s="72"/>
      <c r="CX181" s="72"/>
      <c r="CY181" s="72"/>
      <c r="CZ181" s="72"/>
    </row>
    <row r="182" spans="88:104">
      <c r="CJ182" s="47"/>
      <c r="CK182" s="18">
        <v>0.337539842197424</v>
      </c>
      <c r="CL182" s="18">
        <v>0.31324585178756098</v>
      </c>
      <c r="CM182" s="47"/>
      <c r="CN182" s="18">
        <v>2.3796764066106202</v>
      </c>
      <c r="CO182" s="18">
        <v>4.0117729159249498</v>
      </c>
      <c r="CP182" s="18"/>
      <c r="CQ182" s="72"/>
      <c r="CR182" s="72"/>
      <c r="CS182" s="72"/>
      <c r="CT182" s="18"/>
      <c r="CU182" s="72"/>
      <c r="CV182" s="72"/>
      <c r="CW182" s="72"/>
      <c r="CX182" s="72"/>
      <c r="CY182" s="72"/>
      <c r="CZ182" s="72"/>
    </row>
    <row r="183" spans="88:104">
      <c r="CJ183" s="47"/>
      <c r="CK183" s="18">
        <v>0.32215890762937799</v>
      </c>
      <c r="CL183" s="18">
        <v>0.40631897063619199</v>
      </c>
      <c r="CM183" s="47"/>
      <c r="CN183" s="18">
        <v>3.6827642957295499</v>
      </c>
      <c r="CO183" s="18">
        <v>3.0954687601408102</v>
      </c>
      <c r="CP183" s="18"/>
      <c r="CQ183" s="72"/>
      <c r="CR183" s="72"/>
      <c r="CS183" s="72"/>
      <c r="CT183" s="18"/>
      <c r="CU183" s="72"/>
      <c r="CV183" s="72"/>
      <c r="CW183" s="72"/>
      <c r="CX183" s="72"/>
      <c r="CY183" s="72"/>
      <c r="CZ183" s="72"/>
    </row>
    <row r="184" spans="88:104">
      <c r="CJ184" s="47"/>
      <c r="CK184" s="18">
        <v>0.439995397923236</v>
      </c>
      <c r="CL184" s="18">
        <v>0.47155166563933798</v>
      </c>
      <c r="CM184" s="47"/>
      <c r="CN184" s="18">
        <v>3.1294478869572502</v>
      </c>
      <c r="CO184" s="18">
        <v>3.7973139403712599</v>
      </c>
      <c r="CP184" s="18"/>
      <c r="CQ184" s="72"/>
      <c r="CR184" s="72"/>
      <c r="CS184" s="72"/>
      <c r="CT184" s="18"/>
      <c r="CU184" s="72"/>
      <c r="CV184" s="72"/>
      <c r="CW184" s="72"/>
      <c r="CX184" s="72"/>
      <c r="CY184" s="72"/>
      <c r="CZ184" s="72"/>
    </row>
    <row r="185" spans="88:104">
      <c r="CJ185" s="47"/>
      <c r="CK185" s="18">
        <v>0.54131658536652505</v>
      </c>
      <c r="CL185" s="18">
        <v>0.30404369647354101</v>
      </c>
      <c r="CM185" s="47"/>
      <c r="CN185" s="18">
        <v>3.2611245769683501</v>
      </c>
      <c r="CO185" s="18">
        <v>3.7963900973310101</v>
      </c>
      <c r="CP185" s="18"/>
      <c r="CQ185" s="72"/>
      <c r="CR185" s="72"/>
      <c r="CS185" s="72"/>
      <c r="CT185" s="18"/>
      <c r="CU185" s="72"/>
      <c r="CV185" s="72"/>
      <c r="CW185" s="72"/>
      <c r="CX185" s="72"/>
      <c r="CY185" s="72"/>
      <c r="CZ185" s="72"/>
    </row>
    <row r="186" spans="88:104">
      <c r="CJ186" s="47"/>
      <c r="CK186" s="18">
        <v>0.50263611720246504</v>
      </c>
      <c r="CL186" s="18">
        <v>0.80430142341962296</v>
      </c>
      <c r="CM186" s="47"/>
      <c r="CN186" s="18">
        <v>3.5179307422239101</v>
      </c>
      <c r="CO186" s="18">
        <v>3.05051911067949</v>
      </c>
      <c r="CP186" s="18"/>
      <c r="CQ186" s="72"/>
      <c r="CR186" s="72"/>
      <c r="CS186" s="72"/>
      <c r="CT186" s="18"/>
      <c r="CU186" s="72"/>
      <c r="CV186" s="72"/>
      <c r="CW186" s="72"/>
      <c r="CX186" s="72"/>
      <c r="CY186" s="72"/>
      <c r="CZ186" s="72"/>
    </row>
    <row r="187" spans="88:104">
      <c r="CJ187" s="47"/>
      <c r="CK187" s="18">
        <v>0.94643143710371602</v>
      </c>
      <c r="CL187" s="18">
        <v>0.46131900249075403</v>
      </c>
      <c r="CM187" s="47"/>
      <c r="CN187" s="18">
        <v>3.6282253369008499</v>
      </c>
      <c r="CO187" s="18">
        <v>3.56799561118053</v>
      </c>
      <c r="CP187" s="18"/>
      <c r="CQ187" s="72"/>
      <c r="CR187" s="72"/>
      <c r="CS187" s="72"/>
      <c r="CT187" s="18"/>
      <c r="CU187" s="72"/>
      <c r="CV187" s="72"/>
      <c r="CW187" s="72"/>
      <c r="CX187" s="72"/>
      <c r="CY187" s="72"/>
      <c r="CZ187" s="72"/>
    </row>
    <row r="188" spans="88:104">
      <c r="CJ188" s="47"/>
      <c r="CK188" s="18">
        <v>0.42674780890657699</v>
      </c>
      <c r="CL188" s="18">
        <v>0.79759409044211005</v>
      </c>
      <c r="CM188" s="47"/>
      <c r="CN188" s="18">
        <v>3.55504307562496</v>
      </c>
      <c r="CO188" s="18">
        <v>3.3700526557159098</v>
      </c>
      <c r="CP188" s="18"/>
      <c r="CQ188" s="72"/>
      <c r="CR188" s="72"/>
      <c r="CS188" s="72"/>
      <c r="CT188" s="18"/>
      <c r="CU188" s="72"/>
      <c r="CV188" s="72"/>
      <c r="CW188" s="72"/>
      <c r="CX188" s="72"/>
      <c r="CY188" s="72"/>
      <c r="CZ188" s="72"/>
    </row>
    <row r="189" spans="88:104">
      <c r="CJ189" s="47"/>
      <c r="CK189" s="18">
        <v>0.34335096620050798</v>
      </c>
      <c r="CL189" s="18">
        <v>0.575989947721817</v>
      </c>
      <c r="CM189" s="47"/>
      <c r="CN189" s="18">
        <v>3.9182908149522202</v>
      </c>
      <c r="CO189" s="18">
        <v>3.9279343690003898</v>
      </c>
      <c r="CP189" s="18"/>
      <c r="CQ189" s="72"/>
      <c r="CR189" s="72"/>
      <c r="CS189" s="72"/>
      <c r="CT189" s="18"/>
      <c r="CU189" s="72"/>
      <c r="CV189" s="72"/>
      <c r="CW189" s="72"/>
      <c r="CX189" s="72"/>
      <c r="CY189" s="72"/>
      <c r="CZ189" s="72"/>
    </row>
    <row r="190" spans="88:104">
      <c r="CJ190" s="47"/>
      <c r="CK190" s="18">
        <v>0.34868566933438699</v>
      </c>
      <c r="CL190" s="18">
        <v>0.75326221926785697</v>
      </c>
      <c r="CM190" s="47"/>
      <c r="CN190" s="18">
        <v>4.3830406729286402</v>
      </c>
      <c r="CO190" s="18">
        <v>3.4910706228621899</v>
      </c>
      <c r="CP190" s="18"/>
      <c r="CQ190" s="72"/>
      <c r="CR190" s="72"/>
      <c r="CS190" s="72"/>
      <c r="CT190" s="18"/>
      <c r="CU190" s="72"/>
      <c r="CV190" s="72"/>
      <c r="CW190" s="72"/>
      <c r="CX190" s="72"/>
      <c r="CY190" s="72"/>
      <c r="CZ190" s="72"/>
    </row>
    <row r="191" spans="88:104">
      <c r="CJ191" s="47"/>
      <c r="CK191" s="18">
        <v>0.51328860252475095</v>
      </c>
      <c r="CL191" s="18">
        <v>3.9536936064771901</v>
      </c>
      <c r="CM191" s="47"/>
      <c r="CN191" s="18">
        <v>3.35145872332158</v>
      </c>
      <c r="CO191" s="18">
        <v>4.4071215750727104</v>
      </c>
      <c r="CP191" s="18"/>
      <c r="CQ191" s="72"/>
      <c r="CR191" s="72"/>
      <c r="CS191" s="72"/>
      <c r="CT191" s="18"/>
      <c r="CU191" s="72"/>
      <c r="CV191" s="72"/>
      <c r="CW191" s="72"/>
      <c r="CX191" s="72"/>
      <c r="CY191" s="72"/>
      <c r="CZ191" s="72"/>
    </row>
    <row r="192" spans="88:104">
      <c r="CJ192" s="47"/>
      <c r="CK192" s="18">
        <v>0.50304337056886395</v>
      </c>
      <c r="CL192" s="18">
        <v>0.35580563894407202</v>
      </c>
      <c r="CM192" s="47"/>
      <c r="CN192" s="18">
        <v>3.5713734359732001</v>
      </c>
      <c r="CO192" s="18">
        <v>3.1354856189760398</v>
      </c>
      <c r="CP192" s="18"/>
      <c r="CQ192" s="72"/>
      <c r="CR192" s="72"/>
      <c r="CS192" s="72"/>
      <c r="CT192" s="18"/>
      <c r="CU192" s="72"/>
      <c r="CV192" s="72"/>
      <c r="CW192" s="72"/>
      <c r="CX192" s="72"/>
      <c r="CY192" s="72"/>
      <c r="CZ192" s="72"/>
    </row>
    <row r="193" spans="88:104">
      <c r="CJ193" s="47"/>
      <c r="CK193" s="18">
        <v>1.1741507122120101</v>
      </c>
      <c r="CL193" s="18">
        <v>0.31869283314833502</v>
      </c>
      <c r="CM193" s="47"/>
      <c r="CN193" s="18">
        <v>3.28300313192354</v>
      </c>
      <c r="CO193" s="18">
        <v>2.6666657105946001</v>
      </c>
      <c r="CP193" s="18"/>
      <c r="CQ193" s="72"/>
      <c r="CR193" s="72"/>
      <c r="CS193" s="72"/>
      <c r="CT193" s="18"/>
      <c r="CU193" s="72"/>
      <c r="CV193" s="72"/>
      <c r="CW193" s="72"/>
      <c r="CX193" s="72"/>
      <c r="CY193" s="72"/>
      <c r="CZ193" s="72"/>
    </row>
    <row r="194" spans="88:104">
      <c r="CJ194" s="47"/>
      <c r="CK194" s="18">
        <v>0.92432796168910103</v>
      </c>
      <c r="CL194" s="18">
        <v>0.50974650636565499</v>
      </c>
      <c r="CM194" s="47"/>
      <c r="CN194" s="18">
        <v>2.4746437037057998</v>
      </c>
      <c r="CO194" s="18">
        <v>2.85871707926708</v>
      </c>
      <c r="CP194" s="18"/>
      <c r="CQ194" s="72"/>
      <c r="CR194" s="72"/>
      <c r="CS194" s="72"/>
      <c r="CT194" s="18"/>
      <c r="CU194" s="72"/>
      <c r="CV194" s="72"/>
      <c r="CW194" s="72"/>
      <c r="CX194" s="72"/>
      <c r="CY194" s="72"/>
      <c r="CZ194" s="72"/>
    </row>
    <row r="195" spans="88:104">
      <c r="CJ195" s="47"/>
      <c r="CK195" s="18">
        <v>0.79277207751811896</v>
      </c>
      <c r="CL195" s="18">
        <v>0.77019475495131695</v>
      </c>
      <c r="CM195" s="47"/>
      <c r="CN195" s="18">
        <v>2.7552721695543299</v>
      </c>
      <c r="CO195" s="18">
        <v>3.3756650429285799</v>
      </c>
      <c r="CP195" s="18"/>
      <c r="CQ195" s="72"/>
      <c r="CR195" s="72"/>
      <c r="CS195" s="72"/>
      <c r="CT195" s="18"/>
      <c r="CU195" s="72"/>
      <c r="CV195" s="72"/>
      <c r="CW195" s="72"/>
      <c r="CX195" s="72"/>
      <c r="CY195" s="72"/>
      <c r="CZ195" s="72"/>
    </row>
    <row r="196" spans="88:104">
      <c r="CJ196" s="47"/>
      <c r="CK196" s="18">
        <v>0.76222123195950098</v>
      </c>
      <c r="CL196" s="18">
        <v>0.75403231835604001</v>
      </c>
      <c r="CM196" s="47"/>
      <c r="CN196" s="18">
        <v>3.7029012961535401</v>
      </c>
      <c r="CO196" s="18">
        <v>3.4868301958154699</v>
      </c>
      <c r="CP196" s="18"/>
      <c r="CQ196" s="72"/>
      <c r="CR196" s="72"/>
      <c r="CS196" s="72"/>
      <c r="CT196" s="18"/>
      <c r="CU196" s="72"/>
      <c r="CV196" s="72"/>
      <c r="CW196" s="72"/>
      <c r="CX196" s="72"/>
      <c r="CY196" s="72"/>
      <c r="CZ196" s="72"/>
    </row>
    <row r="197" spans="88:104">
      <c r="CJ197" s="47"/>
      <c r="CK197" s="18">
        <v>0.73612858828731498</v>
      </c>
      <c r="CL197" s="18">
        <v>0.58899640200564596</v>
      </c>
      <c r="CM197" s="47"/>
      <c r="CN197" s="18">
        <v>3.3987060745104101</v>
      </c>
      <c r="CO197" s="18">
        <v>2.5050270860997199</v>
      </c>
      <c r="CP197" s="18"/>
      <c r="CQ197" s="72"/>
      <c r="CR197" s="72"/>
      <c r="CS197" s="72"/>
      <c r="CT197" s="18"/>
      <c r="CU197" s="72"/>
      <c r="CV197" s="72"/>
      <c r="CW197" s="72"/>
      <c r="CX197" s="72"/>
      <c r="CY197" s="72"/>
      <c r="CZ197" s="72"/>
    </row>
    <row r="198" spans="88:104">
      <c r="CJ198" s="47"/>
      <c r="CK198" s="18">
        <v>0.102993993323326</v>
      </c>
      <c r="CL198" s="18">
        <v>0.87648747845044706</v>
      </c>
      <c r="CM198" s="47"/>
      <c r="CN198" s="18">
        <v>1.4856844282852699</v>
      </c>
      <c r="CO198" s="18">
        <v>3.30109007976229</v>
      </c>
      <c r="CP198" s="18"/>
      <c r="CQ198" s="72"/>
      <c r="CR198" s="72"/>
      <c r="CS198" s="72"/>
      <c r="CT198" s="18"/>
      <c r="CU198" s="72"/>
      <c r="CV198" s="72"/>
      <c r="CW198" s="72"/>
      <c r="CX198" s="72"/>
      <c r="CY198" s="72"/>
      <c r="CZ198" s="72"/>
    </row>
    <row r="199" spans="88:104">
      <c r="CJ199" s="47"/>
      <c r="CK199" s="18">
        <v>0.86139961115743802</v>
      </c>
      <c r="CL199" s="18">
        <v>0.68032435684401604</v>
      </c>
      <c r="CM199" s="47"/>
      <c r="CN199" s="18">
        <v>3.4628245168871898</v>
      </c>
      <c r="CO199" s="18">
        <v>3.0603933122271401</v>
      </c>
      <c r="CP199" s="18"/>
      <c r="CQ199" s="72"/>
      <c r="CR199" s="72"/>
      <c r="CS199" s="72"/>
      <c r="CT199" s="18"/>
      <c r="CU199" s="72"/>
      <c r="CV199" s="72"/>
      <c r="CW199" s="72"/>
      <c r="CX199" s="72"/>
      <c r="CY199" s="72"/>
      <c r="CZ199" s="72"/>
    </row>
    <row r="200" spans="88:104">
      <c r="CJ200" s="47"/>
      <c r="CK200" s="18">
        <v>0.62984617896092099</v>
      </c>
      <c r="CL200" s="18">
        <v>0.70805477132835204</v>
      </c>
      <c r="CM200" s="47"/>
      <c r="CN200" s="18">
        <v>2.3708896314549399</v>
      </c>
      <c r="CO200" s="18">
        <v>3.7764830406193299</v>
      </c>
      <c r="CP200" s="18"/>
      <c r="CQ200" s="72"/>
      <c r="CR200" s="72"/>
      <c r="CS200" s="72"/>
      <c r="CT200" s="18"/>
      <c r="CU200" s="72"/>
      <c r="CV200" s="72"/>
      <c r="CW200" s="72"/>
      <c r="CX200" s="72"/>
      <c r="CY200" s="72"/>
      <c r="CZ200" s="72"/>
    </row>
    <row r="201" spans="88:104">
      <c r="CJ201" s="47"/>
      <c r="CK201" s="18">
        <v>0.64228568305957701</v>
      </c>
      <c r="CL201" s="18">
        <v>0.35704521296680702</v>
      </c>
      <c r="CM201" s="47"/>
      <c r="CN201" s="18">
        <v>3.50178305794886</v>
      </c>
      <c r="CO201" s="18">
        <v>2.3817817223280802</v>
      </c>
      <c r="CP201" s="18"/>
      <c r="CQ201" s="72"/>
      <c r="CR201" s="72"/>
      <c r="CS201" s="72"/>
      <c r="CT201" s="18"/>
      <c r="CU201" s="72"/>
      <c r="CV201" s="72"/>
      <c r="CW201" s="72"/>
      <c r="CX201" s="72"/>
      <c r="CY201" s="72"/>
      <c r="CZ201" s="72"/>
    </row>
    <row r="202" spans="88:104">
      <c r="CJ202" s="47"/>
      <c r="CK202" s="18">
        <v>0.68176408257032495</v>
      </c>
      <c r="CL202" s="18">
        <v>0.32837693403266599</v>
      </c>
      <c r="CM202" s="47"/>
      <c r="CN202" s="18">
        <v>2.7393080708603899</v>
      </c>
      <c r="CO202" s="18">
        <v>3.9218076208455601</v>
      </c>
      <c r="CP202" s="18"/>
      <c r="CQ202" s="72"/>
      <c r="CR202" s="72"/>
      <c r="CS202" s="72"/>
      <c r="CT202" s="18"/>
      <c r="CU202" s="72"/>
      <c r="CV202" s="72"/>
      <c r="CW202" s="72"/>
      <c r="CX202" s="72"/>
      <c r="CY202" s="72"/>
      <c r="CZ202" s="72"/>
    </row>
    <row r="203" spans="88:104">
      <c r="CJ203" s="47"/>
      <c r="CK203" s="18">
        <v>0.47674458407044101</v>
      </c>
      <c r="CL203" s="18">
        <v>1.03068920407114</v>
      </c>
      <c r="CM203" s="47"/>
      <c r="CN203" s="18">
        <v>3.9980691038079401</v>
      </c>
      <c r="CO203" s="18">
        <v>2.83256600416009</v>
      </c>
      <c r="CP203" s="18"/>
      <c r="CQ203" s="72"/>
      <c r="CR203" s="72"/>
      <c r="CS203" s="72"/>
      <c r="CT203" s="18"/>
      <c r="CU203" s="72"/>
      <c r="CV203" s="72"/>
      <c r="CW203" s="72"/>
      <c r="CX203" s="72"/>
      <c r="CY203" s="72"/>
      <c r="CZ203" s="72"/>
    </row>
    <row r="204" spans="88:104">
      <c r="CJ204" s="47"/>
      <c r="CK204" s="18">
        <v>0.42481462089037397</v>
      </c>
      <c r="CL204" s="18">
        <v>0.392757034282395</v>
      </c>
      <c r="CM204" s="47"/>
      <c r="CN204" s="18">
        <v>3.4712525037828099</v>
      </c>
      <c r="CO204" s="18">
        <v>2.0639860607016698</v>
      </c>
      <c r="CP204" s="18"/>
      <c r="CQ204" s="72"/>
      <c r="CR204" s="72"/>
      <c r="CS204" s="72"/>
      <c r="CT204" s="18"/>
      <c r="CU204" s="72"/>
      <c r="CV204" s="72"/>
      <c r="CW204" s="72"/>
      <c r="CX204" s="72"/>
      <c r="CY204" s="72"/>
      <c r="CZ204" s="72"/>
    </row>
    <row r="205" spans="88:104">
      <c r="CJ205" s="47"/>
      <c r="CK205" s="18">
        <v>0.43071346769514501</v>
      </c>
      <c r="CL205" s="18">
        <v>0.45943161863729698</v>
      </c>
      <c r="CM205" s="47"/>
      <c r="CN205" s="18">
        <v>4.2764147766009204</v>
      </c>
      <c r="CO205" s="18">
        <v>3.6169457600386599</v>
      </c>
      <c r="CP205" s="18"/>
      <c r="CQ205" s="72"/>
      <c r="CR205" s="72"/>
      <c r="CS205" s="72"/>
      <c r="CT205" s="18"/>
      <c r="CU205" s="72"/>
      <c r="CV205" s="72"/>
      <c r="CW205" s="72"/>
      <c r="CX205" s="72"/>
      <c r="CY205" s="72"/>
      <c r="CZ205" s="72"/>
    </row>
    <row r="206" spans="88:104">
      <c r="CJ206" s="47"/>
      <c r="CK206" s="18">
        <v>0.45869696868971499</v>
      </c>
      <c r="CL206" s="18">
        <v>0.70796645477597597</v>
      </c>
      <c r="CM206" s="47"/>
      <c r="CN206" s="18">
        <v>2.8924687447649502</v>
      </c>
      <c r="CO206" s="18">
        <v>3.4248146208903698</v>
      </c>
      <c r="CP206" s="18"/>
      <c r="CQ206" s="72"/>
      <c r="CR206" s="72"/>
      <c r="CS206" s="72"/>
      <c r="CT206" s="18"/>
      <c r="CU206" s="72"/>
      <c r="CV206" s="72"/>
      <c r="CW206" s="72"/>
      <c r="CX206" s="72"/>
      <c r="CY206" s="72"/>
      <c r="CZ206" s="72"/>
    </row>
    <row r="207" spans="88:104">
      <c r="CJ207" s="47"/>
      <c r="CK207" s="18">
        <v>0.45733162548501399</v>
      </c>
      <c r="CL207" s="18">
        <v>0.52797111290971299</v>
      </c>
      <c r="CM207" s="47"/>
      <c r="CN207" s="18">
        <v>2.9111738442513402</v>
      </c>
      <c r="CO207" s="18">
        <v>2.5939751793205601</v>
      </c>
      <c r="CP207" s="18"/>
      <c r="CQ207" s="72"/>
      <c r="CR207" s="72"/>
      <c r="CS207" s="72"/>
      <c r="CT207" s="18"/>
      <c r="CU207" s="72"/>
      <c r="CV207" s="72"/>
      <c r="CW207" s="72"/>
      <c r="CX207" s="72"/>
      <c r="CY207" s="72"/>
      <c r="CZ207" s="72"/>
    </row>
    <row r="208" spans="88:104">
      <c r="CJ208" s="47"/>
      <c r="CK208" s="18">
        <v>0.39132780684361101</v>
      </c>
      <c r="CL208" s="18">
        <v>0.64228568305957701</v>
      </c>
      <c r="CM208" s="47"/>
      <c r="CN208" s="18">
        <v>3.17640256551352</v>
      </c>
      <c r="CO208" s="18">
        <v>3.0642448075935</v>
      </c>
      <c r="CP208" s="18"/>
      <c r="CQ208" s="72"/>
      <c r="CR208" s="72"/>
      <c r="CS208" s="72"/>
      <c r="CT208" s="18"/>
      <c r="CU208" s="72"/>
      <c r="CV208" s="72"/>
      <c r="CW208" s="72"/>
      <c r="CX208" s="72"/>
      <c r="CY208" s="72"/>
      <c r="CZ208" s="72"/>
    </row>
    <row r="209" spans="88:104">
      <c r="CJ209" s="47"/>
      <c r="CK209" s="18">
        <v>0.388685507495314</v>
      </c>
      <c r="CL209" s="18">
        <v>0.94440870453277204</v>
      </c>
      <c r="CM209" s="47"/>
      <c r="CN209" s="18">
        <v>2.8354592656895901</v>
      </c>
      <c r="CO209" s="18">
        <v>3.2051735270452699</v>
      </c>
      <c r="CP209" s="18"/>
      <c r="CQ209" s="72"/>
      <c r="CR209" s="72"/>
      <c r="CS209" s="72"/>
      <c r="CT209" s="18"/>
      <c r="CU209" s="72"/>
      <c r="CV209" s="72"/>
      <c r="CW209" s="72"/>
      <c r="CX209" s="72"/>
      <c r="CY209" s="72"/>
      <c r="CZ209" s="72"/>
    </row>
    <row r="210" spans="88:104">
      <c r="CJ210" s="47"/>
      <c r="CK210" s="18">
        <v>0.58236330967319905</v>
      </c>
      <c r="CL210" s="18">
        <v>0.50406100130929299</v>
      </c>
      <c r="CM210" s="47"/>
      <c r="CN210" s="18">
        <v>3.6168399263796398</v>
      </c>
      <c r="CO210" s="18">
        <v>4.1334320069807404</v>
      </c>
      <c r="CP210" s="18"/>
      <c r="CQ210" s="72"/>
      <c r="CR210" s="72"/>
      <c r="CS210" s="72"/>
      <c r="CT210" s="18"/>
      <c r="CU210" s="72"/>
      <c r="CV210" s="72"/>
      <c r="CW210" s="72"/>
      <c r="CX210" s="72"/>
      <c r="CY210" s="72"/>
      <c r="CZ210" s="72"/>
    </row>
    <row r="211" spans="88:104">
      <c r="CJ211" s="47"/>
      <c r="CK211" s="18">
        <v>0.30111935315076199</v>
      </c>
      <c r="CL211" s="18">
        <v>0.88283865576725096</v>
      </c>
      <c r="CM211" s="47"/>
      <c r="CN211" s="18">
        <v>3.0827536753606299</v>
      </c>
      <c r="CO211" s="18">
        <v>2.6285636485541</v>
      </c>
      <c r="CP211" s="18"/>
      <c r="CQ211" s="72"/>
      <c r="CR211" s="72"/>
      <c r="CS211" s="72"/>
      <c r="CT211" s="18"/>
      <c r="CU211" s="72"/>
      <c r="CV211" s="72"/>
      <c r="CW211" s="72"/>
      <c r="CX211" s="72"/>
      <c r="CY211" s="72"/>
      <c r="CZ211" s="72"/>
    </row>
    <row r="212" spans="88:104">
      <c r="CJ212" s="47"/>
      <c r="CK212" s="18">
        <v>0.61833263918174797</v>
      </c>
      <c r="CL212" s="18">
        <v>0.56812941650049098</v>
      </c>
      <c r="CM212" s="47"/>
      <c r="CN212" s="18">
        <v>3.63619537304226</v>
      </c>
      <c r="CO212" s="18">
        <v>3.74987747027361</v>
      </c>
      <c r="CP212" s="18"/>
      <c r="CQ212" s="72"/>
      <c r="CR212" s="72"/>
      <c r="CS212" s="72"/>
      <c r="CT212" s="18"/>
      <c r="CU212" s="72"/>
      <c r="CV212" s="72"/>
      <c r="CW212" s="72"/>
      <c r="CX212" s="72"/>
      <c r="CY212" s="72"/>
      <c r="CZ212" s="72"/>
    </row>
    <row r="213" spans="88:104">
      <c r="CJ213" s="47"/>
      <c r="CK213" s="18">
        <v>0.359183789974511</v>
      </c>
      <c r="CL213" s="18">
        <v>0.68266318208894805</v>
      </c>
      <c r="CM213" s="47"/>
      <c r="CN213" s="18">
        <v>3.2141092589863201</v>
      </c>
      <c r="CO213" s="18">
        <v>2.9339880142032202</v>
      </c>
      <c r="CP213" s="18"/>
      <c r="CQ213" s="72"/>
      <c r="CR213" s="72"/>
      <c r="CS213" s="72"/>
      <c r="CT213" s="18"/>
      <c r="CU213" s="72"/>
      <c r="CV213" s="72"/>
      <c r="CW213" s="72"/>
      <c r="CX213" s="72"/>
      <c r="CY213" s="72"/>
      <c r="CZ213" s="72"/>
    </row>
    <row r="214" spans="88:104">
      <c r="CJ214" s="47"/>
      <c r="CK214" s="18">
        <v>0.29313501904332101</v>
      </c>
      <c r="CL214" s="18">
        <v>0.31231665440199702</v>
      </c>
      <c r="CM214" s="47"/>
      <c r="CN214" s="18">
        <v>3.37330019660839</v>
      </c>
      <c r="CO214" s="18">
        <v>3.0845745619255101</v>
      </c>
      <c r="CP214" s="18"/>
      <c r="CQ214" s="72"/>
      <c r="CR214" s="72"/>
      <c r="CS214" s="72"/>
      <c r="CT214" s="18"/>
      <c r="CU214" s="72"/>
      <c r="CV214" s="72"/>
      <c r="CW214" s="72"/>
      <c r="CX214" s="72"/>
      <c r="CY214" s="72"/>
      <c r="CZ214" s="72"/>
    </row>
    <row r="215" spans="88:104">
      <c r="CJ215" s="47"/>
      <c r="CK215" s="18">
        <v>0.71202343091081199</v>
      </c>
      <c r="CL215" s="18">
        <v>0.59033853317908702</v>
      </c>
      <c r="CM215" s="47"/>
      <c r="CN215" s="18">
        <v>3.8827017340682302</v>
      </c>
      <c r="CO215" s="18">
        <v>2.4628114322266699</v>
      </c>
      <c r="CP215" s="18"/>
      <c r="CQ215" s="72"/>
      <c r="CR215" s="72"/>
      <c r="CS215" s="72"/>
      <c r="CT215" s="18"/>
      <c r="CU215" s="72"/>
      <c r="CV215" s="72"/>
      <c r="CW215" s="72"/>
      <c r="CX215" s="72"/>
      <c r="CY215" s="72"/>
      <c r="CZ215" s="72"/>
    </row>
    <row r="216" spans="88:104">
      <c r="CJ216" s="47"/>
      <c r="CK216" s="18">
        <v>0.56549969316619897</v>
      </c>
      <c r="CL216" s="18"/>
      <c r="CM216" s="47"/>
      <c r="CN216" s="18">
        <v>4.21154959855299</v>
      </c>
      <c r="CO216" s="18"/>
      <c r="CP216" s="18"/>
      <c r="CQ216" s="72"/>
      <c r="CR216" s="72"/>
      <c r="CS216" s="72"/>
      <c r="CT216" s="18"/>
      <c r="CU216" s="72"/>
      <c r="CV216" s="72"/>
      <c r="CW216" s="72"/>
      <c r="CX216" s="72"/>
      <c r="CY216" s="72"/>
      <c r="CZ216" s="72"/>
    </row>
    <row r="217" spans="88:104">
      <c r="CJ217" s="47"/>
      <c r="CK217" s="18">
        <v>0.496615738029688</v>
      </c>
      <c r="CL217" s="18"/>
      <c r="CM217" s="47"/>
      <c r="CN217" s="18">
        <v>3.4817122620032999</v>
      </c>
      <c r="CO217" s="18"/>
      <c r="CP217" s="18"/>
      <c r="CQ217" s="72"/>
      <c r="CR217" s="72"/>
      <c r="CS217" s="72"/>
      <c r="CT217" s="18"/>
      <c r="CU217" s="72"/>
      <c r="CV217" s="72"/>
      <c r="CW217" s="72"/>
      <c r="CX217" s="72"/>
      <c r="CY217" s="72"/>
      <c r="CZ217" s="72"/>
    </row>
    <row r="218" spans="88:104">
      <c r="CJ218" s="47"/>
      <c r="CK218" s="18">
        <v>0.41218535915670701</v>
      </c>
      <c r="CL218" s="18"/>
      <c r="CM218" s="47"/>
      <c r="CN218" s="18">
        <v>3.6792098327793301</v>
      </c>
      <c r="CO218" s="18"/>
      <c r="CP218" s="18"/>
      <c r="CQ218" s="72"/>
      <c r="CR218" s="72"/>
      <c r="CS218" s="72"/>
      <c r="CT218" s="18"/>
      <c r="CU218" s="72"/>
      <c r="CV218" s="72"/>
      <c r="CW218" s="72"/>
      <c r="CX218" s="72"/>
      <c r="CY218" s="72"/>
      <c r="CZ218" s="72"/>
    </row>
    <row r="219" spans="88:104">
      <c r="CJ219" s="47"/>
      <c r="CK219" s="18">
        <v>0.59473962233268596</v>
      </c>
      <c r="CL219" s="18"/>
      <c r="CM219" s="47"/>
      <c r="CN219" s="18">
        <v>3.7237769696234402</v>
      </c>
      <c r="CO219" s="18"/>
      <c r="CP219" s="18"/>
      <c r="CQ219" s="72"/>
      <c r="CR219" s="72"/>
      <c r="CS219" s="72"/>
      <c r="CT219" s="18"/>
      <c r="CU219" s="72"/>
      <c r="CV219" s="72"/>
      <c r="CW219" s="72"/>
      <c r="CX219" s="72"/>
      <c r="CY219" s="72"/>
      <c r="CZ219" s="72"/>
    </row>
    <row r="220" spans="88:104">
      <c r="CJ220" s="47"/>
      <c r="CK220" s="18">
        <v>0.409906819529264</v>
      </c>
      <c r="CL220" s="18"/>
      <c r="CM220" s="47"/>
      <c r="CN220" s="18">
        <v>3.2518856934370701</v>
      </c>
      <c r="CO220" s="18"/>
      <c r="CP220" s="18"/>
      <c r="CQ220" s="72"/>
      <c r="CR220" s="72"/>
      <c r="CS220" s="72"/>
      <c r="CT220" s="18"/>
      <c r="CU220" s="72"/>
      <c r="CV220" s="72"/>
      <c r="CW220" s="72"/>
      <c r="CX220" s="72"/>
      <c r="CY220" s="72"/>
      <c r="CZ220" s="72"/>
    </row>
    <row r="221" spans="88:104">
      <c r="CJ221" s="47"/>
      <c r="CK221" s="18">
        <v>0.29783703588664401</v>
      </c>
      <c r="CL221" s="18"/>
      <c r="CM221" s="47"/>
      <c r="CN221" s="18">
        <v>3.6624789704232499</v>
      </c>
      <c r="CO221" s="18"/>
      <c r="CP221" s="18"/>
      <c r="CQ221" s="72"/>
      <c r="CR221" s="72"/>
      <c r="CS221" s="72"/>
      <c r="CT221" s="18"/>
      <c r="CU221" s="72"/>
      <c r="CV221" s="72"/>
      <c r="CW221" s="72"/>
      <c r="CX221" s="72"/>
      <c r="CY221" s="72"/>
      <c r="CZ221" s="72"/>
    </row>
    <row r="222" spans="88:104">
      <c r="CJ222" s="47"/>
      <c r="CK222" s="18">
        <v>0.68544683504028503</v>
      </c>
      <c r="CL222" s="18"/>
      <c r="CM222" s="47"/>
      <c r="CN222" s="18">
        <v>3.8158110771300402</v>
      </c>
      <c r="CO222" s="18"/>
      <c r="CP222" s="18"/>
      <c r="CQ222" s="72"/>
      <c r="CR222" s="72"/>
      <c r="CS222" s="72"/>
      <c r="CT222" s="18"/>
      <c r="CU222" s="72"/>
      <c r="CV222" s="72"/>
      <c r="CW222" s="72"/>
      <c r="CX222" s="72"/>
      <c r="CY222" s="72"/>
      <c r="CZ222" s="72"/>
    </row>
    <row r="223" spans="88:104">
      <c r="CJ223" s="47"/>
      <c r="CK223" s="18">
        <v>0.27727065965564202</v>
      </c>
      <c r="CL223" s="18"/>
      <c r="CM223" s="47"/>
      <c r="CN223" s="18">
        <v>3.85651765895929</v>
      </c>
      <c r="CO223" s="18"/>
      <c r="CP223" s="18"/>
      <c r="CQ223" s="72"/>
      <c r="CR223" s="72"/>
      <c r="CS223" s="72"/>
      <c r="CT223" s="18"/>
      <c r="CU223" s="72"/>
      <c r="CV223" s="72"/>
      <c r="CW223" s="72"/>
      <c r="CX223" s="72"/>
      <c r="CY223" s="72"/>
      <c r="CZ223" s="72"/>
    </row>
    <row r="224" spans="88:104">
      <c r="CJ224" s="47"/>
      <c r="CK224" s="18">
        <v>1.0365384995514899</v>
      </c>
      <c r="CL224" s="18"/>
      <c r="CM224" s="47"/>
      <c r="CN224" s="18">
        <v>3.6018628802869599</v>
      </c>
      <c r="CO224" s="18"/>
      <c r="CP224" s="18"/>
      <c r="CQ224" s="72"/>
      <c r="CR224" s="72"/>
      <c r="CS224" s="72"/>
      <c r="CT224" s="18"/>
      <c r="CU224" s="72"/>
      <c r="CV224" s="72"/>
      <c r="CW224" s="72"/>
      <c r="CX224" s="72"/>
      <c r="CY224" s="72"/>
      <c r="CZ224" s="72"/>
    </row>
    <row r="225" spans="88:104">
      <c r="CJ225" s="47"/>
      <c r="CK225" s="18">
        <v>0.54250570147826105</v>
      </c>
      <c r="CL225" s="18"/>
      <c r="CM225" s="47"/>
      <c r="CN225" s="18">
        <v>3.5528319918323499</v>
      </c>
      <c r="CO225" s="18"/>
      <c r="CP225" s="18"/>
      <c r="CQ225" s="72"/>
      <c r="CR225" s="72"/>
      <c r="CS225" s="72"/>
      <c r="CT225" s="18"/>
      <c r="CU225" s="72"/>
      <c r="CV225" s="72"/>
      <c r="CW225" s="72"/>
      <c r="CX225" s="72"/>
      <c r="CY225" s="72"/>
      <c r="CZ225" s="72"/>
    </row>
    <row r="226" spans="88:104">
      <c r="CJ226" s="47"/>
      <c r="CK226" s="18">
        <v>0.37139158392421201</v>
      </c>
      <c r="CL226" s="18"/>
      <c r="CM226" s="47"/>
      <c r="CN226" s="18">
        <v>3.3279316245300401</v>
      </c>
      <c r="CO226" s="18"/>
      <c r="CP226" s="18"/>
      <c r="CQ226" s="72"/>
      <c r="CR226" s="72"/>
      <c r="CS226" s="72"/>
      <c r="CT226" s="18"/>
      <c r="CU226" s="72"/>
      <c r="CV226" s="72"/>
      <c r="CW226" s="72"/>
      <c r="CX226" s="72"/>
      <c r="CY226" s="72"/>
      <c r="CZ226" s="72"/>
    </row>
    <row r="227" spans="88:104">
      <c r="CJ227" s="47"/>
      <c r="CK227" s="18">
        <v>0.351062898940385</v>
      </c>
      <c r="CL227" s="18"/>
      <c r="CM227" s="47"/>
      <c r="CN227" s="18">
        <v>3.5710093029473202</v>
      </c>
      <c r="CO227" s="18"/>
      <c r="CP227" s="18"/>
      <c r="CQ227" s="72"/>
      <c r="CR227" s="72"/>
      <c r="CS227" s="72"/>
      <c r="CT227" s="18"/>
      <c r="CU227" s="72"/>
      <c r="CV227" s="72"/>
      <c r="CW227" s="72"/>
      <c r="CX227" s="72"/>
      <c r="CY227" s="72"/>
      <c r="CZ227" s="72"/>
    </row>
    <row r="228" spans="88:104">
      <c r="CJ228" s="47"/>
      <c r="CK228" s="18">
        <v>0.260868738615679</v>
      </c>
      <c r="CL228" s="18"/>
      <c r="CM228" s="47"/>
      <c r="CN228" s="18">
        <v>3.1752531221375899</v>
      </c>
      <c r="CO228" s="18"/>
      <c r="CP228" s="18"/>
      <c r="CQ228" s="72"/>
      <c r="CR228" s="72"/>
      <c r="CS228" s="72"/>
      <c r="CT228" s="18"/>
      <c r="CU228" s="72"/>
      <c r="CV228" s="72"/>
      <c r="CW228" s="72"/>
      <c r="CX228" s="72"/>
      <c r="CY228" s="72"/>
      <c r="CZ228" s="72"/>
    </row>
    <row r="229" spans="88:104">
      <c r="CJ229" s="47"/>
      <c r="CK229" s="18">
        <v>0.41662359163286999</v>
      </c>
      <c r="CL229" s="18"/>
      <c r="CM229" s="47"/>
      <c r="CN229" s="18">
        <v>3.3822937358821501</v>
      </c>
      <c r="CO229" s="18"/>
      <c r="CP229" s="18"/>
      <c r="CQ229" s="72"/>
      <c r="CR229" s="72"/>
      <c r="CS229" s="72"/>
      <c r="CT229" s="18"/>
      <c r="CU229" s="72"/>
      <c r="CV229" s="72"/>
      <c r="CW229" s="72"/>
      <c r="CX229" s="72"/>
      <c r="CY229" s="72"/>
      <c r="CZ229" s="72"/>
    </row>
    <row r="230" spans="88:104">
      <c r="CJ230" s="47"/>
      <c r="CK230" s="18">
        <v>0.46675761572617203</v>
      </c>
      <c r="CL230" s="18"/>
      <c r="CM230" s="47"/>
      <c r="CN230" s="18">
        <v>2.9089473737137501</v>
      </c>
      <c r="CO230" s="18"/>
      <c r="CP230" s="18"/>
      <c r="CQ230" s="72"/>
      <c r="CR230" s="72"/>
      <c r="CS230" s="72"/>
      <c r="CT230" s="18"/>
      <c r="CU230" s="72"/>
      <c r="CV230" s="72"/>
      <c r="CW230" s="72"/>
      <c r="CX230" s="72"/>
      <c r="CY230" s="72"/>
      <c r="CZ230" s="72"/>
    </row>
    <row r="231" spans="88:104">
      <c r="CJ231" s="47"/>
      <c r="CK231" s="18">
        <v>0.57927671082862797</v>
      </c>
      <c r="CL231" s="18"/>
      <c r="CM231" s="47"/>
      <c r="CN231" s="18">
        <v>3.74894419736972</v>
      </c>
      <c r="CO231" s="18"/>
      <c r="CP231" s="18"/>
      <c r="CQ231" s="72"/>
      <c r="CR231" s="72"/>
      <c r="CS231" s="72"/>
      <c r="CT231" s="18"/>
      <c r="CU231" s="72"/>
      <c r="CV231" s="72"/>
      <c r="CW231" s="72"/>
      <c r="CX231" s="72"/>
      <c r="CY231" s="72"/>
      <c r="CZ231" s="72"/>
    </row>
    <row r="232" spans="88:104">
      <c r="CJ232" s="47"/>
      <c r="CK232" s="18">
        <v>0.65058076460224001</v>
      </c>
      <c r="CL232" s="18"/>
      <c r="CM232" s="47"/>
      <c r="CN232" s="18">
        <v>4.5778336322553601</v>
      </c>
      <c r="CO232" s="18"/>
      <c r="CP232" s="18"/>
      <c r="CQ232" s="72"/>
      <c r="CR232" s="72"/>
      <c r="CS232" s="72"/>
      <c r="CT232" s="18"/>
      <c r="CU232" s="72"/>
      <c r="CV232" s="72"/>
      <c r="CW232" s="72"/>
      <c r="CX232" s="72"/>
      <c r="CY232" s="72"/>
      <c r="CZ232" s="72"/>
    </row>
    <row r="233" spans="88:104">
      <c r="CJ233" s="47"/>
      <c r="CK233" s="18">
        <v>0.574246860468827</v>
      </c>
      <c r="CL233" s="18"/>
      <c r="CM233" s="47"/>
      <c r="CN233" s="18">
        <v>3.38645229701046</v>
      </c>
      <c r="CO233" s="18"/>
      <c r="CP233" s="18"/>
      <c r="CQ233" s="72"/>
      <c r="CR233" s="72"/>
      <c r="CS233" s="72"/>
      <c r="CT233" s="18"/>
      <c r="CU233" s="72"/>
      <c r="CV233" s="72"/>
      <c r="CW233" s="72"/>
      <c r="CX233" s="72"/>
      <c r="CY233" s="72"/>
      <c r="CZ233" s="72"/>
    </row>
    <row r="234" spans="88:104">
      <c r="CJ234" s="47"/>
      <c r="CK234" s="18">
        <v>0.49978212014731199</v>
      </c>
      <c r="CL234" s="18"/>
      <c r="CM234" s="47"/>
      <c r="CN234" s="18">
        <v>3.5229220102577998</v>
      </c>
      <c r="CO234" s="18"/>
      <c r="CP234" s="18"/>
      <c r="CQ234" s="72"/>
      <c r="CR234" s="72"/>
      <c r="CS234" s="72"/>
      <c r="CT234" s="18"/>
      <c r="CU234" s="72"/>
      <c r="CV234" s="72"/>
      <c r="CW234" s="72"/>
      <c r="CX234" s="72"/>
      <c r="CY234" s="72"/>
      <c r="CZ234" s="72"/>
    </row>
    <row r="235" spans="88:104">
      <c r="CJ235" s="47"/>
      <c r="CK235" s="18">
        <v>0.302757715638036</v>
      </c>
      <c r="CL235" s="18"/>
      <c r="CM235" s="47"/>
      <c r="CN235" s="18">
        <v>4.1176701110884197</v>
      </c>
      <c r="CO235" s="18"/>
      <c r="CP235" s="18"/>
      <c r="CQ235" s="72"/>
      <c r="CR235" s="72"/>
      <c r="CS235" s="72"/>
      <c r="CT235" s="18"/>
      <c r="CU235" s="72"/>
      <c r="CV235" s="72"/>
      <c r="CW235" s="72"/>
      <c r="CX235" s="72"/>
      <c r="CY235" s="72"/>
      <c r="CZ235" s="72"/>
    </row>
    <row r="236" spans="88:104">
      <c r="CJ236" s="47"/>
      <c r="CK236" s="18">
        <v>0.196103397714807</v>
      </c>
      <c r="CL236" s="18"/>
      <c r="CM236" s="47"/>
      <c r="CN236" s="18">
        <v>3.6597190966940301</v>
      </c>
      <c r="CO236" s="18"/>
      <c r="CP236" s="18"/>
      <c r="CQ236" s="72"/>
      <c r="CR236" s="72"/>
      <c r="CS236" s="72"/>
      <c r="CT236" s="18"/>
      <c r="CU236" s="72"/>
      <c r="CV236" s="72"/>
      <c r="CW236" s="72"/>
      <c r="CX236" s="72"/>
      <c r="CY236" s="72"/>
      <c r="CZ236" s="72"/>
    </row>
    <row r="237" spans="88:104">
      <c r="CJ237" s="47"/>
      <c r="CK237" s="18">
        <v>0.346758372226802</v>
      </c>
      <c r="CL237" s="18"/>
      <c r="CM237" s="47"/>
      <c r="CN237" s="18">
        <v>4.3623927372198903</v>
      </c>
      <c r="CO237" s="18"/>
      <c r="CP237" s="18"/>
      <c r="CQ237" s="72"/>
      <c r="CR237" s="72"/>
      <c r="CS237" s="72"/>
      <c r="CT237" s="18"/>
      <c r="CU237" s="72"/>
      <c r="CV237" s="72"/>
      <c r="CW237" s="72"/>
      <c r="CX237" s="72"/>
      <c r="CY237" s="72"/>
      <c r="CZ237" s="72"/>
    </row>
    <row r="238" spans="88:104">
      <c r="CJ238" s="47"/>
      <c r="CK238" s="18">
        <v>0.53843883525075797</v>
      </c>
      <c r="CL238" s="18"/>
      <c r="CM238" s="47"/>
      <c r="CN238" s="18">
        <v>3.8382963058635</v>
      </c>
      <c r="CO238" s="18"/>
      <c r="CP238" s="18"/>
      <c r="CQ238" s="72"/>
      <c r="CR238" s="72"/>
      <c r="CS238" s="72"/>
      <c r="CT238" s="18"/>
      <c r="CU238" s="72"/>
      <c r="CV238" s="72"/>
      <c r="CW238" s="72"/>
      <c r="CX238" s="72"/>
      <c r="CY238" s="72"/>
      <c r="CZ238" s="72"/>
    </row>
    <row r="239" spans="88:104">
      <c r="CJ239" s="47"/>
      <c r="CK239" s="18">
        <v>0.23695175858808101</v>
      </c>
      <c r="CL239" s="18"/>
      <c r="CM239" s="47"/>
      <c r="CN239" s="18">
        <v>3.3004019840857302</v>
      </c>
      <c r="CO239" s="18"/>
      <c r="CP239" s="18"/>
      <c r="CQ239" s="72"/>
      <c r="CR239" s="72"/>
      <c r="CS239" s="72"/>
      <c r="CT239" s="18"/>
      <c r="CU239" s="72"/>
      <c r="CV239" s="72"/>
      <c r="CW239" s="72"/>
      <c r="CX239" s="72"/>
      <c r="CY239" s="72"/>
      <c r="CZ239" s="72"/>
    </row>
    <row r="240" spans="88:104">
      <c r="CJ240" s="47"/>
      <c r="CK240" s="18">
        <v>0.463308565918163</v>
      </c>
      <c r="CL240" s="18"/>
      <c r="CM240" s="47"/>
      <c r="CN240" s="18">
        <v>3.76238070980243</v>
      </c>
      <c r="CO240" s="18"/>
      <c r="CP240" s="18"/>
      <c r="CQ240" s="72"/>
      <c r="CR240" s="72"/>
      <c r="CS240" s="72"/>
      <c r="CT240" s="18"/>
      <c r="CU240" s="72"/>
      <c r="CV240" s="72"/>
      <c r="CW240" s="72"/>
      <c r="CX240" s="72"/>
      <c r="CY240" s="72"/>
      <c r="CZ240" s="72"/>
    </row>
    <row r="241" spans="88:104">
      <c r="CJ241" s="47"/>
      <c r="CK241" s="18">
        <v>0.50700807775309997</v>
      </c>
      <c r="CL241" s="18"/>
      <c r="CM241" s="47"/>
      <c r="CN241" s="18">
        <v>3.6001388962763601</v>
      </c>
      <c r="CO241" s="18"/>
      <c r="CP241" s="18"/>
      <c r="CQ241" s="72"/>
      <c r="CR241" s="72"/>
      <c r="CS241" s="72"/>
      <c r="CT241" s="18"/>
      <c r="CU241" s="72"/>
      <c r="CV241" s="72"/>
      <c r="CW241" s="72"/>
      <c r="CX241" s="72"/>
      <c r="CY241" s="72"/>
      <c r="CZ241" s="72"/>
    </row>
    <row r="242" spans="88:104">
      <c r="CJ242" s="47"/>
      <c r="CK242" s="18">
        <v>0.58707690326467699</v>
      </c>
      <c r="CL242" s="18"/>
      <c r="CM242" s="47"/>
      <c r="CN242" s="18">
        <v>3.5793008504941599</v>
      </c>
      <c r="CO242" s="18"/>
      <c r="CP242" s="18"/>
      <c r="CQ242" s="72"/>
      <c r="CR242" s="72"/>
      <c r="CS242" s="72"/>
      <c r="CT242" s="18"/>
      <c r="CU242" s="72"/>
      <c r="CV242" s="72"/>
      <c r="CW242" s="72"/>
      <c r="CX242" s="72"/>
      <c r="CY242" s="72"/>
      <c r="CZ242" s="72"/>
    </row>
    <row r="243" spans="88:104">
      <c r="CJ243" s="47"/>
      <c r="CK243" s="18">
        <v>0.70106105295773602</v>
      </c>
      <c r="CL243" s="18"/>
      <c r="CM243" s="47"/>
      <c r="CN243" s="18">
        <v>3.8718929200395502</v>
      </c>
      <c r="CO243" s="18"/>
      <c r="CP243" s="18"/>
      <c r="CQ243" s="72"/>
      <c r="CR243" s="72"/>
      <c r="CS243" s="72"/>
      <c r="CT243" s="18"/>
      <c r="CU243" s="72"/>
      <c r="CV243" s="72"/>
      <c r="CW243" s="72"/>
      <c r="CX243" s="72"/>
      <c r="CY243" s="72"/>
      <c r="CZ243" s="72"/>
    </row>
    <row r="244" spans="88:104">
      <c r="CJ244" s="47"/>
      <c r="CK244" s="18">
        <v>0.70301207925087295</v>
      </c>
      <c r="CL244" s="18"/>
      <c r="CM244" s="47"/>
      <c r="CN244" s="18">
        <v>3.5319802496364701</v>
      </c>
      <c r="CO244" s="18"/>
      <c r="CP244" s="18"/>
      <c r="CQ244" s="72"/>
      <c r="CR244" s="72"/>
      <c r="CS244" s="72"/>
      <c r="CT244" s="18"/>
      <c r="CU244" s="72"/>
      <c r="CV244" s="72"/>
      <c r="CW244" s="72"/>
      <c r="CX244" s="72"/>
      <c r="CY244" s="72"/>
      <c r="CZ244" s="72"/>
    </row>
    <row r="245" spans="88:104">
      <c r="CJ245" s="47"/>
      <c r="CK245" s="18">
        <v>0.55807166895887295</v>
      </c>
      <c r="CL245" s="18"/>
      <c r="CM245" s="47"/>
      <c r="CN245" s="18">
        <v>3.1142004223718902</v>
      </c>
      <c r="CO245" s="18"/>
      <c r="CP245" s="18"/>
      <c r="CQ245" s="72"/>
      <c r="CR245" s="72"/>
      <c r="CS245" s="72"/>
      <c r="CT245" s="18"/>
      <c r="CU245" s="72"/>
      <c r="CV245" s="72"/>
      <c r="CW245" s="72"/>
      <c r="CX245" s="72"/>
      <c r="CY245" s="72"/>
      <c r="CZ245" s="72"/>
    </row>
    <row r="246" spans="88:104">
      <c r="CJ246" s="47"/>
      <c r="CK246" s="18">
        <v>0.74923389840189702</v>
      </c>
      <c r="CL246" s="18"/>
      <c r="CM246" s="47"/>
      <c r="CN246" s="18">
        <v>2.9697491282886599</v>
      </c>
      <c r="CO246" s="18"/>
      <c r="CP246" s="18"/>
      <c r="CQ246" s="72"/>
      <c r="CR246" s="72"/>
      <c r="CS246" s="72"/>
      <c r="CT246" s="18"/>
      <c r="CU246" s="72"/>
      <c r="CV246" s="72"/>
      <c r="CW246" s="72"/>
      <c r="CX246" s="72"/>
      <c r="CY246" s="72"/>
      <c r="CZ246" s="72"/>
    </row>
    <row r="247" spans="88:104">
      <c r="CJ247" s="47"/>
      <c r="CK247" s="18">
        <v>0.60236185663085495</v>
      </c>
      <c r="CL247" s="18"/>
      <c r="CM247" s="47"/>
      <c r="CN247" s="18">
        <v>2.5392332708660401</v>
      </c>
      <c r="CO247" s="18"/>
      <c r="CP247" s="18"/>
      <c r="CQ247" s="72"/>
      <c r="CR247" s="72"/>
      <c r="CS247" s="72"/>
      <c r="CT247" s="18"/>
      <c r="CU247" s="72"/>
      <c r="CV247" s="72"/>
      <c r="CW247" s="72"/>
      <c r="CX247" s="72"/>
      <c r="CY247" s="72"/>
      <c r="CZ247" s="72"/>
    </row>
    <row r="248" spans="88:104">
      <c r="CJ248" s="47"/>
      <c r="CK248" s="18">
        <v>0.81196417531019405</v>
      </c>
      <c r="CL248" s="18"/>
      <c r="CM248" s="47"/>
      <c r="CN248" s="18">
        <v>4.9148897629006196</v>
      </c>
      <c r="CO248" s="18"/>
      <c r="CP248" s="18"/>
      <c r="CQ248" s="72"/>
      <c r="CR248" s="72"/>
      <c r="CS248" s="72"/>
      <c r="CT248" s="18"/>
      <c r="CU248" s="72"/>
      <c r="CV248" s="72"/>
      <c r="CW248" s="72"/>
      <c r="CX248" s="72"/>
      <c r="CY248" s="72"/>
      <c r="CZ248" s="72"/>
    </row>
    <row r="249" spans="88:104">
      <c r="CJ249" s="47"/>
      <c r="CK249" s="18">
        <v>0.67924361888907203</v>
      </c>
      <c r="CL249" s="18"/>
      <c r="CM249" s="47"/>
      <c r="CN249" s="18">
        <v>3.7969818401970898</v>
      </c>
      <c r="CO249" s="18"/>
      <c r="CP249" s="18"/>
      <c r="CQ249" s="72"/>
      <c r="CR249" s="72"/>
      <c r="CS249" s="72"/>
      <c r="CT249" s="18"/>
      <c r="CU249" s="72"/>
      <c r="CV249" s="72"/>
      <c r="CW249" s="72"/>
      <c r="CX249" s="72"/>
      <c r="CY249" s="72"/>
      <c r="CZ249" s="72"/>
    </row>
    <row r="250" spans="88:104">
      <c r="CJ250" s="47"/>
      <c r="CK250" s="18">
        <v>0.75154941479160597</v>
      </c>
      <c r="CL250" s="18"/>
      <c r="CM250" s="47"/>
      <c r="CN250" s="18">
        <v>3.3659304474954901</v>
      </c>
      <c r="CO250" s="18"/>
      <c r="CP250" s="18"/>
      <c r="CQ250" s="72"/>
      <c r="CR250" s="72"/>
      <c r="CS250" s="72"/>
      <c r="CT250" s="18"/>
      <c r="CU250" s="72"/>
      <c r="CV250" s="72"/>
      <c r="CW250" s="72"/>
      <c r="CX250" s="72"/>
      <c r="CY250" s="72"/>
      <c r="CZ250" s="72"/>
    </row>
    <row r="251" spans="88:104">
      <c r="CJ251" s="47"/>
      <c r="CK251" s="18">
        <v>0.68804604402997904</v>
      </c>
      <c r="CL251" s="18"/>
      <c r="CM251" s="47"/>
      <c r="CN251" s="18">
        <v>4.5174646801811296</v>
      </c>
      <c r="CO251" s="18"/>
      <c r="CP251" s="18"/>
      <c r="CQ251" s="72"/>
      <c r="CR251" s="72"/>
      <c r="CS251" s="72"/>
      <c r="CT251" s="18"/>
      <c r="CU251" s="72"/>
      <c r="CV251" s="72"/>
      <c r="CW251" s="72"/>
      <c r="CX251" s="72"/>
      <c r="CY251" s="72"/>
      <c r="CZ251" s="72"/>
    </row>
    <row r="252" spans="88:104">
      <c r="CJ252" s="47"/>
      <c r="CK252" s="18">
        <v>0.592349391756961</v>
      </c>
      <c r="CL252" s="18"/>
      <c r="CM252" s="47"/>
      <c r="CN252" s="18">
        <v>3.7267004532478598</v>
      </c>
      <c r="CO252" s="18"/>
      <c r="CP252" s="18"/>
      <c r="CQ252" s="72"/>
      <c r="CR252" s="72"/>
      <c r="CS252" s="72"/>
      <c r="CT252" s="18"/>
      <c r="CU252" s="72"/>
      <c r="CV252" s="72"/>
      <c r="CW252" s="72"/>
      <c r="CX252" s="72"/>
      <c r="CY252" s="72"/>
      <c r="CZ252" s="72"/>
    </row>
    <row r="253" spans="88:104">
      <c r="CJ253" s="47"/>
      <c r="CK253" s="18">
        <v>0.40195806641377302</v>
      </c>
      <c r="CL253" s="18"/>
      <c r="CM253" s="47"/>
      <c r="CN253" s="18">
        <v>2.8200972499395802</v>
      </c>
      <c r="CO253" s="18"/>
      <c r="CP253" s="18"/>
      <c r="CQ253" s="72"/>
      <c r="CR253" s="72"/>
      <c r="CS253" s="72"/>
      <c r="CT253" s="18"/>
      <c r="CU253" s="72"/>
      <c r="CV253" s="72"/>
      <c r="CW253" s="72"/>
      <c r="CX253" s="72"/>
      <c r="CY253" s="72"/>
      <c r="CZ253" s="72"/>
    </row>
    <row r="254" spans="88:104">
      <c r="CJ254" s="47"/>
      <c r="CK254" s="18">
        <v>0.64108355271206496</v>
      </c>
      <c r="CL254" s="18"/>
      <c r="CM254" s="47"/>
      <c r="CN254" s="18">
        <v>3.49846789382002</v>
      </c>
      <c r="CO254" s="18"/>
      <c r="CP254" s="18"/>
      <c r="CQ254" s="72"/>
      <c r="CR254" s="72"/>
      <c r="CS254" s="72"/>
      <c r="CT254" s="18"/>
      <c r="CU254" s="72"/>
      <c r="CV254" s="72"/>
      <c r="CW254" s="72"/>
      <c r="CX254" s="72"/>
      <c r="CY254" s="72"/>
      <c r="CZ254" s="72"/>
    </row>
    <row r="255" spans="88:104">
      <c r="CJ255" s="47"/>
      <c r="CK255" s="18">
        <v>0.60663173227490996</v>
      </c>
      <c r="CL255" s="18"/>
      <c r="CM255" s="47"/>
      <c r="CN255" s="18">
        <v>4.3316550623430201</v>
      </c>
      <c r="CO255" s="18"/>
      <c r="CP255" s="18"/>
      <c r="CQ255" s="72"/>
      <c r="CR255" s="72"/>
      <c r="CS255" s="72"/>
      <c r="CT255" s="18"/>
      <c r="CU255" s="72"/>
      <c r="CV255" s="72"/>
      <c r="CW255" s="72"/>
      <c r="CX255" s="72"/>
      <c r="CY255" s="72"/>
      <c r="CZ255" s="72"/>
    </row>
    <row r="256" spans="88:104">
      <c r="CJ256" s="47"/>
      <c r="CK256" s="18">
        <v>0.49876146567185198</v>
      </c>
      <c r="CL256" s="18"/>
      <c r="CM256" s="47"/>
      <c r="CN256" s="18">
        <v>2.7659165856914099</v>
      </c>
      <c r="CO256" s="18"/>
      <c r="CP256" s="18"/>
      <c r="CQ256" s="72"/>
      <c r="CR256" s="72"/>
      <c r="CS256" s="72"/>
      <c r="CT256" s="18"/>
      <c r="CU256" s="72"/>
      <c r="CV256" s="72"/>
      <c r="CW256" s="72"/>
      <c r="CX256" s="72"/>
      <c r="CY256" s="72"/>
      <c r="CZ256" s="72"/>
    </row>
    <row r="257" spans="88:104">
      <c r="CJ257" s="47"/>
      <c r="CK257" s="18">
        <v>0.69804063120238302</v>
      </c>
      <c r="CL257" s="18"/>
      <c r="CM257" s="47"/>
      <c r="CN257" s="18">
        <v>3.76922163334191</v>
      </c>
      <c r="CO257" s="18"/>
      <c r="CP257" s="18"/>
      <c r="CQ257" s="72"/>
      <c r="CR257" s="72"/>
      <c r="CS257" s="72"/>
      <c r="CT257" s="18"/>
      <c r="CU257" s="72"/>
      <c r="CV257" s="72"/>
      <c r="CW257" s="72"/>
      <c r="CX257" s="72"/>
      <c r="CY257" s="72"/>
      <c r="CZ257" s="72"/>
    </row>
    <row r="258" spans="88:104">
      <c r="CJ258" s="47"/>
      <c r="CK258" s="18">
        <v>0.83195828919826098</v>
      </c>
      <c r="CL258" s="18"/>
      <c r="CM258" s="47"/>
      <c r="CN258" s="18">
        <v>4.2774343359619298</v>
      </c>
      <c r="CO258" s="18"/>
      <c r="CP258" s="18"/>
      <c r="CQ258" s="72"/>
      <c r="CR258" s="72"/>
      <c r="CS258" s="72"/>
      <c r="CT258" s="18"/>
      <c r="CU258" s="72"/>
      <c r="CV258" s="72"/>
      <c r="CW258" s="72"/>
      <c r="CX258" s="72"/>
      <c r="CY258" s="72"/>
      <c r="CZ258" s="72"/>
    </row>
    <row r="259" spans="88:104">
      <c r="CJ259" s="47"/>
      <c r="CK259" s="18">
        <v>0.58822890894810498</v>
      </c>
      <c r="CL259" s="18"/>
      <c r="CM259" s="47"/>
      <c r="CN259" s="18">
        <v>3.4415365969788998</v>
      </c>
      <c r="CO259" s="18"/>
      <c r="CP259" s="18"/>
      <c r="CQ259" s="72"/>
      <c r="CR259" s="72"/>
      <c r="CS259" s="72"/>
      <c r="CT259" s="18"/>
      <c r="CU259" s="72"/>
      <c r="CV259" s="72"/>
      <c r="CW259" s="72"/>
      <c r="CX259" s="72"/>
      <c r="CY259" s="72"/>
      <c r="CZ259" s="72"/>
    </row>
    <row r="260" spans="88:104">
      <c r="CJ260" s="47"/>
      <c r="CK260" s="18">
        <v>0.70017334985263702</v>
      </c>
      <c r="CL260" s="18"/>
      <c r="CM260" s="47"/>
      <c r="CN260" s="18">
        <v>3.6233635627910701</v>
      </c>
      <c r="CO260" s="18"/>
      <c r="CP260" s="18"/>
      <c r="CQ260" s="72"/>
      <c r="CR260" s="72"/>
      <c r="CS260" s="72"/>
      <c r="CT260" s="18"/>
      <c r="CU260" s="72"/>
      <c r="CV260" s="72"/>
      <c r="CW260" s="72"/>
      <c r="CX260" s="72"/>
      <c r="CY260" s="72"/>
      <c r="CZ260" s="72"/>
    </row>
    <row r="261" spans="88:104">
      <c r="CJ261" s="47"/>
      <c r="CK261" s="18">
        <v>0.67843253379615298</v>
      </c>
      <c r="CL261" s="18"/>
      <c r="CM261" s="47"/>
      <c r="CN261" s="18">
        <v>2.7893327947989501</v>
      </c>
      <c r="CO261" s="18"/>
      <c r="CP261" s="18"/>
      <c r="CQ261" s="72"/>
      <c r="CR261" s="72"/>
      <c r="CS261" s="72"/>
      <c r="CT261" s="18"/>
      <c r="CU261" s="72"/>
      <c r="CV261" s="72"/>
      <c r="CW261" s="72"/>
      <c r="CX261" s="72"/>
      <c r="CY261" s="72"/>
      <c r="CZ261" s="72"/>
    </row>
    <row r="262" spans="88:104">
      <c r="CJ262" s="47"/>
      <c r="CK262" s="18">
        <v>0.53186799560555498</v>
      </c>
      <c r="CL262" s="18"/>
      <c r="CM262" s="47"/>
      <c r="CN262" s="18">
        <v>3.4192961747357602</v>
      </c>
      <c r="CO262" s="18"/>
      <c r="CP262" s="18"/>
      <c r="CQ262" s="72"/>
      <c r="CR262" s="72"/>
      <c r="CS262" s="72"/>
      <c r="CT262" s="18"/>
      <c r="CU262" s="72"/>
      <c r="CV262" s="72"/>
      <c r="CW262" s="72"/>
      <c r="CX262" s="72"/>
      <c r="CY262" s="72"/>
      <c r="CZ262" s="72"/>
    </row>
    <row r="263" spans="88:104">
      <c r="CJ263" s="47"/>
      <c r="CK263" s="18">
        <v>0.24379092506481001</v>
      </c>
      <c r="CL263" s="18"/>
      <c r="CM263" s="47"/>
      <c r="CN263" s="18">
        <v>3.3455666953301799</v>
      </c>
      <c r="CO263" s="18"/>
      <c r="CP263" s="18"/>
      <c r="CQ263" s="72"/>
      <c r="CR263" s="72"/>
      <c r="CS263" s="72"/>
      <c r="CT263" s="18"/>
      <c r="CU263" s="72"/>
      <c r="CV263" s="72"/>
      <c r="CW263" s="72"/>
      <c r="CX263" s="72"/>
      <c r="CY263" s="72"/>
      <c r="CZ263" s="72"/>
    </row>
    <row r="264" spans="88:104">
      <c r="CJ264" s="47"/>
      <c r="CK264" s="18">
        <v>0.81270357656028402</v>
      </c>
      <c r="CL264" s="18"/>
      <c r="CM264" s="47"/>
      <c r="CN264" s="18">
        <v>4.4191680577492303</v>
      </c>
      <c r="CO264" s="18"/>
      <c r="CP264" s="18"/>
      <c r="CQ264" s="72"/>
      <c r="CR264" s="72"/>
      <c r="CS264" s="72"/>
      <c r="CT264" s="18"/>
      <c r="CU264" s="72"/>
      <c r="CV264" s="72"/>
      <c r="CW264" s="72"/>
      <c r="CX264" s="72"/>
      <c r="CY264" s="72"/>
      <c r="CZ264" s="72"/>
    </row>
    <row r="265" spans="88:104">
      <c r="CJ265" s="47"/>
      <c r="CK265" s="18">
        <v>0.99566540973610895</v>
      </c>
      <c r="CL265" s="18"/>
      <c r="CM265" s="47"/>
      <c r="CN265" s="18">
        <v>4.0052832019726701</v>
      </c>
      <c r="CO265" s="18"/>
      <c r="CP265" s="18"/>
      <c r="CQ265" s="72"/>
      <c r="CR265" s="72"/>
      <c r="CS265" s="72"/>
      <c r="CT265" s="18"/>
      <c r="CU265" s="72"/>
      <c r="CV265" s="72"/>
      <c r="CW265" s="72"/>
      <c r="CX265" s="72"/>
      <c r="CY265" s="72"/>
      <c r="CZ265" s="72"/>
    </row>
    <row r="266" spans="88:104">
      <c r="CJ266" s="47"/>
      <c r="CK266" s="18">
        <v>0.33273657246386101</v>
      </c>
      <c r="CL266" s="18"/>
      <c r="CM266" s="47"/>
      <c r="CN266" s="18">
        <v>3.5396551369204099</v>
      </c>
      <c r="CO266" s="18"/>
      <c r="CP266" s="18"/>
      <c r="CQ266" s="72"/>
      <c r="CR266" s="72"/>
      <c r="CS266" s="72"/>
      <c r="CT266" s="18"/>
      <c r="CU266" s="72"/>
      <c r="CV266" s="72"/>
      <c r="CW266" s="72"/>
      <c r="CX266" s="72"/>
      <c r="CY266" s="72"/>
      <c r="CZ266" s="72"/>
    </row>
    <row r="267" spans="88:104">
      <c r="CJ267" s="47"/>
      <c r="CK267" s="18">
        <v>0.308826824347884</v>
      </c>
      <c r="CL267" s="18"/>
      <c r="CM267" s="47"/>
      <c r="CN267" s="18">
        <v>2.7881845428082799</v>
      </c>
      <c r="CO267" s="18"/>
      <c r="CP267" s="18"/>
      <c r="CQ267" s="72"/>
      <c r="CR267" s="72"/>
      <c r="CS267" s="72"/>
      <c r="CT267" s="18"/>
      <c r="CU267" s="72"/>
      <c r="CV267" s="72"/>
      <c r="CW267" s="72"/>
      <c r="CX267" s="72"/>
      <c r="CY267" s="72"/>
      <c r="CZ267" s="72"/>
    </row>
    <row r="268" spans="88:104">
      <c r="CJ268" s="47"/>
      <c r="CK268" s="18">
        <v>0.69652804568067395</v>
      </c>
      <c r="CL268" s="18"/>
      <c r="CM268" s="47"/>
      <c r="CN268" s="18">
        <v>3.4688178824964702</v>
      </c>
      <c r="CO268" s="18"/>
      <c r="CP268" s="18"/>
      <c r="CQ268" s="72"/>
      <c r="CR268" s="72"/>
      <c r="CS268" s="72"/>
      <c r="CT268" s="18"/>
      <c r="CU268" s="72"/>
      <c r="CV268" s="72"/>
      <c r="CW268" s="72"/>
      <c r="CX268" s="72"/>
      <c r="CY268" s="72"/>
      <c r="CZ268" s="72"/>
    </row>
    <row r="269" spans="88:104">
      <c r="CJ269" s="47"/>
      <c r="CK269" s="18">
        <v>0.50863147764689498</v>
      </c>
      <c r="CL269" s="18"/>
      <c r="CM269" s="47"/>
      <c r="CN269" s="18">
        <v>4.7625401700183696</v>
      </c>
      <c r="CO269" s="18"/>
      <c r="CP269" s="18"/>
      <c r="CQ269" s="72"/>
      <c r="CR269" s="72"/>
      <c r="CS269" s="72"/>
      <c r="CT269" s="18"/>
      <c r="CU269" s="72"/>
      <c r="CV269" s="72"/>
      <c r="CW269" s="72"/>
      <c r="CX269" s="72"/>
      <c r="CY269" s="72"/>
      <c r="CZ269" s="72"/>
    </row>
    <row r="270" spans="88:104">
      <c r="CJ270" s="47"/>
      <c r="CK270" s="18">
        <v>0.47290362360683202</v>
      </c>
      <c r="CL270" s="18"/>
      <c r="CM270" s="47"/>
      <c r="CN270" s="18">
        <v>3.4192017738487599</v>
      </c>
      <c r="CO270" s="18"/>
      <c r="CP270" s="18"/>
      <c r="CQ270" s="72"/>
      <c r="CR270" s="72"/>
      <c r="CS270" s="72"/>
      <c r="CT270" s="18"/>
      <c r="CU270" s="72"/>
      <c r="CV270" s="72"/>
      <c r="CW270" s="72"/>
      <c r="CX270" s="72"/>
      <c r="CY270" s="72"/>
      <c r="CZ270" s="72"/>
    </row>
    <row r="271" spans="88:104">
      <c r="CJ271" s="47"/>
      <c r="CK271" s="18">
        <v>0.74897638924621301</v>
      </c>
      <c r="CL271" s="18"/>
      <c r="CM271" s="47"/>
      <c r="CN271" s="18">
        <v>3.1060467493128301</v>
      </c>
      <c r="CO271" s="18"/>
      <c r="CP271" s="18"/>
      <c r="CQ271" s="72"/>
      <c r="CR271" s="72"/>
      <c r="CS271" s="72"/>
      <c r="CT271" s="18"/>
      <c r="CU271" s="72"/>
      <c r="CV271" s="72"/>
      <c r="CW271" s="72"/>
      <c r="CX271" s="72"/>
      <c r="CY271" s="72"/>
      <c r="CZ271" s="72"/>
    </row>
    <row r="272" spans="88:104">
      <c r="CJ272" s="47"/>
      <c r="CK272" s="18">
        <v>0.214124805352847</v>
      </c>
      <c r="CL272" s="18"/>
      <c r="CM272" s="47"/>
      <c r="CN272" s="18">
        <v>3.31297005877052</v>
      </c>
      <c r="CO272" s="18"/>
      <c r="CP272" s="18"/>
      <c r="CQ272" s="72"/>
      <c r="CR272" s="72"/>
      <c r="CS272" s="72"/>
      <c r="CT272" s="18"/>
      <c r="CU272" s="72"/>
      <c r="CV272" s="72"/>
      <c r="CW272" s="72"/>
      <c r="CX272" s="72"/>
      <c r="CY272" s="72"/>
      <c r="CZ272" s="72"/>
    </row>
    <row r="273" spans="88:104">
      <c r="CJ273" s="47"/>
      <c r="CK273" s="18">
        <v>0.32492578405532102</v>
      </c>
      <c r="CL273" s="18"/>
      <c r="CM273" s="47"/>
      <c r="CN273" s="18">
        <v>2.8358028342827999</v>
      </c>
      <c r="CO273" s="18"/>
      <c r="CP273" s="18"/>
      <c r="CQ273" s="72"/>
      <c r="CR273" s="72"/>
      <c r="CS273" s="72"/>
      <c r="CT273" s="18"/>
      <c r="CU273" s="72"/>
      <c r="CV273" s="72"/>
      <c r="CW273" s="72"/>
      <c r="CX273" s="72"/>
      <c r="CY273" s="72"/>
      <c r="CZ273" s="72"/>
    </row>
    <row r="274" spans="88:104">
      <c r="CJ274" s="47"/>
      <c r="CK274" s="18">
        <v>0.44371272809349899</v>
      </c>
      <c r="CL274" s="18"/>
      <c r="CM274" s="47"/>
      <c r="CN274" s="18">
        <v>3.1635470359956899</v>
      </c>
      <c r="CO274" s="18"/>
      <c r="CP274" s="18"/>
      <c r="CQ274" s="72"/>
      <c r="CR274" s="72"/>
      <c r="CS274" s="72"/>
      <c r="CT274" s="18"/>
      <c r="CU274" s="72"/>
      <c r="CV274" s="72"/>
      <c r="CW274" s="72"/>
      <c r="CX274" s="72"/>
      <c r="CY274" s="72"/>
      <c r="CZ274" s="72"/>
    </row>
    <row r="275" spans="88:104">
      <c r="CJ275" s="47"/>
      <c r="CK275" s="18">
        <v>0.42449217088920499</v>
      </c>
      <c r="CL275" s="18"/>
      <c r="CM275" s="47"/>
      <c r="CN275" s="18">
        <v>3.2753795962536199</v>
      </c>
      <c r="CO275" s="18"/>
      <c r="CP275" s="18"/>
      <c r="CQ275" s="72"/>
      <c r="CR275" s="72"/>
      <c r="CS275" s="72"/>
      <c r="CT275" s="18"/>
      <c r="CU275" s="72"/>
      <c r="CV275" s="72"/>
      <c r="CW275" s="72"/>
      <c r="CX275" s="72"/>
      <c r="CY275" s="72"/>
      <c r="CZ275" s="72"/>
    </row>
    <row r="276" spans="88:104">
      <c r="CJ276" s="47"/>
      <c r="CK276" s="18">
        <v>0.57172534389100005</v>
      </c>
      <c r="CL276" s="18"/>
      <c r="CM276" s="47"/>
      <c r="CN276" s="18">
        <v>3.29623713177102</v>
      </c>
      <c r="CO276" s="18"/>
      <c r="CP276" s="18"/>
      <c r="CQ276" s="72"/>
      <c r="CR276" s="72"/>
      <c r="CS276" s="72"/>
      <c r="CT276" s="18"/>
      <c r="CU276" s="72"/>
      <c r="CV276" s="72"/>
      <c r="CW276" s="72"/>
      <c r="CX276" s="72"/>
      <c r="CY276" s="72"/>
      <c r="CZ276" s="72"/>
    </row>
    <row r="277" spans="88:104">
      <c r="CJ277" s="47"/>
      <c r="CK277" s="18">
        <v>0.61560462635926505</v>
      </c>
      <c r="CL277" s="18"/>
      <c r="CM277" s="47"/>
      <c r="CN277" s="18">
        <v>3.00984876738121</v>
      </c>
      <c r="CO277" s="18"/>
      <c r="CP277" s="18"/>
      <c r="CQ277" s="72"/>
      <c r="CR277" s="72"/>
      <c r="CS277" s="72"/>
      <c r="CT277" s="18"/>
      <c r="CU277" s="72"/>
      <c r="CV277" s="72"/>
      <c r="CW277" s="72"/>
      <c r="CX277" s="72"/>
      <c r="CY277" s="72"/>
      <c r="CZ277" s="72"/>
    </row>
    <row r="278" spans="88:104">
      <c r="CJ278" s="47"/>
      <c r="CK278" s="18">
        <v>0.69848520765682398</v>
      </c>
      <c r="CL278" s="18"/>
      <c r="CM278" s="47"/>
      <c r="CN278" s="18">
        <v>4.7566283720842097</v>
      </c>
      <c r="CO278" s="18"/>
      <c r="CP278" s="18"/>
      <c r="CQ278" s="72"/>
      <c r="CR278" s="72"/>
      <c r="CS278" s="72"/>
      <c r="CT278" s="18"/>
      <c r="CU278" s="72"/>
      <c r="CV278" s="72"/>
      <c r="CW278" s="72"/>
      <c r="CX278" s="72"/>
      <c r="CY278" s="72"/>
      <c r="CZ278" s="72"/>
    </row>
    <row r="279" spans="88:104">
      <c r="CJ279" s="47"/>
      <c r="CK279" s="18">
        <v>0.40086577756625302</v>
      </c>
      <c r="CL279" s="18"/>
      <c r="CM279" s="47"/>
      <c r="CN279" s="18">
        <v>3.6676537373545401</v>
      </c>
      <c r="CO279" s="18"/>
      <c r="CP279" s="18"/>
      <c r="CQ279" s="72"/>
      <c r="CR279" s="72"/>
      <c r="CS279" s="72"/>
      <c r="CT279" s="18"/>
      <c r="CU279" s="72"/>
      <c r="CV279" s="72"/>
      <c r="CW279" s="72"/>
      <c r="CX279" s="72"/>
      <c r="CY279" s="72"/>
      <c r="CZ279" s="72"/>
    </row>
    <row r="280" spans="88:104">
      <c r="CJ280" s="47"/>
      <c r="CK280" s="18">
        <v>0.30975827142463502</v>
      </c>
      <c r="CL280" s="18"/>
      <c r="CM280" s="47"/>
      <c r="CN280" s="18">
        <v>3.3628625962221599</v>
      </c>
      <c r="CO280" s="18"/>
      <c r="CP280" s="18"/>
      <c r="CQ280" s="72"/>
      <c r="CR280" s="72"/>
      <c r="CS280" s="72"/>
      <c r="CT280" s="18"/>
      <c r="CU280" s="72"/>
      <c r="CV280" s="72"/>
      <c r="CW280" s="72"/>
      <c r="CX280" s="72"/>
      <c r="CY280" s="72"/>
      <c r="CZ280" s="72"/>
    </row>
    <row r="281" spans="88:104">
      <c r="CJ281" s="47"/>
      <c r="CK281" s="18">
        <v>0.81245715158045695</v>
      </c>
      <c r="CL281" s="18"/>
      <c r="CM281" s="47"/>
      <c r="CN281" s="18">
        <v>3.89700802644832</v>
      </c>
      <c r="CO281" s="18"/>
      <c r="CP281" s="18"/>
      <c r="CQ281" s="72"/>
      <c r="CR281" s="72"/>
      <c r="CS281" s="72"/>
      <c r="CT281" s="18"/>
      <c r="CU281" s="72"/>
      <c r="CV281" s="72"/>
      <c r="CW281" s="72"/>
      <c r="CX281" s="72"/>
      <c r="CY281" s="72"/>
      <c r="CZ281" s="72"/>
    </row>
    <row r="282" spans="88:104">
      <c r="CJ282" s="47"/>
      <c r="CK282" s="18">
        <v>0.55188510347172504</v>
      </c>
      <c r="CL282" s="18"/>
      <c r="CM282" s="47"/>
      <c r="CN282" s="18">
        <v>4.2597018415093197</v>
      </c>
      <c r="CO282" s="18"/>
      <c r="CP282" s="18"/>
      <c r="CQ282" s="72"/>
      <c r="CR282" s="72"/>
      <c r="CS282" s="72"/>
      <c r="CT282" s="18"/>
      <c r="CU282" s="72"/>
      <c r="CV282" s="72"/>
      <c r="CW282" s="72"/>
      <c r="CX282" s="72"/>
      <c r="CY282" s="72"/>
      <c r="CZ282" s="72"/>
    </row>
    <row r="283" spans="88:104">
      <c r="CJ283" s="47"/>
      <c r="CK283" s="18">
        <v>0.57985595135068402</v>
      </c>
      <c r="CL283" s="18"/>
      <c r="CM283" s="47"/>
      <c r="CN283" s="18">
        <v>4.2828623208142904</v>
      </c>
      <c r="CO283" s="18"/>
      <c r="CP283" s="18"/>
      <c r="CQ283" s="72"/>
      <c r="CR283" s="72"/>
      <c r="CS283" s="72"/>
      <c r="CT283" s="18"/>
      <c r="CU283" s="72"/>
      <c r="CV283" s="72"/>
      <c r="CW283" s="72"/>
      <c r="CX283" s="72"/>
      <c r="CY283" s="72"/>
      <c r="CZ283" s="72"/>
    </row>
    <row r="284" spans="88:104">
      <c r="CJ284" s="47"/>
      <c r="CK284" s="18">
        <v>0.393745670660825</v>
      </c>
      <c r="CL284" s="18"/>
      <c r="CM284" s="47"/>
      <c r="CN284" s="18">
        <v>3.3148560107648102</v>
      </c>
      <c r="CO284" s="18"/>
      <c r="CP284" s="18"/>
      <c r="CQ284" s="72"/>
      <c r="CR284" s="72"/>
      <c r="CS284" s="72"/>
      <c r="CT284" s="18"/>
      <c r="CU284" s="72"/>
      <c r="CV284" s="72"/>
      <c r="CW284" s="72"/>
      <c r="CX284" s="72"/>
      <c r="CY284" s="72"/>
      <c r="CZ284" s="72"/>
    </row>
    <row r="285" spans="88:104">
      <c r="CJ285" s="47"/>
      <c r="CK285" s="18">
        <v>0.74010724619747503</v>
      </c>
      <c r="CL285" s="18"/>
      <c r="CM285" s="47"/>
      <c r="CN285" s="18">
        <v>3.5992106589005299</v>
      </c>
      <c r="CO285" s="18"/>
      <c r="CP285" s="18"/>
      <c r="CQ285" s="72"/>
      <c r="CR285" s="72"/>
      <c r="CS285" s="72"/>
      <c r="CT285" s="18"/>
      <c r="CU285" s="72"/>
      <c r="CV285" s="72"/>
      <c r="CW285" s="72"/>
      <c r="CX285" s="72"/>
      <c r="CY285" s="72"/>
      <c r="CZ285" s="72"/>
    </row>
    <row r="286" spans="88:104">
      <c r="CJ286" s="47"/>
      <c r="CK286" s="18">
        <v>0.68876224387882401</v>
      </c>
      <c r="CL286" s="18"/>
      <c r="CM286" s="47"/>
      <c r="CN286" s="18">
        <v>3.7179121696444302</v>
      </c>
      <c r="CO286" s="18"/>
      <c r="CP286" s="18"/>
      <c r="CQ286" s="72"/>
      <c r="CR286" s="72"/>
      <c r="CS286" s="72"/>
      <c r="CT286" s="18"/>
      <c r="CU286" s="72"/>
      <c r="CV286" s="72"/>
      <c r="CW286" s="72"/>
      <c r="CX286" s="72"/>
      <c r="CY286" s="72"/>
      <c r="CZ286" s="72"/>
    </row>
    <row r="287" spans="88:104">
      <c r="CJ287" s="47"/>
      <c r="CK287" s="18">
        <v>0.84044309138979201</v>
      </c>
      <c r="CL287" s="18"/>
      <c r="CM287" s="47"/>
      <c r="CN287" s="18">
        <v>4.6136848721958996</v>
      </c>
      <c r="CO287" s="18"/>
      <c r="CP287" s="18"/>
      <c r="CQ287" s="72"/>
      <c r="CR287" s="72"/>
      <c r="CS287" s="72"/>
      <c r="CT287" s="18"/>
      <c r="CU287" s="72"/>
      <c r="CV287" s="72"/>
      <c r="CW287" s="72"/>
      <c r="CX287" s="72"/>
      <c r="CY287" s="72"/>
      <c r="CZ287" s="72"/>
    </row>
    <row r="288" spans="88:104">
      <c r="CJ288" s="47"/>
      <c r="CK288" s="18">
        <v>0.59359280586459595</v>
      </c>
      <c r="CL288" s="18"/>
      <c r="CM288" s="47"/>
      <c r="CN288" s="18">
        <v>3.39815880100238</v>
      </c>
      <c r="CO288" s="18"/>
      <c r="CP288" s="18"/>
      <c r="CQ288" s="72"/>
      <c r="CR288" s="72"/>
      <c r="CS288" s="72"/>
      <c r="CT288" s="18"/>
      <c r="CU288" s="72"/>
      <c r="CV288" s="72"/>
      <c r="CW288" s="72"/>
      <c r="CX288" s="72"/>
      <c r="CY288" s="72"/>
      <c r="CZ288" s="72"/>
    </row>
    <row r="289" spans="88:104">
      <c r="CJ289" s="47"/>
      <c r="CK289" s="18">
        <v>0.26723614181241001</v>
      </c>
      <c r="CL289" s="18"/>
      <c r="CM289" s="47"/>
      <c r="CN289" s="18">
        <v>2.5310195716186299</v>
      </c>
      <c r="CO289" s="18"/>
      <c r="CP289" s="18"/>
      <c r="CQ289" s="72"/>
      <c r="CR289" s="72"/>
      <c r="CS289" s="72"/>
      <c r="CT289" s="18"/>
      <c r="CU289" s="72"/>
      <c r="CV289" s="72"/>
      <c r="CW289" s="72"/>
      <c r="CX289" s="72"/>
      <c r="CY289" s="72"/>
      <c r="CZ289" s="72"/>
    </row>
    <row r="290" spans="88:104">
      <c r="CJ290" s="47"/>
      <c r="CK290" s="18">
        <v>0.45312244659581302</v>
      </c>
      <c r="CL290" s="18"/>
      <c r="CM290" s="47"/>
      <c r="CN290" s="18">
        <v>3.2211037253678798</v>
      </c>
      <c r="CO290" s="18"/>
      <c r="CP290" s="18"/>
      <c r="CQ290" s="72"/>
      <c r="CR290" s="72"/>
      <c r="CS290" s="72"/>
      <c r="CT290" s="18"/>
      <c r="CU290" s="72"/>
      <c r="CV290" s="72"/>
      <c r="CW290" s="72"/>
      <c r="CX290" s="72"/>
      <c r="CY290" s="72"/>
      <c r="CZ290" s="72"/>
    </row>
    <row r="291" spans="88:104">
      <c r="CJ291" s="47"/>
      <c r="CK291" s="18">
        <v>0.474669659160943</v>
      </c>
      <c r="CL291" s="18"/>
      <c r="CM291" s="47"/>
      <c r="CN291" s="18">
        <v>3.1729674805960899</v>
      </c>
      <c r="CO291" s="18"/>
      <c r="CP291" s="18"/>
      <c r="CQ291" s="72"/>
      <c r="CR291" s="72"/>
      <c r="CS291" s="72"/>
      <c r="CT291" s="18"/>
      <c r="CU291" s="72"/>
      <c r="CV291" s="72"/>
      <c r="CW291" s="72"/>
      <c r="CX291" s="72"/>
      <c r="CY291" s="72"/>
      <c r="CZ291" s="72"/>
    </row>
    <row r="292" spans="88:104">
      <c r="CJ292" s="47"/>
      <c r="CK292" s="18">
        <v>0.43956994966273899</v>
      </c>
      <c r="CL292" s="18"/>
      <c r="CM292" s="47"/>
      <c r="CN292" s="18">
        <v>3.0999515906625299</v>
      </c>
      <c r="CO292" s="18"/>
      <c r="CP292" s="18"/>
      <c r="CQ292" s="72"/>
      <c r="CR292" s="72"/>
      <c r="CS292" s="72"/>
      <c r="CT292" s="18"/>
      <c r="CU292" s="72"/>
      <c r="CV292" s="72"/>
      <c r="CW292" s="72"/>
      <c r="CX292" s="72"/>
      <c r="CY292" s="72"/>
      <c r="CZ292" s="72"/>
    </row>
    <row r="293" spans="88:104">
      <c r="CJ293" s="47"/>
      <c r="CK293" s="18">
        <v>0.64025072145401796</v>
      </c>
      <c r="CL293" s="18"/>
      <c r="CM293" s="47"/>
      <c r="CN293" s="18">
        <v>3.7504350004320499</v>
      </c>
      <c r="CO293" s="18"/>
      <c r="CP293" s="18"/>
      <c r="CQ293" s="72"/>
      <c r="CR293" s="72"/>
      <c r="CS293" s="72"/>
      <c r="CT293" s="18"/>
      <c r="CU293" s="72"/>
      <c r="CV293" s="72"/>
      <c r="CW293" s="72"/>
      <c r="CX293" s="72"/>
      <c r="CY293" s="72"/>
      <c r="CZ293" s="72"/>
    </row>
    <row r="294" spans="88:104">
      <c r="CJ294" s="47"/>
      <c r="CK294" s="18">
        <v>0.35535462056106598</v>
      </c>
      <c r="CL294" s="18"/>
      <c r="CM294" s="47"/>
      <c r="CN294" s="18">
        <v>3.2673410285821101</v>
      </c>
      <c r="CO294" s="18"/>
      <c r="CP294" s="18"/>
      <c r="CQ294" s="72"/>
      <c r="CR294" s="72"/>
      <c r="CS294" s="72"/>
      <c r="CT294" s="18"/>
      <c r="CU294" s="72"/>
      <c r="CV294" s="72"/>
      <c r="CW294" s="72"/>
      <c r="CX294" s="72"/>
      <c r="CY294" s="72"/>
      <c r="CZ294" s="72"/>
    </row>
    <row r="295" spans="88:104">
      <c r="CJ295" s="47"/>
      <c r="CK295" s="18">
        <v>0.82415684372882902</v>
      </c>
      <c r="CL295" s="18"/>
      <c r="CM295" s="47"/>
      <c r="CN295" s="18">
        <v>3.8171832195819699</v>
      </c>
      <c r="CO295" s="18"/>
      <c r="CP295" s="18"/>
      <c r="CQ295" s="72"/>
      <c r="CR295" s="72"/>
      <c r="CS295" s="72"/>
      <c r="CT295" s="18"/>
      <c r="CU295" s="72"/>
      <c r="CV295" s="72"/>
      <c r="CW295" s="72"/>
      <c r="CX295" s="72"/>
      <c r="CY295" s="72"/>
      <c r="CZ295" s="72"/>
    </row>
    <row r="296" spans="88:104">
      <c r="CJ296" s="47"/>
      <c r="CK296" s="18">
        <v>0.66056358554518402</v>
      </c>
      <c r="CL296" s="18"/>
      <c r="CM296" s="47"/>
      <c r="CN296" s="18">
        <v>3.68773259475934</v>
      </c>
      <c r="CO296" s="18"/>
      <c r="CP296" s="18"/>
      <c r="CQ296" s="72"/>
      <c r="CR296" s="72"/>
      <c r="CS296" s="72"/>
      <c r="CT296" s="18"/>
      <c r="CU296" s="72"/>
      <c r="CV296" s="72"/>
      <c r="CW296" s="72"/>
      <c r="CX296" s="72"/>
      <c r="CY296" s="72"/>
      <c r="CZ296" s="72"/>
    </row>
    <row r="297" spans="88:104">
      <c r="CJ297" s="47"/>
      <c r="CK297" s="18">
        <v>0.70717136242138501</v>
      </c>
      <c r="CL297" s="18"/>
      <c r="CM297" s="47"/>
      <c r="CN297" s="18">
        <v>3.7952786258992299</v>
      </c>
      <c r="CO297" s="18"/>
      <c r="CP297" s="18"/>
      <c r="CQ297" s="72"/>
      <c r="CR297" s="72"/>
      <c r="CS297" s="72"/>
      <c r="CT297" s="18"/>
      <c r="CU297" s="72"/>
      <c r="CV297" s="72"/>
      <c r="CW297" s="72"/>
      <c r="CX297" s="72"/>
      <c r="CY297" s="72"/>
      <c r="CZ297" s="72"/>
    </row>
    <row r="298" spans="88:104">
      <c r="CJ298" s="47"/>
      <c r="CK298" s="18">
        <v>0.95203530400747205</v>
      </c>
      <c r="CL298" s="18"/>
      <c r="CM298" s="47"/>
      <c r="CN298" s="18">
        <v>2.8972210604107298</v>
      </c>
      <c r="CO298" s="18"/>
      <c r="CP298" s="18"/>
      <c r="CQ298" s="72"/>
      <c r="CR298" s="72"/>
      <c r="CS298" s="72"/>
      <c r="CT298" s="18"/>
      <c r="CU298" s="72"/>
      <c r="CV298" s="72"/>
      <c r="CW298" s="72"/>
      <c r="CX298" s="72"/>
      <c r="CY298" s="72"/>
      <c r="CZ298" s="72"/>
    </row>
    <row r="299" spans="88:104">
      <c r="CJ299" s="47"/>
      <c r="CK299" s="18">
        <v>0.86797551360999403</v>
      </c>
      <c r="CL299" s="18"/>
      <c r="CM299" s="47"/>
      <c r="CN299" s="18">
        <v>3.08355378708985</v>
      </c>
      <c r="CO299" s="18"/>
      <c r="CP299" s="18"/>
      <c r="CQ299" s="72"/>
      <c r="CR299" s="72"/>
      <c r="CS299" s="72"/>
      <c r="CT299" s="18"/>
      <c r="CU299" s="72"/>
      <c r="CV299" s="72"/>
      <c r="CW299" s="72"/>
      <c r="CX299" s="72"/>
      <c r="CY299" s="72"/>
      <c r="CZ299" s="72"/>
    </row>
    <row r="300" spans="88:104">
      <c r="CJ300" s="47"/>
      <c r="CK300" s="18">
        <v>0.47321543407039701</v>
      </c>
      <c r="CL300" s="18"/>
      <c r="CM300" s="47"/>
      <c r="CN300" s="18">
        <v>3.3408470770504102</v>
      </c>
      <c r="CO300" s="18"/>
      <c r="CP300" s="18"/>
      <c r="CQ300" s="72"/>
      <c r="CR300" s="72"/>
      <c r="CS300" s="72"/>
      <c r="CT300" s="18"/>
      <c r="CU300" s="72"/>
      <c r="CV300" s="72"/>
      <c r="CW300" s="72"/>
      <c r="CX300" s="72"/>
      <c r="CY300" s="72"/>
      <c r="CZ300" s="72"/>
    </row>
    <row r="301" spans="88:104">
      <c r="CJ301" s="47"/>
      <c r="CK301" s="18">
        <v>0.560910560879889</v>
      </c>
      <c r="CL301" s="18"/>
      <c r="CM301" s="47"/>
      <c r="CN301" s="18">
        <v>3.8527379789899499</v>
      </c>
      <c r="CO301" s="18"/>
      <c r="CP301" s="18"/>
      <c r="CQ301" s="72"/>
      <c r="CR301" s="72"/>
      <c r="CS301" s="72"/>
      <c r="CT301" s="18"/>
      <c r="CU301" s="72"/>
      <c r="CV301" s="72"/>
      <c r="CW301" s="72"/>
      <c r="CX301" s="72"/>
      <c r="CY301" s="72"/>
      <c r="CZ301" s="72"/>
    </row>
    <row r="302" spans="88:104">
      <c r="CJ302" s="47"/>
      <c r="CK302" s="18">
        <v>1.29331162151718</v>
      </c>
      <c r="CL302" s="18"/>
      <c r="CM302" s="47"/>
      <c r="CN302" s="18">
        <v>3.6104165971489102</v>
      </c>
      <c r="CO302" s="18"/>
      <c r="CP302" s="18"/>
      <c r="CQ302" s="72"/>
      <c r="CR302" s="72"/>
      <c r="CS302" s="72"/>
      <c r="CT302" s="18"/>
      <c r="CU302" s="72"/>
      <c r="CV302" s="72"/>
      <c r="CW302" s="72"/>
      <c r="CX302" s="72"/>
      <c r="CY302" s="72"/>
      <c r="CZ302" s="72"/>
    </row>
    <row r="303" spans="88:104">
      <c r="CJ303" s="47"/>
      <c r="CK303" s="18">
        <v>0.77247689891397298</v>
      </c>
      <c r="CL303" s="18"/>
      <c r="CM303" s="47"/>
      <c r="CN303" s="18">
        <v>4.40659789229057</v>
      </c>
      <c r="CO303" s="18"/>
      <c r="CP303" s="18"/>
      <c r="CQ303" s="72"/>
      <c r="CR303" s="72"/>
      <c r="CS303" s="72"/>
      <c r="CT303" s="18"/>
      <c r="CU303" s="72"/>
      <c r="CV303" s="72"/>
      <c r="CW303" s="72"/>
      <c r="CX303" s="72"/>
      <c r="CY303" s="72"/>
      <c r="CZ303" s="72"/>
    </row>
    <row r="304" spans="88:104">
      <c r="CJ304" s="47"/>
      <c r="CK304" s="18">
        <v>0.62984617896092099</v>
      </c>
      <c r="CL304" s="18"/>
      <c r="CM304" s="47"/>
      <c r="CN304" s="18">
        <v>3.7300964655954698</v>
      </c>
      <c r="CO304" s="18"/>
      <c r="CP304" s="18"/>
      <c r="CQ304" s="72"/>
      <c r="CR304" s="72"/>
      <c r="CS304" s="72"/>
      <c r="CT304" s="18"/>
      <c r="CU304" s="72"/>
      <c r="CV304" s="72"/>
      <c r="CW304" s="72"/>
      <c r="CX304" s="72"/>
      <c r="CY304" s="72"/>
      <c r="CZ304" s="72"/>
    </row>
    <row r="305" spans="88:104">
      <c r="CJ305" s="47"/>
      <c r="CK305" s="18">
        <v>0.38382868716243501</v>
      </c>
      <c r="CL305" s="18"/>
      <c r="CM305" s="47"/>
      <c r="CN305" s="18">
        <v>3.0897184704289802</v>
      </c>
      <c r="CO305" s="18"/>
      <c r="CP305" s="18"/>
      <c r="CQ305" s="72"/>
      <c r="CR305" s="72"/>
      <c r="CS305" s="72"/>
      <c r="CT305" s="18"/>
      <c r="CU305" s="72"/>
      <c r="CV305" s="72"/>
      <c r="CW305" s="72"/>
      <c r="CX305" s="72"/>
      <c r="CY305" s="72"/>
      <c r="CZ305" s="72"/>
    </row>
    <row r="306" spans="88:104">
      <c r="CJ306" s="9" t="s">
        <v>72</v>
      </c>
      <c r="CK306" s="27">
        <f>AVERAGE(CK4:CK305)</f>
        <v>0.65467200545827264</v>
      </c>
      <c r="CL306" s="6">
        <f>AVERAGE(CL4:CL215)</f>
        <v>0.61082226538840334</v>
      </c>
      <c r="CM306" s="9" t="s">
        <v>72</v>
      </c>
      <c r="CN306" s="27">
        <f>AVERAGE(CN4:CN305)</f>
        <v>3.2741816208400718</v>
      </c>
      <c r="CO306" s="27">
        <f>AVERAGE(CO4:CO215)</f>
        <v>3.2058675271758656</v>
      </c>
      <c r="CP306" s="27"/>
      <c r="CQ306" s="79"/>
      <c r="CR306" s="79"/>
      <c r="CS306" s="79"/>
      <c r="CT306" s="27"/>
      <c r="CU306" s="79"/>
      <c r="CV306" s="79"/>
      <c r="CW306" s="79"/>
      <c r="CX306" s="79"/>
      <c r="CY306" s="79"/>
      <c r="CZ306" s="79"/>
    </row>
    <row r="307" spans="88:104">
      <c r="CJ307" s="9"/>
      <c r="CK307" s="28"/>
      <c r="CM307" s="9"/>
      <c r="CN307" s="28"/>
      <c r="CO307" s="28"/>
      <c r="CP307" s="28"/>
      <c r="CQ307" s="72"/>
      <c r="CR307" s="72"/>
      <c r="CS307" s="72"/>
      <c r="CT307" s="28"/>
      <c r="CU307" s="72"/>
      <c r="CV307" s="72"/>
      <c r="CW307" s="72"/>
      <c r="CX307" s="72"/>
      <c r="CY307" s="72"/>
      <c r="CZ307" s="72"/>
    </row>
    <row r="308" spans="88:104">
      <c r="CJ308" s="9"/>
      <c r="CK308" s="28"/>
      <c r="CM308" s="9"/>
      <c r="CN308" s="28"/>
      <c r="CO308" s="28"/>
      <c r="CP308" s="28"/>
      <c r="CQ308" s="72"/>
      <c r="CR308" s="72"/>
      <c r="CS308" s="72"/>
      <c r="CT308" s="28"/>
      <c r="CU308" s="72"/>
      <c r="CV308" s="72"/>
      <c r="CW308" s="72"/>
      <c r="CX308" s="72"/>
      <c r="CY308" s="72"/>
      <c r="CZ308" s="72"/>
    </row>
    <row r="309" spans="88:104">
      <c r="CJ309" s="9"/>
      <c r="CK309" s="28"/>
      <c r="CM309" s="9"/>
      <c r="CN309" s="28"/>
      <c r="CO309" s="28"/>
      <c r="CP309" s="28"/>
      <c r="CQ309" s="72"/>
      <c r="CR309" s="72"/>
      <c r="CS309" s="72"/>
      <c r="CT309" s="28"/>
      <c r="CU309" s="72"/>
      <c r="CV309" s="72"/>
      <c r="CW309" s="72"/>
      <c r="CX309" s="72"/>
      <c r="CY309" s="72"/>
      <c r="CZ309" s="72"/>
    </row>
    <row r="310" spans="88:104">
      <c r="CJ310" s="9"/>
      <c r="CK310" s="28"/>
      <c r="CM310" s="9"/>
      <c r="CN310" s="28"/>
      <c r="CO310" s="28"/>
      <c r="CP310" s="28"/>
      <c r="CQ310" s="72"/>
      <c r="CR310" s="72"/>
      <c r="CS310" s="72"/>
      <c r="CT310" s="28"/>
      <c r="CU310" s="72"/>
      <c r="CV310" s="72"/>
      <c r="CW310" s="72"/>
      <c r="CX310" s="72"/>
      <c r="CY310" s="72"/>
      <c r="CZ310" s="72"/>
    </row>
    <row r="311" spans="88:104">
      <c r="CJ311" s="9"/>
      <c r="CK311" s="28"/>
      <c r="CM311" s="9"/>
      <c r="CN311" s="28"/>
      <c r="CO311" s="28"/>
      <c r="CP311" s="28"/>
      <c r="CQ311" s="72"/>
      <c r="CR311" s="72"/>
      <c r="CS311" s="72"/>
      <c r="CT311" s="28"/>
      <c r="CU311" s="72"/>
      <c r="CV311" s="72"/>
      <c r="CW311" s="72"/>
      <c r="CX311" s="72"/>
      <c r="CY311" s="72"/>
      <c r="CZ311" s="72"/>
    </row>
    <row r="312" spans="88:104">
      <c r="CJ312" s="9"/>
      <c r="CK312" s="28"/>
      <c r="CM312" s="9"/>
      <c r="CN312" s="28"/>
      <c r="CO312" s="28"/>
      <c r="CP312" s="28"/>
      <c r="CQ312" s="72"/>
      <c r="CR312" s="72"/>
      <c r="CS312" s="72"/>
      <c r="CT312" s="28"/>
      <c r="CU312" s="72"/>
      <c r="CV312" s="72"/>
      <c r="CW312" s="72"/>
      <c r="CX312" s="72"/>
      <c r="CY312" s="72"/>
      <c r="CZ312" s="72"/>
    </row>
  </sheetData>
  <mergeCells count="115">
    <mergeCell ref="BZ28:CB28"/>
    <mergeCell ref="BZ34:CB34"/>
    <mergeCell ref="BZ1:CI1"/>
    <mergeCell ref="CU14:CZ14"/>
    <mergeCell ref="CU18:CZ18"/>
    <mergeCell ref="DH9:DK9"/>
    <mergeCell ref="DH22:DK22"/>
    <mergeCell ref="BZ9:CB9"/>
    <mergeCell ref="BZ15:CB15"/>
    <mergeCell ref="CP5:CP7"/>
    <mergeCell ref="CP10:CP12"/>
    <mergeCell ref="CP1:CZ1"/>
    <mergeCell ref="CT2:CZ2"/>
    <mergeCell ref="CT3:CZ3"/>
    <mergeCell ref="CT4:CZ4"/>
    <mergeCell ref="CU5:CZ5"/>
    <mergeCell ref="CU9:CZ9"/>
    <mergeCell ref="CD5:CI5"/>
    <mergeCell ref="CD11:CI11"/>
    <mergeCell ref="CC18:CI18"/>
    <mergeCell ref="CD19:CI19"/>
    <mergeCell ref="CD24:CI24"/>
    <mergeCell ref="DL4:DQ4"/>
    <mergeCell ref="DA4:DG4"/>
    <mergeCell ref="AR4:AR18"/>
    <mergeCell ref="AE4:AE33"/>
    <mergeCell ref="Z4:Z33"/>
    <mergeCell ref="BG4:BG33"/>
    <mergeCell ref="BN4:BQ4"/>
    <mergeCell ref="BO5:BQ5"/>
    <mergeCell ref="BN12:BQ12"/>
    <mergeCell ref="BO13:BQ13"/>
    <mergeCell ref="BN20:BQ20"/>
    <mergeCell ref="BO21:BQ21"/>
    <mergeCell ref="BN28:BQ28"/>
    <mergeCell ref="BO29:BQ29"/>
    <mergeCell ref="DH24:DH26"/>
    <mergeCell ref="DA28:DA33"/>
    <mergeCell ref="DM31:DQ31"/>
    <mergeCell ref="DM37:DQ37"/>
    <mergeCell ref="DB19:DG19"/>
    <mergeCell ref="DL24:DQ24"/>
    <mergeCell ref="DM25:DQ25"/>
    <mergeCell ref="A4:A33"/>
    <mergeCell ref="I4:I33"/>
    <mergeCell ref="P4:P33"/>
    <mergeCell ref="AH4:AH33"/>
    <mergeCell ref="AL4:AL33"/>
    <mergeCell ref="U4:U33"/>
    <mergeCell ref="AU4:AU33"/>
    <mergeCell ref="BB4:BB33"/>
    <mergeCell ref="BR4:BR33"/>
    <mergeCell ref="BW4:BW103"/>
    <mergeCell ref="DA37:DA42"/>
    <mergeCell ref="DA46:DA51"/>
    <mergeCell ref="CJ4:CJ305"/>
    <mergeCell ref="CM4:CM305"/>
    <mergeCell ref="BZ5:BZ7"/>
    <mergeCell ref="BZ11:BZ13"/>
    <mergeCell ref="BZ24:BZ26"/>
    <mergeCell ref="BZ30:BZ32"/>
    <mergeCell ref="BZ17:BZ19"/>
    <mergeCell ref="BZ36:BZ38"/>
    <mergeCell ref="CC4:CI4"/>
    <mergeCell ref="DH5:DH7"/>
    <mergeCell ref="DH11:DH13"/>
    <mergeCell ref="DH18:DH20"/>
    <mergeCell ref="DB12:DG12"/>
    <mergeCell ref="DM17:DQ17"/>
    <mergeCell ref="DM5:DQ5"/>
    <mergeCell ref="DB5:DG5"/>
    <mergeCell ref="DM11:DQ11"/>
    <mergeCell ref="DH3:DK3"/>
    <mergeCell ref="DH16:DK16"/>
    <mergeCell ref="DL3:DQ3"/>
    <mergeCell ref="AR2:AT2"/>
    <mergeCell ref="BN2:BQ3"/>
    <mergeCell ref="CJ2:CL2"/>
    <mergeCell ref="CM2:CO2"/>
    <mergeCell ref="BZ2:CB2"/>
    <mergeCell ref="BZ3:CB3"/>
    <mergeCell ref="BZ22:CB22"/>
    <mergeCell ref="CC3:CI3"/>
    <mergeCell ref="CC2:CI2"/>
    <mergeCell ref="CP2:CS2"/>
    <mergeCell ref="CP3:CS3"/>
    <mergeCell ref="DL2:DQ2"/>
    <mergeCell ref="DA2:DG2"/>
    <mergeCell ref="U2:Y2"/>
    <mergeCell ref="AE2:AG2"/>
    <mergeCell ref="Z2:AD2"/>
    <mergeCell ref="BG2:BM2"/>
    <mergeCell ref="AU2:BA2"/>
    <mergeCell ref="BB2:BF2"/>
    <mergeCell ref="BR2:BV2"/>
    <mergeCell ref="BW2:BY2"/>
    <mergeCell ref="DH2:DK2"/>
    <mergeCell ref="A2:H2"/>
    <mergeCell ref="I2:O2"/>
    <mergeCell ref="P2:T2"/>
    <mergeCell ref="AH2:AK2"/>
    <mergeCell ref="AL2:AQ2"/>
    <mergeCell ref="DH1:DQ1"/>
    <mergeCell ref="DA1:DG1"/>
    <mergeCell ref="AE1:AG1"/>
    <mergeCell ref="Z1:AD1"/>
    <mergeCell ref="BG1:BM1"/>
    <mergeCell ref="BN1:BQ1"/>
    <mergeCell ref="CJ1:CO1"/>
    <mergeCell ref="BR1:BY1"/>
    <mergeCell ref="U1:Y1"/>
    <mergeCell ref="A1:H1"/>
    <mergeCell ref="I1:T1"/>
    <mergeCell ref="AH1:AT1"/>
    <mergeCell ref="AU1:BF1"/>
  </mergeCells>
  <pageMargins left="0.7" right="0.7" top="0.75" bottom="0.75" header="0.3" footer="0.3"/>
  <pageSetup paperSize="9" orientation="portrait"/>
  <ignoredErrors>
    <ignoredError sqref="L19 BA24 AI19 BC19 BD5 BE14 BE16 BE20 BE2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Raw quantification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lei chen</cp:lastModifiedBy>
  <dcterms:created xsi:type="dcterms:W3CDTF">2015-06-05T18:17:00Z</dcterms:created>
  <dcterms:modified xsi:type="dcterms:W3CDTF">2025-12-21T03:29:44Z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EDC9BF184A6540B092CFDCA3D10E5A61_12</vt:lpwstr>
  </property>
  <property fmtid="{D5CDD505-2E9C-101B-9397-08002B2CF9AE}" pid="3" name="KSOProductBuildVer">
    <vt:lpwstr>2052-12.1.0.19770</vt:lpwstr>
  </property>
</Properties>
</file>