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cock/Desktop/Revision2 copy/Sup Tables/"/>
    </mc:Choice>
  </mc:AlternateContent>
  <xr:revisionPtr revIDLastSave="0" documentId="13_ncr:1_{124D77F3-8AA9-E24D-A124-A35C158D7361}" xr6:coauthVersionLast="36" xr6:coauthVersionMax="36" xr10:uidLastSave="{00000000-0000-0000-0000-000000000000}"/>
  <bookViews>
    <workbookView xWindow="0" yWindow="460" windowWidth="25600" windowHeight="15300" tabRatio="500" xr2:uid="{00000000-000D-0000-FFFF-FFFF00000000}"/>
  </bookViews>
  <sheets>
    <sheet name="RNA-seq data" sheetId="3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240" i="3" l="1"/>
  <c r="W239" i="3"/>
  <c r="U239" i="3"/>
  <c r="U238" i="3"/>
  <c r="W237" i="3"/>
  <c r="U237" i="3"/>
  <c r="U236" i="3"/>
  <c r="W235" i="3"/>
  <c r="U235" i="3"/>
  <c r="U234" i="3"/>
  <c r="W233" i="3"/>
  <c r="U233" i="3"/>
  <c r="U232" i="3"/>
  <c r="W231" i="3"/>
  <c r="U231" i="3"/>
  <c r="U230" i="3"/>
  <c r="W229" i="3"/>
  <c r="U229" i="3"/>
  <c r="U228" i="3"/>
  <c r="W227" i="3"/>
  <c r="U227" i="3"/>
  <c r="U226" i="3"/>
  <c r="W225" i="3"/>
  <c r="U225" i="3"/>
  <c r="U224" i="3"/>
  <c r="W223" i="3"/>
  <c r="U223" i="3"/>
  <c r="U222" i="3"/>
  <c r="W221" i="3"/>
  <c r="U221" i="3"/>
  <c r="U220" i="3"/>
  <c r="W219" i="3"/>
  <c r="U219" i="3"/>
  <c r="U218" i="3"/>
  <c r="W217" i="3"/>
  <c r="U217" i="3"/>
  <c r="U216" i="3"/>
  <c r="W215" i="3"/>
  <c r="U215" i="3"/>
  <c r="U214" i="3"/>
  <c r="W213" i="3"/>
  <c r="U213" i="3"/>
  <c r="U212" i="3"/>
  <c r="W211" i="3"/>
  <c r="U211" i="3"/>
  <c r="U210" i="3"/>
  <c r="W209" i="3"/>
  <c r="U209" i="3"/>
  <c r="U208" i="3"/>
  <c r="W207" i="3"/>
  <c r="U207" i="3"/>
  <c r="U206" i="3"/>
  <c r="W205" i="3"/>
  <c r="U205" i="3"/>
  <c r="U204" i="3"/>
  <c r="W203" i="3"/>
  <c r="U203" i="3"/>
  <c r="U202" i="3"/>
  <c r="W201" i="3"/>
  <c r="U201" i="3"/>
  <c r="U200" i="3"/>
  <c r="W199" i="3"/>
  <c r="U199" i="3"/>
  <c r="U198" i="3"/>
  <c r="W197" i="3"/>
  <c r="U197" i="3"/>
  <c r="U196" i="3"/>
  <c r="W195" i="3"/>
  <c r="U195" i="3"/>
  <c r="U194" i="3"/>
  <c r="W193" i="3"/>
  <c r="U193" i="3"/>
  <c r="U192" i="3"/>
  <c r="W191" i="3"/>
  <c r="U191" i="3"/>
  <c r="U190" i="3"/>
  <c r="W189" i="3"/>
  <c r="U189" i="3"/>
  <c r="U188" i="3"/>
  <c r="W187" i="3"/>
  <c r="U187" i="3"/>
  <c r="U186" i="3"/>
  <c r="W185" i="3"/>
  <c r="U185" i="3"/>
  <c r="U184" i="3"/>
  <c r="W183" i="3"/>
  <c r="U183" i="3"/>
  <c r="U182" i="3"/>
  <c r="W181" i="3"/>
  <c r="U181" i="3"/>
  <c r="U180" i="3"/>
  <c r="W179" i="3"/>
  <c r="U179" i="3"/>
  <c r="U178" i="3"/>
  <c r="U177" i="3"/>
  <c r="U176" i="3"/>
  <c r="U175" i="3"/>
  <c r="U174" i="3"/>
  <c r="U173" i="3"/>
  <c r="U172" i="3"/>
  <c r="U171" i="3"/>
  <c r="U170" i="3"/>
  <c r="U169" i="3"/>
  <c r="U168" i="3"/>
  <c r="U167" i="3"/>
  <c r="U166" i="3"/>
  <c r="U165" i="3"/>
  <c r="U164" i="3"/>
  <c r="U163" i="3"/>
  <c r="U162" i="3"/>
  <c r="U161" i="3"/>
  <c r="U160" i="3"/>
  <c r="W159" i="3"/>
  <c r="U159" i="3"/>
  <c r="U158" i="3"/>
  <c r="W157" i="3"/>
  <c r="U157" i="3"/>
  <c r="U156" i="3"/>
  <c r="W155" i="3"/>
  <c r="U155" i="3"/>
  <c r="U154" i="3"/>
  <c r="U153" i="3"/>
  <c r="U152" i="3"/>
  <c r="U151" i="3"/>
  <c r="U150" i="3"/>
  <c r="W149" i="3"/>
  <c r="U149" i="3"/>
  <c r="U148" i="3"/>
  <c r="W147" i="3"/>
  <c r="U147" i="3"/>
  <c r="U146" i="3"/>
  <c r="W145" i="3"/>
  <c r="U145" i="3"/>
  <c r="U144" i="3"/>
  <c r="W143" i="3"/>
  <c r="U143" i="3"/>
  <c r="U142" i="3"/>
  <c r="W141" i="3"/>
  <c r="U141" i="3"/>
  <c r="U140" i="3"/>
  <c r="W139" i="3"/>
  <c r="U139" i="3"/>
  <c r="U138" i="3"/>
  <c r="W137" i="3"/>
  <c r="U137" i="3"/>
  <c r="U136" i="3"/>
  <c r="W135" i="3"/>
  <c r="U135" i="3"/>
  <c r="U134" i="3"/>
  <c r="W133" i="3"/>
  <c r="U133" i="3"/>
  <c r="U132" i="3"/>
  <c r="W131" i="3"/>
  <c r="U131" i="3"/>
  <c r="U130" i="3"/>
  <c r="W129" i="3"/>
  <c r="U129" i="3"/>
  <c r="U128" i="3"/>
  <c r="W127" i="3"/>
  <c r="U127" i="3"/>
  <c r="U126" i="3"/>
  <c r="W125" i="3"/>
  <c r="U125" i="3"/>
  <c r="U124" i="3"/>
  <c r="W123" i="3"/>
  <c r="U123" i="3"/>
  <c r="U122" i="3"/>
  <c r="W121" i="3"/>
  <c r="U121" i="3"/>
  <c r="U120" i="3"/>
  <c r="W119" i="3"/>
  <c r="U119" i="3"/>
  <c r="W117" i="3"/>
  <c r="W115" i="3"/>
  <c r="W113" i="3"/>
  <c r="W111" i="3"/>
  <c r="U110" i="3"/>
  <c r="W109" i="3"/>
  <c r="U109" i="3"/>
  <c r="U108" i="3"/>
  <c r="W107" i="3"/>
  <c r="U107" i="3"/>
  <c r="U106" i="3" l="1"/>
  <c r="W105" i="3"/>
  <c r="U105" i="3"/>
  <c r="U104" i="3"/>
  <c r="W103" i="3"/>
  <c r="U103" i="3"/>
  <c r="U102" i="3"/>
  <c r="W101" i="3"/>
  <c r="U101" i="3"/>
  <c r="U100" i="3"/>
  <c r="W99" i="3"/>
  <c r="U99" i="3"/>
  <c r="U98" i="3"/>
  <c r="W97" i="3"/>
  <c r="U97" i="3"/>
  <c r="U96" i="3"/>
  <c r="W95" i="3"/>
  <c r="U95" i="3"/>
  <c r="U94" i="3"/>
  <c r="W93" i="3"/>
  <c r="U93" i="3"/>
  <c r="U92" i="3"/>
  <c r="W91" i="3"/>
  <c r="U91" i="3"/>
  <c r="U90" i="3"/>
  <c r="W89" i="3"/>
  <c r="U89" i="3"/>
  <c r="U88" i="3"/>
  <c r="W87" i="3"/>
  <c r="U87" i="3"/>
  <c r="U86" i="3"/>
  <c r="W85" i="3"/>
  <c r="U85" i="3"/>
  <c r="U84" i="3"/>
  <c r="W83" i="3"/>
  <c r="U83" i="3"/>
  <c r="U82" i="3"/>
  <c r="W81" i="3"/>
  <c r="U81" i="3"/>
  <c r="U80" i="3"/>
  <c r="W79" i="3"/>
  <c r="U79" i="3"/>
  <c r="U78" i="3"/>
  <c r="W77" i="3"/>
  <c r="U77" i="3"/>
  <c r="U76" i="3"/>
  <c r="U75" i="3"/>
  <c r="U74" i="3"/>
  <c r="W73" i="3"/>
  <c r="U73" i="3"/>
  <c r="U72" i="3"/>
  <c r="U71" i="3"/>
  <c r="U70" i="3"/>
  <c r="W69" i="3"/>
  <c r="U69" i="3"/>
  <c r="U68" i="3"/>
  <c r="U67" i="3"/>
  <c r="U66" i="3"/>
  <c r="W65" i="3"/>
  <c r="U65" i="3"/>
  <c r="U64" i="3"/>
  <c r="U63" i="3"/>
  <c r="U62" i="3"/>
  <c r="W61" i="3"/>
  <c r="U61" i="3"/>
  <c r="U7" i="3" l="1"/>
  <c r="W59" i="3"/>
  <c r="W57" i="3"/>
  <c r="W27" i="3"/>
  <c r="W25" i="3"/>
  <c r="W39" i="3"/>
  <c r="W37" i="3"/>
  <c r="W35" i="3"/>
  <c r="W33" i="3"/>
  <c r="W31" i="3"/>
  <c r="W29" i="3"/>
  <c r="W45" i="3"/>
  <c r="W43" i="3"/>
  <c r="W41" i="3"/>
  <c r="W19" i="3"/>
  <c r="W17" i="3"/>
  <c r="W9" i="3"/>
  <c r="W7" i="3"/>
  <c r="U51" i="3" l="1"/>
  <c r="U22" i="3"/>
  <c r="U14" i="3"/>
  <c r="U13" i="3"/>
  <c r="U24" i="3"/>
  <c r="U23" i="3"/>
  <c r="U56" i="3"/>
  <c r="U55" i="3"/>
  <c r="U54" i="3"/>
  <c r="U53" i="3"/>
  <c r="U52" i="3"/>
  <c r="U50" i="3"/>
  <c r="U49" i="3"/>
  <c r="U48" i="3"/>
  <c r="U47" i="3"/>
  <c r="U12" i="3"/>
  <c r="U11" i="3"/>
  <c r="U21" i="3"/>
  <c r="U16" i="3"/>
  <c r="U15" i="3"/>
  <c r="U60" i="3"/>
  <c r="U58" i="3"/>
  <c r="U46" i="3"/>
  <c r="U44" i="3"/>
  <c r="U42" i="3"/>
  <c r="U40" i="3"/>
  <c r="U38" i="3"/>
  <c r="U36" i="3"/>
  <c r="U34" i="3"/>
  <c r="U32" i="3"/>
  <c r="U30" i="3"/>
  <c r="U28" i="3"/>
  <c r="U26" i="3"/>
  <c r="U20" i="3"/>
  <c r="U18" i="3"/>
  <c r="U10" i="3"/>
  <c r="U8" i="3"/>
  <c r="U6" i="3"/>
  <c r="U5" i="3"/>
  <c r="U4" i="3"/>
  <c r="U3" i="3"/>
  <c r="U59" i="3"/>
  <c r="U57" i="3"/>
  <c r="U27" i="3"/>
  <c r="U25" i="3"/>
  <c r="U39" i="3"/>
  <c r="U37" i="3"/>
  <c r="U35" i="3"/>
  <c r="U33" i="3"/>
  <c r="U31" i="3"/>
  <c r="U29" i="3"/>
  <c r="U45" i="3"/>
  <c r="U43" i="3"/>
  <c r="U41" i="3"/>
  <c r="U19" i="3"/>
  <c r="U17" i="3"/>
  <c r="U9" i="3"/>
</calcChain>
</file>

<file path=xl/sharedStrings.xml><?xml version="1.0" encoding="utf-8"?>
<sst xmlns="http://schemas.openxmlformats.org/spreadsheetml/2006/main" count="2728" uniqueCount="989">
  <si>
    <t>Dictyota dichotoma</t>
  </si>
  <si>
    <t>Ec32</t>
  </si>
  <si>
    <t>SRR5242546</t>
  </si>
  <si>
    <t>SRR5242547</t>
  </si>
  <si>
    <t>Ec17</t>
  </si>
  <si>
    <t>SRR4446494</t>
  </si>
  <si>
    <t>SRR4446495</t>
  </si>
  <si>
    <t>SRX7848053</t>
  </si>
  <si>
    <t>SRX7848054</t>
  </si>
  <si>
    <t>SRX7847714</t>
  </si>
  <si>
    <t>Ec603</t>
  </si>
  <si>
    <t>SRR1166429</t>
  </si>
  <si>
    <t>Ahmed et al. 2014</t>
  </si>
  <si>
    <t>SRR1166430</t>
  </si>
  <si>
    <t>Ec602</t>
  </si>
  <si>
    <t>SRR1166441</t>
  </si>
  <si>
    <t>SRR1166452</t>
  </si>
  <si>
    <t>Luthringer et al 2015</t>
  </si>
  <si>
    <t>Ec460</t>
  </si>
  <si>
    <t>SRX9362922</t>
  </si>
  <si>
    <t>SRX9362923</t>
  </si>
  <si>
    <t>-</t>
  </si>
  <si>
    <t>GA_Ec32_male_immature_Rep1_R1.fq.gz</t>
  </si>
  <si>
    <t>GA_Ec32_male_immature_Rep2_R1.fq.gz</t>
  </si>
  <si>
    <t>GA_Ec32_male_immature_Rep3_R1.fq.gz</t>
  </si>
  <si>
    <t>GA_Ec32_male_immature_Rep4_R1.fq.gz</t>
  </si>
  <si>
    <t>GA_Ec32_male_mixed_Rep1_R1.fq.gz</t>
  </si>
  <si>
    <t>GA_Ec32_male_mixed_Rep2_R1.fq.gz</t>
  </si>
  <si>
    <t>GA_Ec457_male_immature_Rep1_R1.fq.gz</t>
  </si>
  <si>
    <t>GA_Ec457_male_immature_Rep1_R2.fq.gz</t>
  </si>
  <si>
    <t>GA_Ec457_male_immature_Rep2_R1.fq.gz</t>
  </si>
  <si>
    <t>GA_Ec457_male_immature_Rep2_R2.fq.gz</t>
  </si>
  <si>
    <t>GA_Ec460_female_immature_Rep1_R1.fq.gz</t>
  </si>
  <si>
    <t>GA_Ec460_female_immature_Rep1_R2.fq.gz</t>
  </si>
  <si>
    <t>GA_Ec460_female_immature_Rep2_R1.fq.gz</t>
  </si>
  <si>
    <t>GA_Ec460_female_immature_Rep2_R2.fq.gz</t>
  </si>
  <si>
    <t>GA_Ec602_female_immature_Rep1_R1.fq.gz</t>
  </si>
  <si>
    <t>GA_Ec602_female_immature_Rep2_R1.fq.gz</t>
  </si>
  <si>
    <t>GA_Ec602_female_mature_Rep1_R1.fq.gz</t>
  </si>
  <si>
    <t>GA_Ec602_female_mature_Rep2_R1.fq.gz</t>
  </si>
  <si>
    <t>GA_Ec603_male_immature_Rep1_R1.fq.gz</t>
  </si>
  <si>
    <t>GA_Ec603_male_immature_Rep2_R1.fq.gz</t>
  </si>
  <si>
    <t>GA_Ec603_male_mature_Rep1_R1.fq.gz</t>
  </si>
  <si>
    <t>GA_Ec603_male_mature_Rep2_R1.fq.gz</t>
  </si>
  <si>
    <t>pSP_Ec32_2-5-cells_Rep1_R1.fq.gz</t>
  </si>
  <si>
    <t>pSP_Ec32_2-5-cells_Rep1_R2.fq.gz</t>
  </si>
  <si>
    <t>pSP_Ec32_2-5-cells_Rep2_R1.fq.gz</t>
  </si>
  <si>
    <t>pSP_Ec32_2-5-cells_Rep2_R2.fq.gz</t>
  </si>
  <si>
    <t>pSP_Ec32_2-5-cells_Rep3_R1.fq.gz</t>
  </si>
  <si>
    <t>pSP_Ec32_2-5-cells_Rep3_R2.fq.gz</t>
  </si>
  <si>
    <t>pSP_Ec32_gametes_24h_Rep1_R1.fq.gz</t>
  </si>
  <si>
    <t>pSP_Ec32_gametes_24h_Rep1_R2.fq.gz</t>
  </si>
  <si>
    <t>pSP_Ec32_gametes_24h_Rep2_R1.fq.gz</t>
  </si>
  <si>
    <t>pSP_Ec32_gametes_24h_Rep2_R2.fq.gz</t>
  </si>
  <si>
    <t>pSP_Ec32_gametes_24h_Rep3_R1.fq.gz</t>
  </si>
  <si>
    <t>pSP_Ec32_gametes_24h_Rep3_R2.fq.gz</t>
  </si>
  <si>
    <t>pSP_Ec32_gametes_48h_Rep1_R1.fq.gz</t>
  </si>
  <si>
    <t>pSP_Ec32_gametes_48h_Rep1_R2.fq.gz</t>
  </si>
  <si>
    <t>pSP_Ec32_gametes_48h_Rep2_R1.fq.gz</t>
  </si>
  <si>
    <t>pSP_Ec32_gametes_48h_Rep2_R2.fq.gz</t>
  </si>
  <si>
    <t>pSP_Ec32_gametes_48h_Rep3_R1.fq.gz</t>
  </si>
  <si>
    <t>pSP_Ec32_gametes_48h_Rep3_R2.fq.gz</t>
  </si>
  <si>
    <t>pSP_Ec32_gametes_Rep1_R1.fq.gz</t>
  </si>
  <si>
    <t>pSP_Ec32_gametes_Rep1_R2.fq.gz</t>
  </si>
  <si>
    <t>pSP_Ec32_gametes_Rep2_R1.fq.gz</t>
  </si>
  <si>
    <t>pSP_Ec32_gametes_Rep2_R2.fq.gz</t>
  </si>
  <si>
    <t>pSP_Ec32_immature_basal_Rep1_R1.fq.gz</t>
  </si>
  <si>
    <t>pSP_Ec32_immature_basal_Rep2_R1.fq.gz</t>
  </si>
  <si>
    <t>pSP_Ec32_immature_Rep1_R1.fq.gz</t>
  </si>
  <si>
    <t>pSP_Ec32_immature_Rep2_R1.fq.gz</t>
  </si>
  <si>
    <t>pSP_Ec32_immature_Rep3_R1.fq.gz</t>
  </si>
  <si>
    <t>pSP_Ec32_immature_Rep4_R1.fq.gz</t>
  </si>
  <si>
    <t>pSP_Ec32_immature_upright_Rep1_R1.fq.gz</t>
  </si>
  <si>
    <t>pSP_Ec32_immature_upright_Rep2_R1.fq.gz</t>
  </si>
  <si>
    <t>pSP_Ec566_immature_Rep1_R1.fq.gz</t>
  </si>
  <si>
    <t>pSP_Ec566_immature_Rep2_R1.fq.gz</t>
  </si>
  <si>
    <t>SP_Ec17_mixed_Rep1_R1.fq.gz</t>
  </si>
  <si>
    <t>SP_Ec17_mixed_Rep1_R2.fq.gz</t>
  </si>
  <si>
    <t>SP_Ec17_mixed_Rep2_R1.fq.gz</t>
  </si>
  <si>
    <t>SP_Ec17_mixed_Rep2_R2.fq.gz</t>
  </si>
  <si>
    <t>Sex</t>
  </si>
  <si>
    <t>24h_R1B</t>
  </si>
  <si>
    <t>24h_R2</t>
  </si>
  <si>
    <t>24h_R3</t>
  </si>
  <si>
    <t>48h_R2</t>
  </si>
  <si>
    <t>48h_R3</t>
  </si>
  <si>
    <t>48h_R1</t>
  </si>
  <si>
    <t>Ec32m_2-5Cells_1</t>
  </si>
  <si>
    <t>Ec32m_2-5Cells_2</t>
  </si>
  <si>
    <t>Ec32m_2-5Cells_3</t>
  </si>
  <si>
    <t>GPO-36</t>
  </si>
  <si>
    <t>GPO-37</t>
  </si>
  <si>
    <t>ADPH-63</t>
  </si>
  <si>
    <t>ADPH-64</t>
  </si>
  <si>
    <t>ADPH-65</t>
  </si>
  <si>
    <t>ADPH-66</t>
  </si>
  <si>
    <t>GPO-34</t>
  </si>
  <si>
    <t>GPO-35</t>
  </si>
  <si>
    <t>ADPH-116</t>
  </si>
  <si>
    <t>ADPH-117</t>
  </si>
  <si>
    <t>GPO-162</t>
  </si>
  <si>
    <t>GPO-163</t>
  </si>
  <si>
    <t>GBP-5</t>
  </si>
  <si>
    <t>GBP-6</t>
  </si>
  <si>
    <t>GBP-22</t>
  </si>
  <si>
    <t>GBP-23</t>
  </si>
  <si>
    <t>GPO-3</t>
  </si>
  <si>
    <t>GPO-4</t>
  </si>
  <si>
    <t>GBP-24</t>
  </si>
  <si>
    <t>GBP-25</t>
  </si>
  <si>
    <t>GPO-1</t>
  </si>
  <si>
    <t>GPO-2</t>
  </si>
  <si>
    <t>GBP-18</t>
  </si>
  <si>
    <t>GBP-19</t>
  </si>
  <si>
    <t>GBP-16</t>
  </si>
  <si>
    <t>GBP-17</t>
  </si>
  <si>
    <t>ADPH-118</t>
  </si>
  <si>
    <t>ADPH-119</t>
  </si>
  <si>
    <t>GPO-164</t>
  </si>
  <si>
    <t>GPO-165</t>
  </si>
  <si>
    <t>GBP-7</t>
  </si>
  <si>
    <t>GBP-8</t>
  </si>
  <si>
    <t>Generation</t>
  </si>
  <si>
    <t>Strandedness</t>
  </si>
  <si>
    <t>unstranded</t>
  </si>
  <si>
    <t>Dictyota_FEMALE_eggs_Rep1_R1.fq.gz</t>
  </si>
  <si>
    <t>Dictyota_FEMALE_eggs_Rep1_R2.fq.gz</t>
  </si>
  <si>
    <t>Dictyota_FEMALE_eggs_Rep2.fq.gz</t>
  </si>
  <si>
    <t>Dictyota_FEMALE_eggs_Rep3.fq.gz</t>
  </si>
  <si>
    <t>Dictyota_MALE_sperm_Rep1_R1.fq.gz</t>
  </si>
  <si>
    <t>Dictyota_MALE_sperm_Rep1_R2.fq.gz</t>
  </si>
  <si>
    <t>Dictyota_MALE_sperm_Rep2.fq.gz</t>
  </si>
  <si>
    <t>Dictyota_MALE_sperm_Rep3.fq.gz</t>
  </si>
  <si>
    <t>Dictyota_SP_zygote_Rep1_R1.fq.gz</t>
  </si>
  <si>
    <t>Dictyota_SP_zygote_Rep1_R2.fq.gz</t>
  </si>
  <si>
    <t>Dictyota_SP_zygote_Rep2.fq.gz</t>
  </si>
  <si>
    <t>Dictyota_SP_zygote_Rep3.fq.gz</t>
  </si>
  <si>
    <t>Dictyota_SP_embryo_Rep1_R1.fq.gz</t>
  </si>
  <si>
    <t>Dictyota_SP_embryo_Rep1_R2.fq.gz</t>
  </si>
  <si>
    <t>Dictyota_SP_embryo_Rep2.fq.gz</t>
  </si>
  <si>
    <t>Dictyota_SP_embryo_Rep3.fq.gz</t>
  </si>
  <si>
    <t>Dictyota_SP_Rep1_R1.fq.gz</t>
  </si>
  <si>
    <t>Dictyota_SP_Rep1_R2.fq.gz</t>
  </si>
  <si>
    <t>Dictyota_SP_Rep2_R1.fq.gz</t>
  </si>
  <si>
    <t>Dictyota_SP_Rep2_R2.fq.gz</t>
  </si>
  <si>
    <t>Dictyota_SP_Rep3_R1.fq.gz</t>
  </si>
  <si>
    <t>Dictyota_SP_Rep3_R2.fq.gz</t>
  </si>
  <si>
    <t>Dictyota_SP_Rep4_R1.fq.gz</t>
  </si>
  <si>
    <t>Dictyota_SP_Rep4_R2.fq.gz</t>
  </si>
  <si>
    <t>Dictyota_SP_Rep5_R1.fq.gz</t>
  </si>
  <si>
    <t>Dictyota_SP_Rep5_R2.fq.gz</t>
  </si>
  <si>
    <t>Dictyota_FEMALE_Rep1_R1.fq.gz</t>
  </si>
  <si>
    <t>Dictyota_FEMALE_Rep1_R2.fq.gz</t>
  </si>
  <si>
    <t>Dictyota_FEMALE_Rep2_R1.fq.gz</t>
  </si>
  <si>
    <t>Dictyota_FEMALE_Rep2_R2.fq.gz</t>
  </si>
  <si>
    <t>Dictyota_FEMALE_Rep3_R1.fq.gz</t>
  </si>
  <si>
    <t>Dictyota_FEMALE_Rep3_R2.fq.gz</t>
  </si>
  <si>
    <t>Dictyota_FEMALE_Rep4_R1.fq.gz</t>
  </si>
  <si>
    <t>Dictyota_FEMALE_Rep4_R2.fq.gz</t>
  </si>
  <si>
    <t>Dictyota_FEMALE_Rep5_R1.fq.gz</t>
  </si>
  <si>
    <t>Dictyota_FEMALE_Rep5_R2.fq.gz</t>
  </si>
  <si>
    <t>Dictyota_MALE_Rep1_R1.fq.gz</t>
  </si>
  <si>
    <t>Dictyota_MALE_Rep1_R2.fq.gz</t>
  </si>
  <si>
    <t>Dictyota_MALE_Rep2_R1.fq.gz</t>
  </si>
  <si>
    <t>Dictyota_MALE_Rep2_R2.fq.gz</t>
  </si>
  <si>
    <t>Dictyota_MALE_Rep3_R1.fq.gz</t>
  </si>
  <si>
    <t>Dictyota_MALE_Rep3_R2.fq.gz</t>
  </si>
  <si>
    <t>Dictyota_MALE_Rep4_R1.fq.gz</t>
  </si>
  <si>
    <t>Dictyota_MALE_Rep4_R2.fq.gz</t>
  </si>
  <si>
    <t>Dictyota_MALE_Rep5_R1.fq.gz</t>
  </si>
  <si>
    <t>Dictyota_MALE_Rep5_R2.fq.gz</t>
  </si>
  <si>
    <t>featureCounts (CDS)</t>
  </si>
  <si>
    <t>This study</t>
  </si>
  <si>
    <t>SRX7847713</t>
  </si>
  <si>
    <t>SRX9362938</t>
  </si>
  <si>
    <t>SRX9362939</t>
  </si>
  <si>
    <t>Publication</t>
  </si>
  <si>
    <t>Strain</t>
  </si>
  <si>
    <t>Ec457</t>
  </si>
  <si>
    <t>Cormier et al. 2017</t>
  </si>
  <si>
    <t>SRR3108626</t>
  </si>
  <si>
    <t>SRX7848073</t>
  </si>
  <si>
    <t>SRX7848074</t>
  </si>
  <si>
    <t>SRX7847732</t>
  </si>
  <si>
    <t>SRX7847733</t>
  </si>
  <si>
    <t>Ec566</t>
  </si>
  <si>
    <t>ERR10163235</t>
  </si>
  <si>
    <t>ERR10163236</t>
  </si>
  <si>
    <t>ERR10163237</t>
  </si>
  <si>
    <t>SRR3108630</t>
  </si>
  <si>
    <t>SRR3108631</t>
  </si>
  <si>
    <t>SRR1660829</t>
  </si>
  <si>
    <t>SRR1660830</t>
  </si>
  <si>
    <t>SRR5241401</t>
  </si>
  <si>
    <t>SRR5241402</t>
  </si>
  <si>
    <t>SRR3108627</t>
  </si>
  <si>
    <t>SRR3108632</t>
  </si>
  <si>
    <t>SRR3108633</t>
  </si>
  <si>
    <t>SRX2405945</t>
  </si>
  <si>
    <t>SRX2405946</t>
  </si>
  <si>
    <t>SRX2405943</t>
  </si>
  <si>
    <t>SRX2405940</t>
  </si>
  <si>
    <t>SRX2405949</t>
  </si>
  <si>
    <t>SRX2405950</t>
  </si>
  <si>
    <t>SRX2405947</t>
  </si>
  <si>
    <t>SRX2405951</t>
  </si>
  <si>
    <t>SRX2405942</t>
  </si>
  <si>
    <t>SRX2405941</t>
  </si>
  <si>
    <t>SRX2405948</t>
  </si>
  <si>
    <t>SRX2405944</t>
  </si>
  <si>
    <t>Phaeoexplorer</t>
  </si>
  <si>
    <t>ERR13103844</t>
  </si>
  <si>
    <t>ERR13103846</t>
  </si>
  <si>
    <t>ERR13103852</t>
  </si>
  <si>
    <t>ERR13103855</t>
  </si>
  <si>
    <t>ERR13103856</t>
  </si>
  <si>
    <t>ERR13103859</t>
  </si>
  <si>
    <t>sperm</t>
  </si>
  <si>
    <t>zygote</t>
  </si>
  <si>
    <t>ERX12986488</t>
  </si>
  <si>
    <t>ERX12986489</t>
  </si>
  <si>
    <t>ERX12986490</t>
  </si>
  <si>
    <t>ERX12986491</t>
  </si>
  <si>
    <t>ERX12986492</t>
  </si>
  <si>
    <t>ERX12986493</t>
  </si>
  <si>
    <t>Number of reads after quality filtering</t>
  </si>
  <si>
    <t>Number of raw reads</t>
  </si>
  <si>
    <t>Number of raw base pairs</t>
  </si>
  <si>
    <t>Replicate</t>
  </si>
  <si>
    <t>Developmental stage</t>
  </si>
  <si>
    <t>Sample information</t>
  </si>
  <si>
    <t>female</t>
  </si>
  <si>
    <t>male</t>
  </si>
  <si>
    <t>sporophyte</t>
  </si>
  <si>
    <t>partheno-sporophyte</t>
  </si>
  <si>
    <t>gametophyte</t>
  </si>
  <si>
    <t>n/a</t>
  </si>
  <si>
    <t>Trim Galore</t>
  </si>
  <si>
    <t>mix of adult thalli with and without plurilocular sporangia (no unilocular sporangia)</t>
  </si>
  <si>
    <t>2-5 cell stage</t>
  </si>
  <si>
    <t>adult thalli</t>
  </si>
  <si>
    <t>adult (3-week) thalli</t>
  </si>
  <si>
    <t>adult (4-week) thalli with plurilocular gametangia</t>
  </si>
  <si>
    <t xml:space="preserve">mix of pre-fertile (2-week) and fertile (3-4-week with plurilocular gametangia) gametophytes </t>
  </si>
  <si>
    <t>mix of pre-fertile (2-week) and fertile (3-4-week with plurilocular gametangia) gametophytes</t>
  </si>
  <si>
    <t>adult, pre-fertile thalli</t>
  </si>
  <si>
    <t>adult, pre-fertile (3-week) thalli</t>
  </si>
  <si>
    <t>adult, pre-fertile (4-5-week) thalli</t>
  </si>
  <si>
    <t>Upright filaments dissected from adult, pre-fertile (3-week) thalli</t>
  </si>
  <si>
    <t>mix of adult thalli (3-4-week) with and without plurilocular sporangia (no unilocular sporangia)</t>
  </si>
  <si>
    <t>early sporophyte</t>
  </si>
  <si>
    <t>Fertile whole sporophyte thallus</t>
  </si>
  <si>
    <t>Fertile whole female gametophyte thallus</t>
  </si>
  <si>
    <t>Fertile whole male gametophyte thallus</t>
  </si>
  <si>
    <t>female gamete (15 min after release)</t>
  </si>
  <si>
    <t>male gamete (1 h after release)</t>
  </si>
  <si>
    <t>zygote (1 h after fertilisation)</t>
  </si>
  <si>
    <t>swimming gametes, immediately after release</t>
  </si>
  <si>
    <t xml:space="preserve"> partheno-sporophyte initial cell before elongation (24 h after plating released gametes)</t>
  </si>
  <si>
    <t>elongating partheno-sporophyte initial cell (48 h after plating released gametes)</t>
  </si>
  <si>
    <t>KB07f VI</t>
  </si>
  <si>
    <t>Fem rep1 KB07f VI  - f11</t>
  </si>
  <si>
    <t>PRJEB72149</t>
  </si>
  <si>
    <t>ERS17727577</t>
  </si>
  <si>
    <t>ERX12475480</t>
  </si>
  <si>
    <t>ERR13103840</t>
  </si>
  <si>
    <t>ERX12475481</t>
  </si>
  <si>
    <t>ERR13103841</t>
  </si>
  <si>
    <t>Fem rep2 KB07f VI - f20</t>
  </si>
  <si>
    <t>ERS17727578</t>
  </si>
  <si>
    <t>ERX12475482</t>
  </si>
  <si>
    <t>ERR13103842</t>
  </si>
  <si>
    <t>ERX12475483</t>
  </si>
  <si>
    <t>ERR13103843</t>
  </si>
  <si>
    <t>Fem rep3 KB07f VI  - f15</t>
  </si>
  <si>
    <t>ERS17727579</t>
  </si>
  <si>
    <t>ERX12475484</t>
  </si>
  <si>
    <t>Fem reserv1 KB07f VI  - f15</t>
  </si>
  <si>
    <t>ERS17727580</t>
  </si>
  <si>
    <t>ERX12475485</t>
  </si>
  <si>
    <t>ERR13103845</t>
  </si>
  <si>
    <t>ERX12475486</t>
  </si>
  <si>
    <t>Fem reserv2 KB07f VI  - f9</t>
  </si>
  <si>
    <t>ERS17727581</t>
  </si>
  <si>
    <t>ERX12475487</t>
  </si>
  <si>
    <t>ERR13103847</t>
  </si>
  <si>
    <t>Male rep1 KB07m VI  - m19</t>
  </si>
  <si>
    <t>ERS17727582</t>
  </si>
  <si>
    <t>ERX12475488</t>
  </si>
  <si>
    <t>ERR13103848</t>
  </si>
  <si>
    <t>ERX12475489</t>
  </si>
  <si>
    <t>ERR13103849</t>
  </si>
  <si>
    <t>Male rep2 KB07m VI  - m21</t>
  </si>
  <si>
    <t>ERS17727583</t>
  </si>
  <si>
    <t>ERX12475490</t>
  </si>
  <si>
    <t>ERR13103850</t>
  </si>
  <si>
    <t>ERX12475491</t>
  </si>
  <si>
    <t>ERR13103851</t>
  </si>
  <si>
    <t>Male rep3 KB07m VI  - m24</t>
  </si>
  <si>
    <t>ERS17727584</t>
  </si>
  <si>
    <t>ERX12475492</t>
  </si>
  <si>
    <t>Male reserv1 KB07m VI  - m14</t>
  </si>
  <si>
    <t>ERS17727585</t>
  </si>
  <si>
    <t>ERX12475493</t>
  </si>
  <si>
    <t>ERR13103853</t>
  </si>
  <si>
    <t>ERX12475494</t>
  </si>
  <si>
    <t>ERR13103854</t>
  </si>
  <si>
    <t>Male reserv2 KB07m VI  - m11</t>
  </si>
  <si>
    <t>ERS17727586</t>
  </si>
  <si>
    <t>ERX12475495</t>
  </si>
  <si>
    <t>KB07sp VI</t>
  </si>
  <si>
    <t>Spor rep1 KB07sp VI - s11</t>
  </si>
  <si>
    <t>ERS17727593</t>
  </si>
  <si>
    <t>ERX12475496</t>
  </si>
  <si>
    <t>Spor rep2 KB07sp VI - s16</t>
  </si>
  <si>
    <t>ERS17727594</t>
  </si>
  <si>
    <t>ERX12475497</t>
  </si>
  <si>
    <t>ERR13103857</t>
  </si>
  <si>
    <t>ERX12475498</t>
  </si>
  <si>
    <t>ERR13103858</t>
  </si>
  <si>
    <t>Spor rep3 KB07sp VI - s18</t>
  </si>
  <si>
    <t>ERS17727595</t>
  </si>
  <si>
    <t>ERX12475499</t>
  </si>
  <si>
    <t>Spor reserv1 KB07sp VI - s8</t>
  </si>
  <si>
    <t>ERS17727596</t>
  </si>
  <si>
    <t>ERX12475500</t>
  </si>
  <si>
    <t>ERR13103860</t>
  </si>
  <si>
    <t>ERX12475501</t>
  </si>
  <si>
    <t>ERR13103861</t>
  </si>
  <si>
    <t>Spor reserv2 KB07sp VI - s17</t>
  </si>
  <si>
    <t>ERS17727597</t>
  </si>
  <si>
    <t>ERX12475502</t>
  </si>
  <si>
    <t>ERR13103862</t>
  </si>
  <si>
    <t>ERX12475503</t>
  </si>
  <si>
    <t>ERR13103863</t>
  </si>
  <si>
    <t>Whole adult sporophyte thallus</t>
  </si>
  <si>
    <t>Whole adult female gametophyte thallus</t>
  </si>
  <si>
    <t>Whole adult male gametophyte thallus</t>
  </si>
  <si>
    <t>Myriotrichia clavaeformis</t>
  </si>
  <si>
    <t>Myr cla04 female</t>
  </si>
  <si>
    <t>ERS17727703</t>
  </si>
  <si>
    <t>ERX12475440</t>
  </si>
  <si>
    <t>ERR13103800</t>
  </si>
  <si>
    <t>ERS17727704</t>
  </si>
  <si>
    <t>ERX12475441</t>
  </si>
  <si>
    <t>ERR13103801</t>
  </si>
  <si>
    <t>ERS17727705</t>
  </si>
  <si>
    <t>ERX12475442</t>
  </si>
  <si>
    <t>ERR13103802</t>
  </si>
  <si>
    <t>Myr cla SP 12</t>
  </si>
  <si>
    <t>RNA_MclaSP-1</t>
  </si>
  <si>
    <t>ERS17727706</t>
  </si>
  <si>
    <t>ERX12475473</t>
  </si>
  <si>
    <t>ERR13103833</t>
  </si>
  <si>
    <t>RNA_MclaSP-2</t>
  </si>
  <si>
    <t>ERS17727707</t>
  </si>
  <si>
    <t>ERX12475474</t>
  </si>
  <si>
    <t>ERR13103834</t>
  </si>
  <si>
    <t>RNA_MclaSP-3</t>
  </si>
  <si>
    <t>ERS17727708</t>
  </si>
  <si>
    <t>ERX12475475</t>
  </si>
  <si>
    <t>ERR13103835</t>
  </si>
  <si>
    <t>Myr cla05 male</t>
  </si>
  <si>
    <t>ERS17727709</t>
  </si>
  <si>
    <t>ERX12475437</t>
  </si>
  <si>
    <t>ERR13103797</t>
  </si>
  <si>
    <t>ERS17727710</t>
  </si>
  <si>
    <t>ERX12475438</t>
  </si>
  <si>
    <t>ERR13103798</t>
  </si>
  <si>
    <t>ERS17727711</t>
  </si>
  <si>
    <t>ERX12475439</t>
  </si>
  <si>
    <t>ERR13103799</t>
  </si>
  <si>
    <t>Pylaiella littoralis</t>
  </si>
  <si>
    <t>F24</t>
  </si>
  <si>
    <t>RNA_F24-1-2--29-08-2019</t>
  </si>
  <si>
    <t>ERS17727746</t>
  </si>
  <si>
    <t>ERX12475504</t>
  </si>
  <si>
    <t>ERR13103864</t>
  </si>
  <si>
    <t>RNA_F24-2</t>
  </si>
  <si>
    <t>ERS17727747</t>
  </si>
  <si>
    <t>ERX12475479</t>
  </si>
  <si>
    <t>ERR13103839</t>
  </si>
  <si>
    <t>U1.48</t>
  </si>
  <si>
    <t>RNA_U1.48-1</t>
  </si>
  <si>
    <t>Whole adult gametophyte thallus</t>
  </si>
  <si>
    <t>ERS17727748</t>
  </si>
  <si>
    <t>ERX12475476</t>
  </si>
  <si>
    <t>ERR13103836</t>
  </si>
  <si>
    <t>RNA_U1.48-2</t>
  </si>
  <si>
    <t>ERS17727749</t>
  </si>
  <si>
    <t>ERX12475477</t>
  </si>
  <si>
    <t>ERR13103837</t>
  </si>
  <si>
    <t>RNA_U1.48-3</t>
  </si>
  <si>
    <t>ERS17727750</t>
  </si>
  <si>
    <t>ERX12475478</t>
  </si>
  <si>
    <t>ERR13103838</t>
  </si>
  <si>
    <t>Saccorhiza polyschides</t>
  </si>
  <si>
    <t>Sac.pol_SP1</t>
  </si>
  <si>
    <t>Sacc_SP-1</t>
  </si>
  <si>
    <t>Whole young sporophyte thallus (about 5 cM)</t>
  </si>
  <si>
    <t>ERS17727799</t>
  </si>
  <si>
    <t>ERX12475522</t>
  </si>
  <si>
    <t>ERR13103882</t>
  </si>
  <si>
    <t>Sac.pol_SP2</t>
  </si>
  <si>
    <t>Sacc_SP-2</t>
  </si>
  <si>
    <t>ERS17727800</t>
  </si>
  <si>
    <t>ERX12475523</t>
  </si>
  <si>
    <t>ERR13103883</t>
  </si>
  <si>
    <t>Sac.pol_SP3</t>
  </si>
  <si>
    <t>Sacc_SP-3</t>
  </si>
  <si>
    <t>ERS17727801</t>
  </si>
  <si>
    <t>ERX12475524</t>
  </si>
  <si>
    <t>ERR13103884</t>
  </si>
  <si>
    <t>Scytosiphon promiscuus</t>
  </si>
  <si>
    <t>GA Mistumatsu 9f</t>
  </si>
  <si>
    <t>S.lom-GAfemale-C</t>
  </si>
  <si>
    <t>ERS17727813</t>
  </si>
  <si>
    <t>ERX12475519</t>
  </si>
  <si>
    <t>ERR13103879</t>
  </si>
  <si>
    <t>GA Mistumatsu 8f</t>
  </si>
  <si>
    <t>S.lom-GAfemale-D</t>
  </si>
  <si>
    <t>ERS17727814</t>
  </si>
  <si>
    <t>ERX12475518</t>
  </si>
  <si>
    <t>ERR13103878</t>
  </si>
  <si>
    <t>S.lom-GAfemale-E</t>
  </si>
  <si>
    <t>ERS17727815</t>
  </si>
  <si>
    <t>ERX12475517</t>
  </si>
  <si>
    <t>ERR13103877</t>
  </si>
  <si>
    <t>GA Koinoura 11m</t>
  </si>
  <si>
    <t>S.lom-GAmale-F</t>
  </si>
  <si>
    <t>ERS17727816</t>
  </si>
  <si>
    <t>ERX12475514</t>
  </si>
  <si>
    <t>ERR13103874</t>
  </si>
  <si>
    <t>GA Muroran 8mA</t>
  </si>
  <si>
    <t>ERS17727817</t>
  </si>
  <si>
    <t>ERX12475515</t>
  </si>
  <si>
    <t>ERR13103875</t>
  </si>
  <si>
    <t>SXS107 (SXS103 x SXS105)</t>
  </si>
  <si>
    <t>SXS107-S.lom-SP-A</t>
  </si>
  <si>
    <t>ERS17727820</t>
  </si>
  <si>
    <t>ERX12475520</t>
  </si>
  <si>
    <t>ERR13103880</t>
  </si>
  <si>
    <t>SXS107-S.lom-SP-B</t>
  </si>
  <si>
    <t>ERS17727821</t>
  </si>
  <si>
    <t>ERX12475521</t>
  </si>
  <si>
    <t>ERR13103881</t>
  </si>
  <si>
    <t>SXS107-S.lom-SP-D</t>
  </si>
  <si>
    <t>ERS17727822</t>
  </si>
  <si>
    <t>ERX12475525</t>
  </si>
  <si>
    <t>ERR13103885</t>
  </si>
  <si>
    <t>Sphacelaria rigidula</t>
  </si>
  <si>
    <t>Sph rig Cal Mo 4-1-68b</t>
  </si>
  <si>
    <t>RNA_PHAEO215-1</t>
  </si>
  <si>
    <t>ERS17727830</t>
  </si>
  <si>
    <t>ERX12475452</t>
  </si>
  <si>
    <t>ERR13103812</t>
  </si>
  <si>
    <t>RNA_PHAEO215-2</t>
  </si>
  <si>
    <t>ERS17727831</t>
  </si>
  <si>
    <t>ERX12475453</t>
  </si>
  <si>
    <t>ERR13103813</t>
  </si>
  <si>
    <t>RNA_PHAEO215-3</t>
  </si>
  <si>
    <t>ERS17727832</t>
  </si>
  <si>
    <t>ERX12475454</t>
  </si>
  <si>
    <t>ERR13103814</t>
  </si>
  <si>
    <t>Srig cal mo SP</t>
  </si>
  <si>
    <t>RNA_SrigSP-1</t>
  </si>
  <si>
    <t>ERS17727833</t>
  </si>
  <si>
    <t>ERX12475470</t>
  </si>
  <si>
    <t>ERR13103830</t>
  </si>
  <si>
    <t>RNA_SrigSP-2</t>
  </si>
  <si>
    <t>ERS17727834</t>
  </si>
  <si>
    <t>ERX12475471</t>
  </si>
  <si>
    <t>ERR13103831</t>
  </si>
  <si>
    <t>RNA_SrigSP-3</t>
  </si>
  <si>
    <t>ERS17727835</t>
  </si>
  <si>
    <t>ERX12475472</t>
  </si>
  <si>
    <t>ERR13103832</t>
  </si>
  <si>
    <t>Sph rig Cal Mo 4-1-G3b</t>
  </si>
  <si>
    <t>RNA_SXS122-1</t>
  </si>
  <si>
    <t>ERS17727836</t>
  </si>
  <si>
    <t>ERX12475455</t>
  </si>
  <si>
    <t>ERR13103815</t>
  </si>
  <si>
    <t>RNA_SXS122-2</t>
  </si>
  <si>
    <t>ERS17727837</t>
  </si>
  <si>
    <t>ERX12475456</t>
  </si>
  <si>
    <t>ERR13103816</t>
  </si>
  <si>
    <t>RNA_SXS122-3</t>
  </si>
  <si>
    <t>ERS17727838</t>
  </si>
  <si>
    <t>ERX12475457</t>
  </si>
  <si>
    <t>ERR13103817</t>
  </si>
  <si>
    <t>Species</t>
  </si>
  <si>
    <t>embryos during or after the first cell division (8 h after fertilisation)</t>
  </si>
  <si>
    <t>Original sampling site</t>
  </si>
  <si>
    <t>ODC1387</t>
  </si>
  <si>
    <t>File</t>
  </si>
  <si>
    <t>Wimereux, France</t>
  </si>
  <si>
    <t>Roscoff, France</t>
  </si>
  <si>
    <t>San Juan de Marcona, Peru</t>
  </si>
  <si>
    <t>SRA (NCBI) or ENA (EBI) study accession number</t>
  </si>
  <si>
    <t>SRA (NCBI) or ENA (EBI) sample accession number</t>
  </si>
  <si>
    <t>SRA (NCBI) or ENA (EBI) experiment accession number</t>
  </si>
  <si>
    <t>SRA (NCBI) or ENA (EBI) run accession number</t>
  </si>
  <si>
    <t>nd</t>
  </si>
  <si>
    <t>Library or sample identifier</t>
  </si>
  <si>
    <t>Macrocystis_FEMALE_Rep1_R1.fastq.gz</t>
  </si>
  <si>
    <t>Macrocystis_FEMALE_Rep1_R2.fastq.gz</t>
  </si>
  <si>
    <t>Macrocystis_FEMALE_Rep2_R1.fastq.gz</t>
  </si>
  <si>
    <t>Macrocystis_FEMALE_Rep2_R2.fastq.gz</t>
  </si>
  <si>
    <t>Macrocystis_FEMALE_Rep3_R1.fastq.gz</t>
  </si>
  <si>
    <t>Macrocystis_FEMALE_Rep3_R2.fastq.gz</t>
  </si>
  <si>
    <t>Macrocystis_MALE_Rep1_R1.fastq.gz</t>
  </si>
  <si>
    <t>Macrocystis_MALE_Rep1_R2.fastq.gz</t>
  </si>
  <si>
    <t>Macrocystis_MALE_Rep2_R1.fastq.gz</t>
  </si>
  <si>
    <t>Macrocystis_MALE_Rep2_R2.fastq.gz</t>
  </si>
  <si>
    <t>Macrocystis_MALE_Rep3_R1.fastq.gz</t>
  </si>
  <si>
    <t>Macrocystis_MALE_Rep3_R2.fastq.gz</t>
  </si>
  <si>
    <t>Macrocystis_SP_Rep1_R1.fastq.gz</t>
  </si>
  <si>
    <t>Macrocystis_SP_Rep1_R2.fastq.gz</t>
  </si>
  <si>
    <t>Macrocystis_SP_Rep2_R1.fastq.gz</t>
  </si>
  <si>
    <t>Macrocystis_SP_Rep2_R2.fastq.gz</t>
  </si>
  <si>
    <t>Myriotrichia_FEMALE_Rep1_R1.fastq.gz</t>
  </si>
  <si>
    <t>Myriotrichia_FEMALE_Rep1_R2.fastq.gz</t>
  </si>
  <si>
    <t>Myriotrichia_FEMALE_Rep2_R1.fastq.gz</t>
  </si>
  <si>
    <t>Myriotrichia_FEMALE_Rep2_R2.fastq.gz</t>
  </si>
  <si>
    <t>Myriotrichia_FEMALE_Rep3_R1.fastq.gz</t>
  </si>
  <si>
    <t>Myriotrichia_FEMALE_Rep3_R2.fastq.gz</t>
  </si>
  <si>
    <t>Myriotrichia_MALE_Rep1_R1.fastq.gz</t>
  </si>
  <si>
    <t>Myriotrichia_MALE_Rep1_R2.fastq.gz</t>
  </si>
  <si>
    <t>Myriotrichia_MALE_Rep2_R1.fastq.gz</t>
  </si>
  <si>
    <t>Myriotrichia_MALE_Rep2_R2.fastq.gz</t>
  </si>
  <si>
    <t>Myriotrichia_MALE_Rep3_R1.fastq.gz</t>
  </si>
  <si>
    <t>Myriotrichia_MALE_Rep3_R2.fastq.gz</t>
  </si>
  <si>
    <t>Myriotrichia_SP_Rep1_R1.fastq.gz</t>
  </si>
  <si>
    <t>Myriotrichia_SP_Rep1_R2.fastq.gz</t>
  </si>
  <si>
    <t>Myriotrichia_SP_Rep2_R1.fastq.gz</t>
  </si>
  <si>
    <t>Myriotrichia_SP_Rep2_R2.fastq.gz</t>
  </si>
  <si>
    <t>Myriotrichia_SP_Rep3_R1.fastq.gz</t>
  </si>
  <si>
    <t>Myriotrichia_SP_Rep3_R2.fastq.gz</t>
  </si>
  <si>
    <t>Pylaiella_GA_Rep1_R1.fastq.gz</t>
  </si>
  <si>
    <t>Pylaiella_GA_Rep1_R2.fastq.gz</t>
  </si>
  <si>
    <t>Pylaiella_GA_Rep2_R1.fastq.gz</t>
  </si>
  <si>
    <t>Pylaiella_GA_Rep2_R2.fastq.gz</t>
  </si>
  <si>
    <t>Pylaiella_GA_Rep3_R1.fastq.gz</t>
  </si>
  <si>
    <t>Pylaiella_GA_Rep3_R2.fastq.gz</t>
  </si>
  <si>
    <t>Pylaiella_SP_Rep1_R1.fastq.gz</t>
  </si>
  <si>
    <t>Pylaiella_SP_Rep1_R2.fastq.gz</t>
  </si>
  <si>
    <t>Pylaiella_SP_Rep2_R1.fastq.gz</t>
  </si>
  <si>
    <t>Pylaiella_SP_Rep2_R2.fastq.gz</t>
  </si>
  <si>
    <t>Saccorhiza_FEMALE_Rep1.fastq.gz</t>
  </si>
  <si>
    <t>Saccorhiza_FEMALE_Rep2.fastq.gz</t>
  </si>
  <si>
    <t>Saccorhiza_MALE_Rep1.fastq.gz</t>
  </si>
  <si>
    <t>Saccorhiza_MALE_Rep2.fastq.gz</t>
  </si>
  <si>
    <t>Saccorhiza_SP_Rep1_R1.fastq.gz</t>
  </si>
  <si>
    <t>Saccorhiza_SP_Rep1_R2.fastq.gz</t>
  </si>
  <si>
    <t>Saccorhiza_SP_Rep2_R1.fastq.gz</t>
  </si>
  <si>
    <t>Saccorhiza_SP_Rep2_R2.fastq.gz</t>
  </si>
  <si>
    <t>Saccorhiza_SP_Rep3_R1.fastq.gz</t>
  </si>
  <si>
    <t>Saccorhiza_SP_Rep3_R2.fastq.gz</t>
  </si>
  <si>
    <t>SRR5860565_forward_paired.fq.gz</t>
  </si>
  <si>
    <t>SRR5860565_reverse_paired.fq.gz</t>
  </si>
  <si>
    <t>SRR5860566_forward_paired.fq.gz</t>
  </si>
  <si>
    <t>SRR5860566_reverse_paired.fq.gz</t>
  </si>
  <si>
    <t>SRR5860567_forward_paired.fq.gz</t>
  </si>
  <si>
    <t>SRR5860567_reverse_paired.fq.gz</t>
  </si>
  <si>
    <t>SRR5860562_forward_paired.fq.gz</t>
  </si>
  <si>
    <t>SRR5860562_reverse_paired.fq.gz</t>
  </si>
  <si>
    <t>SRR5860563_forward_paired.fq.gz</t>
  </si>
  <si>
    <t>SRR5860563_reverse_paired.fq.gz</t>
  </si>
  <si>
    <t>SRR5860564_forward_paired.fq.gz</t>
  </si>
  <si>
    <t>SRR5860564_reverse_paired.fq.gz</t>
  </si>
  <si>
    <t>SRR5860560_forward_paired.fq.gz</t>
  </si>
  <si>
    <t>SRR5860560_reverse_paired.fq.gz</t>
  </si>
  <si>
    <t>SRR5860561_forward_paired.fq.gz</t>
  </si>
  <si>
    <t>SRR5860561_reverse_paired.fq.gz</t>
  </si>
  <si>
    <t>SRR5860568_forward_paired.fq.gz</t>
  </si>
  <si>
    <t>SRR5860568_reverse_paired.fq.gz</t>
  </si>
  <si>
    <t>Scytosiphon_FEMALE_Rep1_R1.fastq.gz</t>
  </si>
  <si>
    <t>Scytosiphon_FEMALE_Rep1_R2.fastq.gz</t>
  </si>
  <si>
    <t>Scytosiphon_FEMALE_Rep2_R1.fastq.gz</t>
  </si>
  <si>
    <t>Scytosiphon_FEMALE_Rep2_R2.fastq.gz</t>
  </si>
  <si>
    <t>Scytosiphon_FEMALE_Rep3_R1.fastq.gz</t>
  </si>
  <si>
    <t>Scytosiphon_FEMALE_Rep3_R2.fastq.gz</t>
  </si>
  <si>
    <t>Scytosiphon_FEMALE_Rep4_R1.fastq.gz</t>
  </si>
  <si>
    <t>Scytosiphon_FEMALE_Rep4_R2.fastq.gz</t>
  </si>
  <si>
    <t>Scytosiphon_MALE_Rep1_R1.fastq.gz</t>
  </si>
  <si>
    <t>Scytosiphon_MALE_Rep1_R2.fastq.gz</t>
  </si>
  <si>
    <t>Scytosiphon_MALE_Rep2_R1.fastq.gz</t>
  </si>
  <si>
    <t>Scytosiphon_MALE_Rep2_R2.fastq.gz</t>
  </si>
  <si>
    <t>Scytosiphon_MALE_Rep3_R1.fastq.gz</t>
  </si>
  <si>
    <t>Scytosiphon_MALE_Rep3_R2.fastq.gz</t>
  </si>
  <si>
    <t>Scytosiphon_SP_Rep1_R1.fastq.gz</t>
  </si>
  <si>
    <t>Scytosiphon_SP_Rep1_R2.fastq.gz</t>
  </si>
  <si>
    <t>Scytosiphon_SP_Rep2_R1.fastq.gz</t>
  </si>
  <si>
    <t>Scytosiphon_SP_Rep2_R2.fastq.gz</t>
  </si>
  <si>
    <t>Scytosiphon_SP_Rep3_R1.fastq.gz</t>
  </si>
  <si>
    <t>Scytosiphon_SP_Rep3_R2.fastq.gz</t>
  </si>
  <si>
    <t>Scytosiphon_SP_Rep4_R1.fastq.gz</t>
  </si>
  <si>
    <t>Scytosiphon_SP_Rep4_R2.fastq.gz</t>
  </si>
  <si>
    <t>Scytosiphon_SP_Rep5_R1.fastq.gz</t>
  </si>
  <si>
    <t>Scytosiphon_SP_Rep5_R2.fastq.gz</t>
  </si>
  <si>
    <t>Slatissima_FEMALE_Rep1_R1.fastq.gz</t>
  </si>
  <si>
    <t>Slatissima_FEMALE_Rep1_R2.fastq.gz</t>
  </si>
  <si>
    <t>Slatissima_FEMALE_Rep2_R1.fastq.gz</t>
  </si>
  <si>
    <t>Slatissima_FEMALE_Rep2_R2.fastq.gz</t>
  </si>
  <si>
    <t>Slatissima_FEMALE_Rep3_R1.fastq.gz</t>
  </si>
  <si>
    <t>Slatissima_FEMALE_Rep3_R2.fastq.gz</t>
  </si>
  <si>
    <t>Slatissima_MALE_Rep1_R1.fastq.gz</t>
  </si>
  <si>
    <t>Slatissima_MALE_Rep1_R2.fastq.gz</t>
  </si>
  <si>
    <t>Slatissima_MALE_Rep2_R1.fastq.gz</t>
  </si>
  <si>
    <t>Slatissima_MALE_Rep2_R2.fastq.gz</t>
  </si>
  <si>
    <t>Slatissima_MALE_Rep3_R1.fastq.gz</t>
  </si>
  <si>
    <t>Slatissima_MALE_Rep3_R2.fastq.gz</t>
  </si>
  <si>
    <t>Slatissima_SP_Rep1_R1.fastq.gz</t>
  </si>
  <si>
    <t>Slatissima_SP_Rep1_R2.fastq.gz</t>
  </si>
  <si>
    <t>Slatissima_SP_Rep2_R1.fastq.gz</t>
  </si>
  <si>
    <t>Slatissima_SP_Rep2_R2.fastq.gz</t>
  </si>
  <si>
    <t>Slatissima_SP_Rep3_R1.fastq.gz</t>
  </si>
  <si>
    <t>Slatissima_SP_Rep3_R2.fastq.gz</t>
  </si>
  <si>
    <t>Sphacelaria_FEMALE_Rep1_R1.fastq.gz</t>
  </si>
  <si>
    <t>Sphacelaria_FEMALE_Rep1_R2.fastq.gz</t>
  </si>
  <si>
    <t>Sphacelaria_FEMALE_Rep2_R1.fastq.gz</t>
  </si>
  <si>
    <t>Sphacelaria_FEMALE_Rep2_R2.fastq.gz</t>
  </si>
  <si>
    <t>Sphacelaria_FEMALE_Rep3_R1.fastq.gz</t>
  </si>
  <si>
    <t>Sphacelaria_FEMALE_Rep3_R2.fastq.gz</t>
  </si>
  <si>
    <t>Sphacelaria_FEMALE_Rep4_R1.fastq.gz</t>
  </si>
  <si>
    <t>Sphacelaria_FEMALE_Rep4_R2.fastq.gz</t>
  </si>
  <si>
    <t>Sphacelaria_MALE_Rep1_R1.fastq.gz</t>
  </si>
  <si>
    <t>Sphacelaria_MALE_Rep1_R2.fastq.gz</t>
  </si>
  <si>
    <t>Sphacelaria_MALE_Rep2_R1.fastq.gz</t>
  </si>
  <si>
    <t>Sphacelaria_MALE_Rep2_R2.fastq.gz</t>
  </si>
  <si>
    <t>Sphacelaria_MALE_Rep3_R1.fastq.gz</t>
  </si>
  <si>
    <t>Sphacelaria_MALE_Rep3_R2.fastq.gz</t>
  </si>
  <si>
    <t>Sphacelaria_SP_Rep1_R1.fastq.gz</t>
  </si>
  <si>
    <t>Sphacelaria_SP_Rep1_R2.fastq.gz</t>
  </si>
  <si>
    <t>Sphacelaria_SP_Rep2_R1.fastq.gz</t>
  </si>
  <si>
    <t>Sphacelaria_SP_Rep2_R2.fastq.gz</t>
  </si>
  <si>
    <t>Sphacelaria_SP_Rep3_R1.fastq.gz</t>
  </si>
  <si>
    <t>Sphacelaria_SP_Rep3_R2.fastq.gz</t>
  </si>
  <si>
    <t>Macrocystis pyrifera</t>
  </si>
  <si>
    <t>Saccharina japonica</t>
  </si>
  <si>
    <t>Saccharina latissima</t>
  </si>
  <si>
    <t>RNA_PHAEO215-4</t>
  </si>
  <si>
    <t>SpolBR94F</t>
  </si>
  <si>
    <t>GA</t>
  </si>
  <si>
    <t>Yes</t>
  </si>
  <si>
    <t>SpolBR94M</t>
  </si>
  <si>
    <t>SRR14741915</t>
  </si>
  <si>
    <t>SRR14741914</t>
  </si>
  <si>
    <t>SRR14741886</t>
  </si>
  <si>
    <t>SRR14741885</t>
  </si>
  <si>
    <t>SRP322890</t>
  </si>
  <si>
    <t>SAMN19460368</t>
  </si>
  <si>
    <t>SAMN19460369</t>
  </si>
  <si>
    <t>SAMN19460366</t>
  </si>
  <si>
    <t>SAMN19460367</t>
  </si>
  <si>
    <t>GPO-151</t>
  </si>
  <si>
    <t>GPO-153</t>
  </si>
  <si>
    <t>GPO-154</t>
  </si>
  <si>
    <t>GPO-155</t>
  </si>
  <si>
    <t>SRX11076465</t>
  </si>
  <si>
    <t>SRX11076466</t>
  </si>
  <si>
    <t>SRX11076494</t>
  </si>
  <si>
    <t>SRX11076495</t>
  </si>
  <si>
    <t>Whole adult fertile female gametophyte thallus</t>
  </si>
  <si>
    <t>Whole adult fertile male gametophyte thallus</t>
  </si>
  <si>
    <t>SRR5860565</t>
  </si>
  <si>
    <t>SRR5860566</t>
  </si>
  <si>
    <t>SRR5860567</t>
  </si>
  <si>
    <t>SRR5860562</t>
  </si>
  <si>
    <t>SRR5860563</t>
  </si>
  <si>
    <t>SRR5860564</t>
  </si>
  <si>
    <t>SRR5860560</t>
  </si>
  <si>
    <t>SRR5860561</t>
  </si>
  <si>
    <t>SRR5860568</t>
  </si>
  <si>
    <t>SRP113413</t>
  </si>
  <si>
    <t>SAMN07407321</t>
  </si>
  <si>
    <t>SRX3029263</t>
  </si>
  <si>
    <t>SRX3029262</t>
  </si>
  <si>
    <t>SAMN07407320</t>
  </si>
  <si>
    <t>SRX3029261</t>
  </si>
  <si>
    <t>SAMN07407319</t>
  </si>
  <si>
    <t>SRX3029266</t>
  </si>
  <si>
    <t>SAMN07407324</t>
  </si>
  <si>
    <t>SRX3029265</t>
  </si>
  <si>
    <t>SAMN07407323</t>
  </si>
  <si>
    <t>SRX3029264</t>
  </si>
  <si>
    <t>SAMN07407322</t>
  </si>
  <si>
    <t>SRX3029268</t>
  </si>
  <si>
    <t>SAMN07407326</t>
  </si>
  <si>
    <t>SRX3029267</t>
  </si>
  <si>
    <t>SAMN07407325</t>
  </si>
  <si>
    <t>SRX3029260</t>
  </si>
  <si>
    <t>SAMN07407327</t>
  </si>
  <si>
    <t>Whole sporophyte thallus</t>
  </si>
  <si>
    <t>Whole male gametophyte thallus</t>
  </si>
  <si>
    <t>Whole female gametophyte thallus</t>
  </si>
  <si>
    <t>FG3</t>
  </si>
  <si>
    <t>FG2</t>
  </si>
  <si>
    <t>FG1</t>
  </si>
  <si>
    <t>MG3</t>
  </si>
  <si>
    <t>MG2</t>
  </si>
  <si>
    <t>MG1</t>
  </si>
  <si>
    <t>SP3</t>
  </si>
  <si>
    <t>SP2</t>
  </si>
  <si>
    <t>SP1</t>
  </si>
  <si>
    <t>C12</t>
  </si>
  <si>
    <t>C13</t>
  </si>
  <si>
    <t>GPO-38</t>
  </si>
  <si>
    <t>SRR5026366</t>
  </si>
  <si>
    <t>P11 B4 and P11 D6</t>
  </si>
  <si>
    <t>GPO-39</t>
  </si>
  <si>
    <t>SRR5026588</t>
  </si>
  <si>
    <t>GPO-40</t>
  </si>
  <si>
    <t>SRR5026590</t>
  </si>
  <si>
    <t>P11 D3 and P11 A2</t>
  </si>
  <si>
    <t>GPO-41</t>
  </si>
  <si>
    <t>SRR5026591</t>
  </si>
  <si>
    <t>GPO-42</t>
  </si>
  <si>
    <t>SRR5026593</t>
  </si>
  <si>
    <t>GPO-43</t>
  </si>
  <si>
    <t>SRR5026594</t>
  </si>
  <si>
    <t>SRR3544557</t>
  </si>
  <si>
    <t>SRR3615022</t>
  </si>
  <si>
    <t>Zy2</t>
  </si>
  <si>
    <t>GPO-51</t>
  </si>
  <si>
    <t>SRR6742571</t>
  </si>
  <si>
    <t>GPO-52</t>
  </si>
  <si>
    <t>SRR6742570</t>
  </si>
  <si>
    <t>Immature heterozygous diploid sporophyte</t>
  </si>
  <si>
    <t>SRX3715480</t>
  </si>
  <si>
    <t>SAMN08556550</t>
  </si>
  <si>
    <t>PRJNA434404</t>
  </si>
  <si>
    <t>SRX3715481</t>
  </si>
  <si>
    <t>SAMN08556554</t>
  </si>
  <si>
    <t>Roscoff-SP_T15S30</t>
  </si>
  <si>
    <t>SP</t>
  </si>
  <si>
    <t>K002000147_69191</t>
  </si>
  <si>
    <t>ERX2868194</t>
  </si>
  <si>
    <t>Monteiro et al. 2019 (geo variation)</t>
  </si>
  <si>
    <t>K002000147_69187</t>
  </si>
  <si>
    <t>ERX2868170</t>
  </si>
  <si>
    <t>K002000147_69189</t>
  </si>
  <si>
    <t>ERX2868182</t>
  </si>
  <si>
    <t>Helgoland</t>
  </si>
  <si>
    <t>K002000185_80206</t>
  </si>
  <si>
    <t>ERS3670880</t>
  </si>
  <si>
    <t>K002000185_80208</t>
  </si>
  <si>
    <t>ERS3670881</t>
  </si>
  <si>
    <t>K002000185_80210</t>
  </si>
  <si>
    <t>ERS3670882</t>
  </si>
  <si>
    <t>K002000185_80200</t>
  </si>
  <si>
    <t>ERS3670883</t>
  </si>
  <si>
    <t>K002000185_80202</t>
  </si>
  <si>
    <t>ERS3670884</t>
  </si>
  <si>
    <t>K002000185_80204</t>
  </si>
  <si>
    <t>ERS3670885</t>
  </si>
  <si>
    <t>ERR12954303</t>
  </si>
  <si>
    <t>Whole adult non-fertile female gametophyte thallus</t>
  </si>
  <si>
    <t>PRJEB34090</t>
  </si>
  <si>
    <t>ERR3489185</t>
  </si>
  <si>
    <t>ERX3510600</t>
  </si>
  <si>
    <t>ERR3489186</t>
  </si>
  <si>
    <t>ERX3510601</t>
  </si>
  <si>
    <t>ERR3489187</t>
  </si>
  <si>
    <t>ERX3510602</t>
  </si>
  <si>
    <t>ERR2861956</t>
  </si>
  <si>
    <t>SAMEA5053919</t>
  </si>
  <si>
    <t>PRJEB29430</t>
  </si>
  <si>
    <t>ERR2861932</t>
  </si>
  <si>
    <t>SAMEA5053894</t>
  </si>
  <si>
    <t>SAMEA5053906</t>
  </si>
  <si>
    <t>ERR2861944</t>
  </si>
  <si>
    <t>Whole adult young sporophyte thallus</t>
  </si>
  <si>
    <t>ERR3489188</t>
  </si>
  <si>
    <t>ERX3510603</t>
  </si>
  <si>
    <t>ERR3489189</t>
  </si>
  <si>
    <t>ERX3510604</t>
  </si>
  <si>
    <t>ERR3489190</t>
  </si>
  <si>
    <t>ERX3510605</t>
  </si>
  <si>
    <t>Whole adult non-fertile male gametophyte thallus</t>
  </si>
  <si>
    <t>ERX12326500</t>
  </si>
  <si>
    <t>SAMEA115094327</t>
  </si>
  <si>
    <t>000310-Muroran-5-female</t>
  </si>
  <si>
    <t>ERR12954322</t>
  </si>
  <si>
    <t>SAMEA115094310</t>
  </si>
  <si>
    <t>ERX12326519</t>
  </si>
  <si>
    <t>CBQ_CE_RB</t>
  </si>
  <si>
    <t>Peru</t>
  </si>
  <si>
    <t>SRX2352376</t>
  </si>
  <si>
    <t>SAMN06019648</t>
  </si>
  <si>
    <t>PRJNA353611</t>
  </si>
  <si>
    <t>Whole adult mostly-fertile female gametophyte thallus</t>
  </si>
  <si>
    <t>SRX2352375</t>
  </si>
  <si>
    <t>SAMN06019647</t>
  </si>
  <si>
    <t>SAMN06019646</t>
  </si>
  <si>
    <t>SRX2352374</t>
  </si>
  <si>
    <t>SRX2352373</t>
  </si>
  <si>
    <t>SAMN06019645</t>
  </si>
  <si>
    <t>SAMN06019644</t>
  </si>
  <si>
    <t>SRX2352372</t>
  </si>
  <si>
    <t>Whole adult mostly-fertile male gametophyte thallus</t>
  </si>
  <si>
    <t>SAMN06019643</t>
  </si>
  <si>
    <t>SRX2352371</t>
  </si>
  <si>
    <t>LMB-UNALM</t>
  </si>
  <si>
    <t>SAMN05017695</t>
  </si>
  <si>
    <t>PRJNA322132</t>
  </si>
  <si>
    <t>SRX1774662</t>
  </si>
  <si>
    <t>Adult sporophyte thallus</t>
  </si>
  <si>
    <t>ERX12326497</t>
  </si>
  <si>
    <t xml:space="preserve">GA Koinoura 7f </t>
  </si>
  <si>
    <t>Pacific ocean, Japan</t>
  </si>
  <si>
    <t>ERR12954300</t>
  </si>
  <si>
    <t>SAMEA115094311</t>
  </si>
  <si>
    <t xml:space="preserve">990511-Asari-6-male </t>
  </si>
  <si>
    <t xml:space="preserve">RNA_SXS105 </t>
  </si>
  <si>
    <t>10 species GBG analysis</t>
  </si>
  <si>
    <t>Life cycle transcriptomics analysis</t>
  </si>
  <si>
    <t>PRJNA610261</t>
  </si>
  <si>
    <t>SAMN14291246</t>
  </si>
  <si>
    <t xml:space="preserve">SRR11236318	</t>
  </si>
  <si>
    <t>SRR11236317</t>
  </si>
  <si>
    <t>SAMN14291118</t>
  </si>
  <si>
    <t>PRJNA610249</t>
  </si>
  <si>
    <t>SRR11235958</t>
  </si>
  <si>
    <t xml:space="preserve">PRJNA610249 </t>
  </si>
  <si>
    <t>SAMN14291117</t>
  </si>
  <si>
    <t>SRR11235959</t>
  </si>
  <si>
    <t>PRJNA671807</t>
  </si>
  <si>
    <t>SAMN16551860</t>
  </si>
  <si>
    <t>SRR12897872</t>
  </si>
  <si>
    <t>SAMN16551859</t>
  </si>
  <si>
    <t>SRR12897873</t>
  </si>
  <si>
    <t>SRX766527</t>
  </si>
  <si>
    <t>PRJNA237764</t>
  </si>
  <si>
    <t>SAMN03218081</t>
  </si>
  <si>
    <t>SRX1387855</t>
  </si>
  <si>
    <t>SAMN02639522</t>
  </si>
  <si>
    <t>SRX468696</t>
  </si>
  <si>
    <t>SRX2547926</t>
  </si>
  <si>
    <t>SAMN06311276</t>
  </si>
  <si>
    <t>SRX2548260</t>
  </si>
  <si>
    <t>SAMN06311273</t>
  </si>
  <si>
    <t>SAMN16551876</t>
  </si>
  <si>
    <t>SRR12897851</t>
  </si>
  <si>
    <t>SAMN16551875</t>
  </si>
  <si>
    <t>SRR12897852</t>
  </si>
  <si>
    <t>SRX468697</t>
  </si>
  <si>
    <t>SAMN04217910</t>
  </si>
  <si>
    <t>SRX1387856</t>
  </si>
  <si>
    <t>SRX2549396</t>
  </si>
  <si>
    <t>SAMN06311400</t>
  </si>
  <si>
    <t>SRX2549399</t>
  </si>
  <si>
    <t>SAMN06311401</t>
  </si>
  <si>
    <t>PRJEB55848</t>
  </si>
  <si>
    <t>SAMEA111329777</t>
  </si>
  <si>
    <t>ERX9699831</t>
  </si>
  <si>
    <t>ERX9699832</t>
  </si>
  <si>
    <t>ERX9699833</t>
  </si>
  <si>
    <t>SRX1536950</t>
  </si>
  <si>
    <t>SAMN04417675</t>
  </si>
  <si>
    <t>SRX1536951</t>
  </si>
  <si>
    <t>SAMN04417676</t>
  </si>
  <si>
    <t>SAMN14291260</t>
  </si>
  <si>
    <t>SRR11236356</t>
  </si>
  <si>
    <t>SRR11236357</t>
  </si>
  <si>
    <t>SAMN14291259</t>
  </si>
  <si>
    <t>2-5 cell</t>
  </si>
  <si>
    <t>Fertile SP</t>
  </si>
  <si>
    <t>Female gametes</t>
  </si>
  <si>
    <t>Male gametes</t>
  </si>
  <si>
    <t>1h zygote</t>
  </si>
  <si>
    <t>8h embryo</t>
  </si>
  <si>
    <t>Fertile female GA</t>
  </si>
  <si>
    <t>Fertile male GA</t>
  </si>
  <si>
    <t>SAMN14291121</t>
  </si>
  <si>
    <t>SRR11235920</t>
  </si>
  <si>
    <t>SAMN14291120</t>
  </si>
  <si>
    <t>SRR11235921</t>
  </si>
  <si>
    <t>SRX1536956</t>
  </si>
  <si>
    <t>SAMN04417673</t>
  </si>
  <si>
    <t>SRX1536957</t>
  </si>
  <si>
    <t>SAMN04417674</t>
  </si>
  <si>
    <t>SAMN05933197</t>
  </si>
  <si>
    <t>SRX2279517</t>
  </si>
  <si>
    <t>SAMN04417672</t>
  </si>
  <si>
    <t>SRX1536955</t>
  </si>
  <si>
    <t>PRJNA356500</t>
  </si>
  <si>
    <t>SAMN06115721</t>
  </si>
  <si>
    <t>SRR5088952</t>
  </si>
  <si>
    <t>SRX1536954</t>
  </si>
  <si>
    <t>SAMN04417671</t>
  </si>
  <si>
    <t>SRX2263997</t>
  </si>
  <si>
    <t>SAMN05933198</t>
  </si>
  <si>
    <t>SAMN06118956</t>
  </si>
  <si>
    <t>SRR5088956</t>
  </si>
  <si>
    <t>SAMN06118960</t>
  </si>
  <si>
    <t>SRR5088947</t>
  </si>
  <si>
    <t>SAMN06115722</t>
  </si>
  <si>
    <t>SRR5088955</t>
  </si>
  <si>
    <t>SAMN06118957</t>
  </si>
  <si>
    <t xml:space="preserve">SRR5088945	</t>
  </si>
  <si>
    <t>SRR5088954</t>
  </si>
  <si>
    <t>SAMN06118961</t>
  </si>
  <si>
    <t>SRR5088950</t>
  </si>
  <si>
    <t>SAMN06115723</t>
  </si>
  <si>
    <t>SRR5088951</t>
  </si>
  <si>
    <t>SAMN06118958</t>
  </si>
  <si>
    <t>SAMN06118962</t>
  </si>
  <si>
    <t>SRR5088948</t>
  </si>
  <si>
    <t xml:space="preserve">SRR5088946	</t>
  </si>
  <si>
    <t>SAMN06115724</t>
  </si>
  <si>
    <t>SRR5088953</t>
  </si>
  <si>
    <t>SAMN06118959</t>
  </si>
  <si>
    <t xml:space="preserve">SRR5088949	</t>
  </si>
  <si>
    <t>SAMN06118963</t>
  </si>
  <si>
    <t>Publication DOI</t>
  </si>
  <si>
    <t xml:space="preserve">10.1016/j.cell.2024.10.049 </t>
  </si>
  <si>
    <t>10.1186/s13059-020-02216-8</t>
  </si>
  <si>
    <t>10.1186/s13059-019-1630-6</t>
  </si>
  <si>
    <t>10.1038/s41559-022-01692-4</t>
  </si>
  <si>
    <t>10.1186/s13059-017-1201-7</t>
  </si>
  <si>
    <t>10.1093/nar/gkac145</t>
  </si>
  <si>
    <t>10.1093/molbev/msv173</t>
  </si>
  <si>
    <t>10.1016/j.cub.2014.07.042</t>
  </si>
  <si>
    <t>10.7554/eLife.43101</t>
  </si>
  <si>
    <t>10.1242/dev.201283</t>
  </si>
  <si>
    <t>10.1111/nph.14321</t>
  </si>
  <si>
    <t>10.3389/fpls.2017.02018</t>
  </si>
  <si>
    <t xml:space="preserve">10.3389/fmars.2019.00769 </t>
  </si>
  <si>
    <t>10.1186/s12870-019-2124-0</t>
  </si>
  <si>
    <t>10.1007/s13205-018-1204-4</t>
  </si>
  <si>
    <t>10.1038/nplants.2016.221</t>
  </si>
  <si>
    <t>Non-fertile female GA</t>
  </si>
  <si>
    <t>Non-fertile male GA</t>
  </si>
  <si>
    <t>PRJEB79549</t>
  </si>
  <si>
    <t>ERS20925882</t>
  </si>
  <si>
    <t>ERS20925883</t>
  </si>
  <si>
    <t>ERR13615537</t>
  </si>
  <si>
    <t>ERR13615538</t>
  </si>
  <si>
    <t>ERR13615539</t>
  </si>
  <si>
    <t>ERR13615540</t>
  </si>
  <si>
    <t>ERR13615541</t>
  </si>
  <si>
    <t>ERR13615542</t>
  </si>
  <si>
    <t>Pont de la Corde, Brittany, France</t>
  </si>
  <si>
    <t>Ile de Sein, Brittany, France</t>
  </si>
  <si>
    <t>Finavarra, Co. Clare, Ireland</t>
  </si>
  <si>
    <t>Pargua, Puerto Montt, Chile</t>
  </si>
  <si>
    <t>Brittany, France</t>
  </si>
  <si>
    <t>Perharidy beach, Roscoff, France</t>
  </si>
  <si>
    <t>Muroran, Hokkaido, Japan</t>
  </si>
  <si>
    <t>Koinoura, Japan</t>
  </si>
  <si>
    <t>Mistumatsu, Japan</t>
  </si>
  <si>
    <t>Japan</t>
  </si>
  <si>
    <t>California, USA</t>
  </si>
  <si>
    <t>Fertile adult SP</t>
  </si>
  <si>
    <t>Zygote (1h)</t>
  </si>
  <si>
    <t>Embryo (8h)</t>
  </si>
  <si>
    <t>Egg cell (15min)</t>
  </si>
  <si>
    <t>Sperm (1h)</t>
  </si>
  <si>
    <r>
      <t xml:space="preserve">Equivalent developmental stages in </t>
    </r>
    <r>
      <rPr>
        <b/>
        <i/>
        <sz val="11"/>
        <color theme="1"/>
        <rFont val="Calibri"/>
        <family val="2"/>
        <scheme val="minor"/>
      </rPr>
      <t>Ectocarpus</t>
    </r>
    <r>
      <rPr>
        <b/>
        <sz val="11"/>
        <color theme="1"/>
        <rFont val="Calibri"/>
        <family val="2"/>
        <scheme val="minor"/>
      </rPr>
      <t xml:space="preserve"> and </t>
    </r>
    <r>
      <rPr>
        <b/>
        <i/>
        <sz val="11"/>
        <color theme="1"/>
        <rFont val="Calibri"/>
        <family val="2"/>
        <scheme val="minor"/>
      </rPr>
      <t>Dictyota</t>
    </r>
  </si>
  <si>
    <r>
      <rPr>
        <i/>
        <sz val="11"/>
        <color theme="1"/>
        <rFont val="Calibri"/>
        <family val="2"/>
        <scheme val="minor"/>
      </rPr>
      <t>Ectocarpus</t>
    </r>
    <r>
      <rPr>
        <sz val="11"/>
        <color theme="1"/>
        <rFont val="Calibri"/>
        <family val="2"/>
        <scheme val="minor"/>
      </rPr>
      <t xml:space="preserve"> species 7</t>
    </r>
  </si>
  <si>
    <r>
      <t xml:space="preserve">Bourdareau </t>
    </r>
    <r>
      <rPr>
        <i/>
        <sz val="11"/>
        <color theme="1"/>
        <rFont val="Calibri"/>
        <family val="2"/>
        <scheme val="minor"/>
      </rPr>
      <t>et al</t>
    </r>
    <r>
      <rPr>
        <sz val="11"/>
        <color theme="1"/>
        <rFont val="Calibri"/>
        <family val="2"/>
        <scheme val="minor"/>
      </rPr>
      <t>. 2021</t>
    </r>
  </si>
  <si>
    <r>
      <t xml:space="preserve">Gueno </t>
    </r>
    <r>
      <rPr>
        <i/>
        <sz val="11"/>
        <color theme="1"/>
        <rFont val="Calibri"/>
        <family val="2"/>
        <scheme val="minor"/>
      </rPr>
      <t>et al</t>
    </r>
    <r>
      <rPr>
        <sz val="11"/>
        <color theme="1"/>
        <rFont val="Calibri"/>
        <family val="2"/>
        <scheme val="minor"/>
      </rPr>
      <t>. 2022</t>
    </r>
  </si>
  <si>
    <r>
      <t xml:space="preserve">Luthringer </t>
    </r>
    <r>
      <rPr>
        <i/>
        <sz val="11"/>
        <color theme="1"/>
        <rFont val="Calibri"/>
        <family val="2"/>
        <scheme val="minor"/>
      </rPr>
      <t>et al</t>
    </r>
    <r>
      <rPr>
        <sz val="11"/>
        <color theme="1"/>
        <rFont val="Calibri"/>
        <family val="2"/>
        <scheme val="minor"/>
      </rPr>
      <t>. 2015</t>
    </r>
  </si>
  <si>
    <r>
      <t xml:space="preserve">Ahmed </t>
    </r>
    <r>
      <rPr>
        <i/>
        <sz val="11"/>
        <color theme="1"/>
        <rFont val="Calibri"/>
        <family val="2"/>
        <scheme val="minor"/>
      </rPr>
      <t>et al</t>
    </r>
    <r>
      <rPr>
        <sz val="11"/>
        <color theme="1"/>
        <rFont val="Calibri"/>
        <family val="2"/>
        <scheme val="minor"/>
      </rPr>
      <t>. 2014</t>
    </r>
  </si>
  <si>
    <r>
      <t xml:space="preserve">Arun </t>
    </r>
    <r>
      <rPr>
        <i/>
        <sz val="11"/>
        <color theme="1"/>
        <rFont val="Calibri"/>
        <family val="2"/>
        <scheme val="minor"/>
      </rPr>
      <t>et al</t>
    </r>
    <r>
      <rPr>
        <sz val="11"/>
        <color theme="1"/>
        <rFont val="Calibri"/>
        <family val="2"/>
        <scheme val="minor"/>
      </rPr>
      <t>. 2019</t>
    </r>
  </si>
  <si>
    <r>
      <t xml:space="preserve">Godfroy </t>
    </r>
    <r>
      <rPr>
        <i/>
        <sz val="11"/>
        <color theme="1"/>
        <rFont val="Calibri"/>
        <family val="2"/>
        <scheme val="minor"/>
      </rPr>
      <t>et al</t>
    </r>
    <r>
      <rPr>
        <sz val="11"/>
        <color theme="1"/>
        <rFont val="Calibri"/>
        <family val="2"/>
        <scheme val="minor"/>
      </rPr>
      <t>. 2023</t>
    </r>
  </si>
  <si>
    <r>
      <t xml:space="preserve">Lipinska </t>
    </r>
    <r>
      <rPr>
        <i/>
        <sz val="11"/>
        <color theme="1"/>
        <rFont val="Calibri"/>
        <family val="2"/>
        <scheme val="minor"/>
      </rPr>
      <t>et al</t>
    </r>
    <r>
      <rPr>
        <sz val="11"/>
        <color theme="1"/>
        <rFont val="Calibri"/>
        <family val="2"/>
        <scheme val="minor"/>
      </rPr>
      <t>. 2017</t>
    </r>
  </si>
  <si>
    <r>
      <t xml:space="preserve">Bogaert </t>
    </r>
    <r>
      <rPr>
        <i/>
        <sz val="11"/>
        <color theme="1"/>
        <rFont val="Calibri"/>
        <family val="2"/>
        <scheme val="minor"/>
      </rPr>
      <t>et al</t>
    </r>
    <r>
      <rPr>
        <sz val="11"/>
        <color theme="1"/>
        <rFont val="Calibri"/>
        <family val="2"/>
        <scheme val="minor"/>
      </rPr>
      <t>. 2017</t>
    </r>
  </si>
  <si>
    <r>
      <t xml:space="preserve">Denoeud, Godfroy </t>
    </r>
    <r>
      <rPr>
        <i/>
        <sz val="11"/>
        <color theme="1"/>
        <rFont val="Calibri"/>
        <family val="2"/>
        <scheme val="minor"/>
      </rPr>
      <t>et al</t>
    </r>
    <r>
      <rPr>
        <sz val="11"/>
        <color theme="1"/>
        <rFont val="Calibri"/>
        <family val="2"/>
        <scheme val="minor"/>
      </rPr>
      <t>. 2024</t>
    </r>
  </si>
  <si>
    <r>
      <t xml:space="preserve">Salavarría </t>
    </r>
    <r>
      <rPr>
        <i/>
        <sz val="11"/>
        <color theme="1"/>
        <rFont val="Calibri"/>
        <family val="2"/>
        <scheme val="minor"/>
      </rPr>
      <t>et al</t>
    </r>
    <r>
      <rPr>
        <sz val="11"/>
        <color theme="1"/>
        <rFont val="Calibri"/>
        <family val="2"/>
        <scheme val="minor"/>
      </rPr>
      <t>. 2018</t>
    </r>
  </si>
  <si>
    <r>
      <t xml:space="preserve">Cossard </t>
    </r>
    <r>
      <rPr>
        <i/>
        <sz val="11"/>
        <color theme="1"/>
        <rFont val="Calibri"/>
        <family val="2"/>
        <scheme val="minor"/>
      </rPr>
      <t>et al</t>
    </r>
    <r>
      <rPr>
        <sz val="11"/>
        <color theme="1"/>
        <rFont val="Calibri"/>
        <family val="2"/>
        <scheme val="minor"/>
      </rPr>
      <t>. 2022</t>
    </r>
  </si>
  <si>
    <r>
      <t xml:space="preserve">Teng  </t>
    </r>
    <r>
      <rPr>
        <i/>
        <sz val="11"/>
        <color theme="1"/>
        <rFont val="Calibri"/>
        <family val="2"/>
        <scheme val="minor"/>
      </rPr>
      <t>et al</t>
    </r>
    <r>
      <rPr>
        <sz val="11"/>
        <color theme="1"/>
        <rFont val="Calibri"/>
        <family val="2"/>
        <scheme val="minor"/>
      </rPr>
      <t>. 2017</t>
    </r>
  </si>
  <si>
    <r>
      <t xml:space="preserve">Lipinska </t>
    </r>
    <r>
      <rPr>
        <i/>
        <sz val="11"/>
        <color theme="1"/>
        <rFont val="Calibri"/>
        <family val="2"/>
        <scheme val="minor"/>
      </rPr>
      <t>et al</t>
    </r>
    <r>
      <rPr>
        <sz val="11"/>
        <color theme="1"/>
        <rFont val="Calibri"/>
        <family val="2"/>
        <scheme val="minor"/>
      </rPr>
      <t>. 2019</t>
    </r>
  </si>
  <si>
    <r>
      <t xml:space="preserve">Monteiro </t>
    </r>
    <r>
      <rPr>
        <i/>
        <sz val="11"/>
        <color theme="1"/>
        <rFont val="Calibri"/>
        <family val="2"/>
        <scheme val="minor"/>
      </rPr>
      <t>et al</t>
    </r>
    <r>
      <rPr>
        <sz val="11"/>
        <color theme="1"/>
        <rFont val="Calibri"/>
        <family val="2"/>
        <scheme val="minor"/>
      </rPr>
      <t>. 2019</t>
    </r>
  </si>
  <si>
    <t>stranded</t>
  </si>
  <si>
    <t xml:space="preserve">Number of aligned reads assigned to gene features </t>
  </si>
  <si>
    <t>RNA_Mcla04f-1</t>
  </si>
  <si>
    <t>RNA_Mcla04f-3</t>
  </si>
  <si>
    <t>RNA_Mcla04f-4</t>
  </si>
  <si>
    <t>RNA_SXS30-1</t>
  </si>
  <si>
    <t>RNA_SXS30-3</t>
  </si>
  <si>
    <t>RNA_SXS30-4</t>
  </si>
  <si>
    <t>pSP initial cell (24h)</t>
  </si>
  <si>
    <t>Elongating pSP initial cell (48h)</t>
  </si>
  <si>
    <t>pSP 2-5 cell stage</t>
  </si>
  <si>
    <t>Non-fertile adult pSP basal</t>
  </si>
  <si>
    <t>Non-fertile adult pSP</t>
  </si>
  <si>
    <t>Non-fertile adult pSP upright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</si>
</sst>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\ * #,##0.00\ ;\-* #,##0.00\ ;\ * \-#\ ;\ @\ "/>
    <numFmt numFmtId="165" formatCode="\ * #,##0\ ;\-* #,##0\ ;\ * \-#\ ;\ @\ "/>
    <numFmt numFmtId="169" formatCode="_-* #,##0_-;\-* #,##0_-;_-* &quot;-&quot;??_-;_-@_-"/>
  </numFmts>
  <fonts count="1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800000"/>
      <name val="Calibri"/>
      <family val="2"/>
      <charset val="1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164" fontId="3" fillId="0" borderId="0" applyBorder="0" applyProtection="0"/>
    <xf numFmtId="0" fontId="2" fillId="0" borderId="0"/>
    <xf numFmtId="0" fontId="4" fillId="0" borderId="0"/>
    <xf numFmtId="0" fontId="5" fillId="0" borderId="0"/>
  </cellStyleXfs>
  <cellXfs count="68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quotePrefix="1" applyFont="1" applyAlignment="1">
      <alignment horizontal="center" vertical="center"/>
    </xf>
    <xf numFmtId="165" fontId="6" fillId="0" borderId="0" xfId="1" applyNumberFormat="1" applyFont="1"/>
    <xf numFmtId="0" fontId="9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165" fontId="6" fillId="0" borderId="0" xfId="1" applyNumberFormat="1" applyFont="1" applyFill="1"/>
    <xf numFmtId="0" fontId="6" fillId="0" borderId="0" xfId="0" quotePrefix="1" applyFont="1" applyFill="1" applyAlignment="1">
      <alignment horizontal="center" vertical="center"/>
    </xf>
    <xf numFmtId="165" fontId="6" fillId="0" borderId="0" xfId="1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quotePrefix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41" fontId="6" fillId="0" borderId="0" xfId="0" applyNumberFormat="1" applyFont="1" applyBorder="1" applyAlignment="1">
      <alignment horizontal="right" vertical="center"/>
    </xf>
    <xf numFmtId="41" fontId="6" fillId="0" borderId="0" xfId="0" applyNumberFormat="1" applyFont="1" applyBorder="1" applyAlignment="1">
      <alignment vertical="center"/>
    </xf>
    <xf numFmtId="0" fontId="6" fillId="0" borderId="0" xfId="3" applyFont="1" applyFill="1" applyAlignment="1">
      <alignment horizontal="center" vertical="center"/>
    </xf>
    <xf numFmtId="0" fontId="6" fillId="0" borderId="0" xfId="3" applyFont="1" applyAlignment="1">
      <alignment horizontal="center" vertical="center"/>
    </xf>
    <xf numFmtId="169" fontId="6" fillId="0" borderId="0" xfId="0" applyNumberFormat="1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horizontal="right" vertical="center"/>
    </xf>
    <xf numFmtId="41" fontId="6" fillId="0" borderId="0" xfId="1" applyNumberFormat="1" applyFont="1" applyBorder="1" applyAlignment="1">
      <alignment horizontal="right" vertical="center"/>
    </xf>
    <xf numFmtId="169" fontId="6" fillId="0" borderId="0" xfId="0" applyNumberFormat="1" applyFont="1" applyBorder="1" applyAlignment="1">
      <alignment horizontal="center" vertical="center"/>
    </xf>
    <xf numFmtId="41" fontId="6" fillId="0" borderId="0" xfId="0" applyNumberFormat="1" applyFont="1" applyFill="1" applyBorder="1" applyAlignment="1">
      <alignment vertical="center"/>
    </xf>
    <xf numFmtId="1" fontId="6" fillId="0" borderId="0" xfId="0" applyNumberFormat="1" applyFont="1" applyAlignment="1">
      <alignment horizontal="center" vertical="center"/>
    </xf>
    <xf numFmtId="1" fontId="6" fillId="0" borderId="0" xfId="1" applyNumberFormat="1" applyFont="1" applyAlignment="1">
      <alignment horizontal="center"/>
    </xf>
    <xf numFmtId="1" fontId="6" fillId="0" borderId="0" xfId="0" applyNumberFormat="1" applyFont="1" applyFill="1" applyAlignment="1">
      <alignment horizontal="center" vertical="center"/>
    </xf>
    <xf numFmtId="1" fontId="6" fillId="0" borderId="0" xfId="1" applyNumberFormat="1" applyFont="1" applyFill="1" applyAlignment="1">
      <alignment horizontal="center"/>
    </xf>
    <xf numFmtId="1" fontId="6" fillId="0" borderId="0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6" fillId="0" borderId="0" xfId="0" quotePrefix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</cellXfs>
  <cellStyles count="5">
    <cellStyle name="Comma" xfId="1" builtinId="3"/>
    <cellStyle name="Excel Built-in Explanatory Text" xfId="3" xr:uid="{906755DD-F9D6-4A66-9ADB-98AD06BBDCB8}"/>
    <cellStyle name="Explanatory Text" xfId="2" builtinId="53" customBuiltin="1"/>
    <cellStyle name="Normal" xfId="0" builtinId="0"/>
    <cellStyle name="Normal 2" xfId="4" xr:uid="{BFBADEEF-3A20-F944-A8D7-F5B3E1FF34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2CC"/>
      <rgbColor rgb="FFDDDDDD"/>
      <rgbColor rgb="FFFBE5D6"/>
      <rgbColor rgb="FFE7E6E6"/>
      <rgbColor rgb="FFFFCCCC"/>
      <rgbColor rgb="FF3366FF"/>
      <rgbColor rgb="FF33CCCC"/>
      <rgbColor rgb="FF89C765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cbi.nlm.nih.gov/sra?term=SRX7847714" TargetMode="External"/><Relationship Id="rId3" Type="http://schemas.openxmlformats.org/officeDocument/2006/relationships/hyperlink" Target="https://trace.ncbi.nlm.nih.gov/Traces?run=SRR3108630" TargetMode="External"/><Relationship Id="rId7" Type="http://schemas.openxmlformats.org/officeDocument/2006/relationships/hyperlink" Target="https://www.ncbi.nlm.nih.gov/sra?term=SRX7847713" TargetMode="External"/><Relationship Id="rId2" Type="http://schemas.openxmlformats.org/officeDocument/2006/relationships/hyperlink" Target="https://www.ncbi.nlm.nih.gov/sra?term=SRX7847733" TargetMode="External"/><Relationship Id="rId1" Type="http://schemas.openxmlformats.org/officeDocument/2006/relationships/hyperlink" Target="https://www.ncbi.nlm.nih.gov/sra?term=SRX7847732" TargetMode="External"/><Relationship Id="rId6" Type="http://schemas.openxmlformats.org/officeDocument/2006/relationships/hyperlink" Target="https://www.ncbi.nlm.nih.gov/sra?term=SRX7848054" TargetMode="External"/><Relationship Id="rId5" Type="http://schemas.openxmlformats.org/officeDocument/2006/relationships/hyperlink" Target="https://www.ncbi.nlm.nih.gov/sra?term=SRX7848053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trace.ncbi.nlm.nih.gov/Traces?run=SRR3108631" TargetMode="External"/><Relationship Id="rId9" Type="http://schemas.openxmlformats.org/officeDocument/2006/relationships/hyperlink" Target="https://www.ncbi.nlm.nih.gov/sra/?term=SRR502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M240"/>
  <sheetViews>
    <sheetView tabSelected="1" zoomScale="90" zoomScaleNormal="90" workbookViewId="0">
      <pane xSplit="5" ySplit="2" topLeftCell="F31" activePane="bottomRight" state="frozen"/>
      <selection pane="topRight" activeCell="B1" sqref="B1"/>
      <selection pane="bottomLeft" activeCell="A3" sqref="A3"/>
      <selection pane="bottomRight" activeCell="F1" sqref="F1:F1048576"/>
    </sheetView>
  </sheetViews>
  <sheetFormatPr baseColWidth="10" defaultColWidth="8.6640625" defaultRowHeight="15" x14ac:dyDescent="0.2"/>
  <cols>
    <col min="1" max="1" width="8.6640625" style="3"/>
    <col min="2" max="2" width="27.6640625" style="1" bestFit="1" customWidth="1"/>
    <col min="3" max="3" width="16.1640625" style="7" customWidth="1"/>
    <col min="4" max="4" width="23.5" style="7" bestFit="1" customWidth="1"/>
    <col min="5" max="5" width="56.83203125" style="7" customWidth="1"/>
    <col min="6" max="6" width="21.33203125" style="1" bestFit="1" customWidth="1"/>
    <col min="7" max="8" width="21.33203125" style="1" customWidth="1"/>
    <col min="9" max="9" width="23.83203125" style="1" bestFit="1" customWidth="1"/>
    <col min="10" max="11" width="24.6640625" style="2" customWidth="1"/>
    <col min="12" max="12" width="21.6640625" style="1" bestFit="1" customWidth="1"/>
    <col min="13" max="13" width="21.5" style="1" customWidth="1"/>
    <col min="14" max="14" width="19.5" style="1" customWidth="1"/>
    <col min="15" max="15" width="14.1640625" style="1" customWidth="1"/>
    <col min="16" max="16" width="74.33203125" style="1" customWidth="1"/>
    <col min="17" max="17" width="27.6640625" style="1" bestFit="1" customWidth="1"/>
    <col min="18" max="18" width="10.5" style="1" customWidth="1"/>
    <col min="19" max="19" width="14.1640625" style="7" customWidth="1"/>
    <col min="20" max="20" width="13.83203125" style="7" customWidth="1"/>
    <col min="21" max="21" width="14.5" style="7" customWidth="1"/>
    <col min="22" max="22" width="17.1640625" style="7" customWidth="1"/>
    <col min="23" max="23" width="16.5" style="39" bestFit="1" customWidth="1"/>
    <col min="24" max="24" width="31.1640625" style="6" bestFit="1" customWidth="1"/>
    <col min="25" max="25" width="17" style="6" bestFit="1" customWidth="1"/>
    <col min="26" max="26" width="18.33203125" style="6" bestFit="1" customWidth="1"/>
    <col min="27" max="27" width="21.83203125" style="6" bestFit="1" customWidth="1"/>
    <col min="28" max="28" width="15.5" style="6" bestFit="1" customWidth="1"/>
    <col min="29" max="29" width="27.6640625" style="6" bestFit="1" customWidth="1"/>
    <col min="30" max="1022" width="10.5" style="7" customWidth="1"/>
    <col min="1023" max="16384" width="8.6640625" style="8"/>
  </cols>
  <sheetData>
    <row r="1" spans="1:1027" x14ac:dyDescent="0.2">
      <c r="C1" s="4"/>
      <c r="D1" s="4" t="s">
        <v>230</v>
      </c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4"/>
      <c r="Q1" s="4"/>
      <c r="R1" s="4"/>
      <c r="S1" s="4"/>
      <c r="T1" s="63" t="s">
        <v>237</v>
      </c>
      <c r="U1" s="64"/>
      <c r="V1" s="65"/>
      <c r="W1" s="47" t="s">
        <v>171</v>
      </c>
      <c r="AD1" s="6"/>
      <c r="AE1" s="6"/>
      <c r="AF1" s="6"/>
      <c r="AG1" s="6"/>
      <c r="AH1" s="6"/>
      <c r="AMI1" s="7"/>
      <c r="AMJ1" s="7"/>
      <c r="AMK1" s="7"/>
      <c r="AML1" s="7"/>
      <c r="AMM1" s="7"/>
    </row>
    <row r="2" spans="1:1027" s="1" customFormat="1" ht="80" x14ac:dyDescent="0.2">
      <c r="A2" s="9" t="s">
        <v>815</v>
      </c>
      <c r="B2" s="9" t="s">
        <v>816</v>
      </c>
      <c r="C2" s="9" t="s">
        <v>959</v>
      </c>
      <c r="D2" s="9" t="s">
        <v>490</v>
      </c>
      <c r="E2" s="9" t="s">
        <v>494</v>
      </c>
      <c r="F2" s="9" t="s">
        <v>498</v>
      </c>
      <c r="G2" s="9" t="s">
        <v>499</v>
      </c>
      <c r="H2" s="9" t="s">
        <v>500</v>
      </c>
      <c r="I2" s="9" t="s">
        <v>501</v>
      </c>
      <c r="J2" s="10" t="s">
        <v>176</v>
      </c>
      <c r="K2" s="10" t="s">
        <v>915</v>
      </c>
      <c r="L2" s="9" t="s">
        <v>177</v>
      </c>
      <c r="M2" s="9" t="s">
        <v>492</v>
      </c>
      <c r="N2" s="9" t="s">
        <v>122</v>
      </c>
      <c r="O2" s="9" t="s">
        <v>80</v>
      </c>
      <c r="P2" s="9" t="s">
        <v>229</v>
      </c>
      <c r="Q2" s="9" t="s">
        <v>503</v>
      </c>
      <c r="R2" s="9" t="s">
        <v>228</v>
      </c>
      <c r="S2" s="9" t="s">
        <v>123</v>
      </c>
      <c r="T2" s="9" t="s">
        <v>226</v>
      </c>
      <c r="U2" s="9" t="s">
        <v>225</v>
      </c>
      <c r="V2" s="9" t="s">
        <v>227</v>
      </c>
      <c r="W2" s="48" t="s">
        <v>976</v>
      </c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1027" x14ac:dyDescent="0.2">
      <c r="A3" s="16" t="s">
        <v>643</v>
      </c>
      <c r="B3" s="1" t="s">
        <v>933</v>
      </c>
      <c r="C3" s="12" t="s">
        <v>21</v>
      </c>
      <c r="D3" s="1" t="s">
        <v>960</v>
      </c>
      <c r="E3" s="7" t="s">
        <v>22</v>
      </c>
      <c r="F3" s="1" t="s">
        <v>817</v>
      </c>
      <c r="G3" s="1" t="s">
        <v>818</v>
      </c>
      <c r="H3" s="1" t="s">
        <v>7</v>
      </c>
      <c r="I3" s="1" t="s">
        <v>820</v>
      </c>
      <c r="J3" s="2" t="s">
        <v>961</v>
      </c>
      <c r="K3" s="2" t="s">
        <v>917</v>
      </c>
      <c r="L3" s="1" t="s">
        <v>1</v>
      </c>
      <c r="M3" s="1" t="s">
        <v>497</v>
      </c>
      <c r="N3" s="1" t="s">
        <v>235</v>
      </c>
      <c r="O3" s="1" t="s">
        <v>232</v>
      </c>
      <c r="P3" s="1" t="s">
        <v>240</v>
      </c>
      <c r="Q3" s="1" t="s">
        <v>98</v>
      </c>
      <c r="R3" s="1">
        <v>1</v>
      </c>
      <c r="S3" s="42" t="s">
        <v>975</v>
      </c>
      <c r="T3" s="13">
        <v>86848909</v>
      </c>
      <c r="U3" s="13">
        <f>T3-211345-10383</f>
        <v>86627181</v>
      </c>
      <c r="V3" s="13">
        <v>13027336350</v>
      </c>
      <c r="W3" s="38">
        <v>43605165</v>
      </c>
      <c r="X3" s="14"/>
      <c r="Y3" s="15"/>
      <c r="Z3" s="15"/>
      <c r="AA3" s="15"/>
      <c r="AB3" s="15"/>
      <c r="AC3" s="15"/>
      <c r="AD3" s="15"/>
      <c r="AE3" s="15"/>
      <c r="AF3" s="15"/>
      <c r="AG3" s="15"/>
      <c r="AH3" s="15"/>
      <c r="AMI3" s="7"/>
      <c r="AMJ3" s="7"/>
      <c r="AMK3" s="7"/>
      <c r="AML3" s="7"/>
      <c r="AMM3" s="7"/>
    </row>
    <row r="4" spans="1:1027" x14ac:dyDescent="0.2">
      <c r="A4" s="16" t="s">
        <v>643</v>
      </c>
      <c r="B4" s="1" t="s">
        <v>933</v>
      </c>
      <c r="C4" s="12" t="s">
        <v>21</v>
      </c>
      <c r="D4" s="1" t="s">
        <v>960</v>
      </c>
      <c r="E4" s="7" t="s">
        <v>23</v>
      </c>
      <c r="F4" s="1" t="s">
        <v>817</v>
      </c>
      <c r="G4" s="1" t="s">
        <v>818</v>
      </c>
      <c r="H4" s="1" t="s">
        <v>8</v>
      </c>
      <c r="I4" s="1" t="s">
        <v>819</v>
      </c>
      <c r="J4" s="2" t="s">
        <v>961</v>
      </c>
      <c r="K4" s="2" t="s">
        <v>917</v>
      </c>
      <c r="L4" s="1" t="s">
        <v>1</v>
      </c>
      <c r="M4" s="1" t="s">
        <v>497</v>
      </c>
      <c r="N4" s="1" t="s">
        <v>235</v>
      </c>
      <c r="O4" s="1" t="s">
        <v>232</v>
      </c>
      <c r="P4" s="1" t="s">
        <v>240</v>
      </c>
      <c r="Q4" s="1" t="s">
        <v>99</v>
      </c>
      <c r="R4" s="1">
        <v>2</v>
      </c>
      <c r="S4" s="42" t="s">
        <v>975</v>
      </c>
      <c r="T4" s="13">
        <v>82981730</v>
      </c>
      <c r="U4" s="13">
        <f>T4-391471-9635</f>
        <v>82580624</v>
      </c>
      <c r="V4" s="13">
        <v>12447259500</v>
      </c>
      <c r="W4" s="38">
        <v>43490894</v>
      </c>
      <c r="X4" s="14"/>
      <c r="Y4" s="15"/>
      <c r="Z4" s="15"/>
      <c r="AA4" s="15"/>
      <c r="AB4" s="15"/>
      <c r="AC4" s="15"/>
      <c r="AD4" s="15"/>
      <c r="AE4" s="15"/>
      <c r="AF4" s="15"/>
      <c r="AG4" s="15"/>
      <c r="AH4" s="15"/>
      <c r="AMI4" s="7"/>
      <c r="AMJ4" s="7"/>
      <c r="AMK4" s="7"/>
      <c r="AML4" s="7"/>
      <c r="AMM4" s="7"/>
    </row>
    <row r="5" spans="1:1027" x14ac:dyDescent="0.2">
      <c r="A5" s="16" t="s">
        <v>643</v>
      </c>
      <c r="B5" s="1" t="s">
        <v>933</v>
      </c>
      <c r="C5" s="12" t="s">
        <v>21</v>
      </c>
      <c r="D5" s="1" t="s">
        <v>960</v>
      </c>
      <c r="E5" s="7" t="s">
        <v>24</v>
      </c>
      <c r="F5" s="1" t="s">
        <v>822</v>
      </c>
      <c r="G5" s="1" t="s">
        <v>821</v>
      </c>
      <c r="H5" s="1" t="s">
        <v>173</v>
      </c>
      <c r="I5" s="1" t="s">
        <v>823</v>
      </c>
      <c r="J5" s="2" t="s">
        <v>961</v>
      </c>
      <c r="K5" s="2" t="s">
        <v>917</v>
      </c>
      <c r="L5" s="1" t="s">
        <v>1</v>
      </c>
      <c r="M5" s="1" t="s">
        <v>497</v>
      </c>
      <c r="N5" s="1" t="s">
        <v>235</v>
      </c>
      <c r="O5" s="1" t="s">
        <v>232</v>
      </c>
      <c r="P5" s="1" t="s">
        <v>240</v>
      </c>
      <c r="Q5" s="1" t="s">
        <v>100</v>
      </c>
      <c r="R5" s="1">
        <v>3</v>
      </c>
      <c r="S5" s="42" t="s">
        <v>975</v>
      </c>
      <c r="T5" s="13">
        <v>65894981</v>
      </c>
      <c r="U5" s="13">
        <f>T5-191442-36311</f>
        <v>65667228</v>
      </c>
      <c r="V5" s="13">
        <v>9884247150</v>
      </c>
      <c r="W5" s="38">
        <v>31303267</v>
      </c>
      <c r="X5" s="14"/>
      <c r="Y5" s="15"/>
      <c r="Z5" s="15"/>
      <c r="AA5" s="15"/>
      <c r="AB5" s="15"/>
      <c r="AC5" s="15"/>
      <c r="AD5" s="15"/>
      <c r="AE5" s="15"/>
      <c r="AF5" s="15"/>
      <c r="AG5" s="15"/>
      <c r="AH5" s="15"/>
      <c r="AMI5" s="7"/>
      <c r="AMJ5" s="7"/>
      <c r="AMK5" s="7"/>
      <c r="AML5" s="7"/>
      <c r="AMM5" s="7"/>
    </row>
    <row r="6" spans="1:1027" x14ac:dyDescent="0.2">
      <c r="A6" s="16" t="s">
        <v>643</v>
      </c>
      <c r="B6" s="1" t="s">
        <v>933</v>
      </c>
      <c r="C6" s="12" t="s">
        <v>21</v>
      </c>
      <c r="D6" s="1" t="s">
        <v>960</v>
      </c>
      <c r="E6" s="7" t="s">
        <v>25</v>
      </c>
      <c r="F6" s="1" t="s">
        <v>824</v>
      </c>
      <c r="G6" s="1" t="s">
        <v>825</v>
      </c>
      <c r="H6" s="1" t="s">
        <v>9</v>
      </c>
      <c r="I6" s="1" t="s">
        <v>826</v>
      </c>
      <c r="J6" s="2" t="s">
        <v>961</v>
      </c>
      <c r="K6" s="2" t="s">
        <v>917</v>
      </c>
      <c r="L6" s="1" t="s">
        <v>1</v>
      </c>
      <c r="M6" s="1" t="s">
        <v>497</v>
      </c>
      <c r="N6" s="1" t="s">
        <v>235</v>
      </c>
      <c r="O6" s="1" t="s">
        <v>232</v>
      </c>
      <c r="P6" s="1" t="s">
        <v>240</v>
      </c>
      <c r="Q6" s="1" t="s">
        <v>101</v>
      </c>
      <c r="R6" s="1">
        <v>4</v>
      </c>
      <c r="S6" s="42" t="s">
        <v>975</v>
      </c>
      <c r="T6" s="13">
        <v>90592231</v>
      </c>
      <c r="U6" s="13">
        <f>T6-287293-48707</f>
        <v>90256231</v>
      </c>
      <c r="V6" s="13">
        <v>13588834650</v>
      </c>
      <c r="W6" s="38">
        <v>43413554</v>
      </c>
      <c r="X6" s="14"/>
      <c r="Y6" s="15"/>
      <c r="Z6" s="15"/>
      <c r="AA6" s="15"/>
      <c r="AB6" s="15"/>
      <c r="AC6" s="15"/>
      <c r="AD6" s="15"/>
      <c r="AE6" s="15"/>
      <c r="AF6" s="15"/>
      <c r="AG6" s="15"/>
      <c r="AH6" s="15"/>
      <c r="AMI6" s="7"/>
      <c r="AMJ6" s="7"/>
      <c r="AMK6" s="7"/>
      <c r="AML6" s="7"/>
      <c r="AMM6" s="7"/>
    </row>
    <row r="7" spans="1:1027" s="15" customFormat="1" x14ac:dyDescent="0.2">
      <c r="A7" s="67"/>
      <c r="B7" s="49" t="s">
        <v>933</v>
      </c>
      <c r="C7" s="62" t="s">
        <v>21</v>
      </c>
      <c r="D7" s="49" t="s">
        <v>960</v>
      </c>
      <c r="E7" s="6" t="s">
        <v>28</v>
      </c>
      <c r="F7" s="49" t="s">
        <v>827</v>
      </c>
      <c r="G7" s="49" t="s">
        <v>828</v>
      </c>
      <c r="H7" s="49" t="s">
        <v>174</v>
      </c>
      <c r="I7" s="49" t="s">
        <v>829</v>
      </c>
      <c r="J7" s="49" t="s">
        <v>962</v>
      </c>
      <c r="K7" s="49" t="s">
        <v>921</v>
      </c>
      <c r="L7" s="49" t="s">
        <v>178</v>
      </c>
      <c r="M7" s="49" t="s">
        <v>497</v>
      </c>
      <c r="N7" s="49" t="s">
        <v>235</v>
      </c>
      <c r="O7" s="49" t="s">
        <v>232</v>
      </c>
      <c r="P7" s="49" t="s">
        <v>240</v>
      </c>
      <c r="Q7" s="49" t="s">
        <v>92</v>
      </c>
      <c r="R7" s="49">
        <v>1</v>
      </c>
      <c r="S7" s="55" t="s">
        <v>975</v>
      </c>
      <c r="T7" s="17">
        <v>77444834</v>
      </c>
      <c r="U7" s="17">
        <f>T7-1085008</f>
        <v>76359826</v>
      </c>
      <c r="V7" s="17">
        <v>11616725100</v>
      </c>
      <c r="W7" s="61">
        <f>24029186</f>
        <v>24029186</v>
      </c>
      <c r="X7" s="14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  <c r="AMF7" s="6"/>
      <c r="AMG7" s="6"/>
      <c r="AMH7" s="6"/>
      <c r="AMI7" s="6"/>
      <c r="AMJ7" s="6"/>
      <c r="AMK7" s="6"/>
      <c r="AML7" s="6"/>
      <c r="AMM7" s="6"/>
    </row>
    <row r="8" spans="1:1027" s="15" customFormat="1" x14ac:dyDescent="0.2">
      <c r="A8" s="67"/>
      <c r="B8" s="49"/>
      <c r="C8" s="49"/>
      <c r="D8" s="49"/>
      <c r="E8" s="6" t="s">
        <v>29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17">
        <v>77444834</v>
      </c>
      <c r="U8" s="17">
        <f>T8-1085008</f>
        <v>76359826</v>
      </c>
      <c r="V8" s="17">
        <v>11616725100</v>
      </c>
      <c r="W8" s="61"/>
      <c r="X8" s="14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</row>
    <row r="9" spans="1:1027" s="15" customFormat="1" x14ac:dyDescent="0.2">
      <c r="A9" s="66"/>
      <c r="B9" s="49" t="s">
        <v>933</v>
      </c>
      <c r="C9" s="62" t="s">
        <v>21</v>
      </c>
      <c r="D9" s="49" t="s">
        <v>960</v>
      </c>
      <c r="E9" s="6" t="s">
        <v>30</v>
      </c>
      <c r="F9" s="49" t="s">
        <v>827</v>
      </c>
      <c r="G9" s="49" t="s">
        <v>830</v>
      </c>
      <c r="H9" s="49" t="s">
        <v>175</v>
      </c>
      <c r="I9" s="49" t="s">
        <v>831</v>
      </c>
      <c r="J9" s="49" t="s">
        <v>962</v>
      </c>
      <c r="K9" s="49" t="s">
        <v>921</v>
      </c>
      <c r="L9" s="49" t="s">
        <v>178</v>
      </c>
      <c r="M9" s="49" t="s">
        <v>497</v>
      </c>
      <c r="N9" s="49" t="s">
        <v>235</v>
      </c>
      <c r="O9" s="49" t="s">
        <v>232</v>
      </c>
      <c r="P9" s="49" t="s">
        <v>240</v>
      </c>
      <c r="Q9" s="49" t="s">
        <v>93</v>
      </c>
      <c r="R9" s="49">
        <v>2</v>
      </c>
      <c r="S9" s="55" t="s">
        <v>975</v>
      </c>
      <c r="T9" s="17">
        <v>83682344</v>
      </c>
      <c r="U9" s="17">
        <f>T9-1163360</f>
        <v>82518984</v>
      </c>
      <c r="V9" s="17">
        <v>12552351600</v>
      </c>
      <c r="W9" s="61">
        <f>27354228</f>
        <v>27354228</v>
      </c>
      <c r="X9" s="14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  <c r="AMK9" s="6"/>
      <c r="AML9" s="6"/>
      <c r="AMM9" s="6"/>
    </row>
    <row r="10" spans="1:1027" s="15" customFormat="1" x14ac:dyDescent="0.2">
      <c r="A10" s="66"/>
      <c r="B10" s="49"/>
      <c r="C10" s="49"/>
      <c r="D10" s="49"/>
      <c r="E10" s="6" t="s">
        <v>31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17">
        <v>83682344</v>
      </c>
      <c r="U10" s="17">
        <f>T10-1163360</f>
        <v>82518984</v>
      </c>
      <c r="V10" s="17">
        <v>12552351600</v>
      </c>
      <c r="W10" s="61"/>
      <c r="X10" s="14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  <c r="AMG10" s="6"/>
      <c r="AMH10" s="6"/>
      <c r="AMI10" s="6"/>
      <c r="AMJ10" s="6"/>
      <c r="AMK10" s="6"/>
      <c r="AML10" s="6"/>
      <c r="AMM10" s="6"/>
    </row>
    <row r="11" spans="1:1027" s="15" customFormat="1" x14ac:dyDescent="0.2">
      <c r="A11" s="16"/>
      <c r="B11" s="1" t="s">
        <v>933</v>
      </c>
      <c r="C11" s="2" t="s">
        <v>232</v>
      </c>
      <c r="D11" s="2" t="s">
        <v>960</v>
      </c>
      <c r="E11" s="6" t="s">
        <v>40</v>
      </c>
      <c r="F11" s="2" t="s">
        <v>833</v>
      </c>
      <c r="G11" s="2" t="s">
        <v>834</v>
      </c>
      <c r="H11" s="2" t="s">
        <v>832</v>
      </c>
      <c r="I11" s="2" t="s">
        <v>191</v>
      </c>
      <c r="J11" s="2" t="s">
        <v>963</v>
      </c>
      <c r="K11" s="2" t="s">
        <v>922</v>
      </c>
      <c r="L11" s="2" t="s">
        <v>10</v>
      </c>
      <c r="M11" s="2" t="s">
        <v>497</v>
      </c>
      <c r="N11" s="2" t="s">
        <v>235</v>
      </c>
      <c r="O11" s="2" t="s">
        <v>232</v>
      </c>
      <c r="P11" s="2" t="s">
        <v>241</v>
      </c>
      <c r="Q11" s="2" t="s">
        <v>108</v>
      </c>
      <c r="R11" s="2">
        <v>1</v>
      </c>
      <c r="S11" s="42" t="s">
        <v>975</v>
      </c>
      <c r="T11" s="17">
        <v>80602259</v>
      </c>
      <c r="U11" s="17">
        <f>T11-2118235-43142</f>
        <v>78440882</v>
      </c>
      <c r="V11" s="17">
        <v>8060225900</v>
      </c>
      <c r="W11" s="40">
        <v>43980222</v>
      </c>
      <c r="X11" s="14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  <c r="AJY11" s="6"/>
      <c r="AJZ11" s="6"/>
      <c r="AKA11" s="6"/>
      <c r="AKB11" s="6"/>
      <c r="AKC11" s="6"/>
      <c r="AKD11" s="6"/>
      <c r="AKE11" s="6"/>
      <c r="AKF11" s="6"/>
      <c r="AKG11" s="6"/>
      <c r="AKH11" s="6"/>
      <c r="AKI11" s="6"/>
      <c r="AKJ11" s="6"/>
      <c r="AKK11" s="6"/>
      <c r="AKL11" s="6"/>
      <c r="AKM11" s="6"/>
      <c r="AKN11" s="6"/>
      <c r="AKO11" s="6"/>
      <c r="AKP11" s="6"/>
      <c r="AKQ11" s="6"/>
      <c r="AKR11" s="6"/>
      <c r="AKS11" s="6"/>
      <c r="AKT11" s="6"/>
      <c r="AKU11" s="6"/>
      <c r="AKV11" s="6"/>
      <c r="AKW11" s="6"/>
      <c r="AKX11" s="6"/>
      <c r="AKY11" s="6"/>
      <c r="AKZ11" s="6"/>
      <c r="ALA11" s="6"/>
      <c r="ALB11" s="6"/>
      <c r="ALC11" s="6"/>
      <c r="ALD11" s="6"/>
      <c r="ALE11" s="6"/>
      <c r="ALF11" s="6"/>
      <c r="ALG11" s="6"/>
      <c r="ALH11" s="6"/>
      <c r="ALI11" s="6"/>
      <c r="ALJ11" s="6"/>
      <c r="ALK11" s="6"/>
      <c r="ALL11" s="6"/>
      <c r="ALM11" s="6"/>
      <c r="ALN11" s="6"/>
      <c r="ALO11" s="6"/>
      <c r="ALP11" s="6"/>
      <c r="ALQ11" s="6"/>
      <c r="ALR11" s="6"/>
      <c r="ALS11" s="6"/>
      <c r="ALT11" s="6"/>
      <c r="ALU11" s="6"/>
      <c r="ALV11" s="6"/>
      <c r="ALW11" s="6"/>
      <c r="ALX11" s="6"/>
      <c r="ALY11" s="6"/>
      <c r="ALZ11" s="6"/>
      <c r="AMA11" s="6"/>
      <c r="AMB11" s="6"/>
      <c r="AMC11" s="6"/>
      <c r="AMD11" s="6"/>
      <c r="AME11" s="6"/>
      <c r="AMF11" s="6"/>
      <c r="AMG11" s="6"/>
      <c r="AMH11" s="6"/>
      <c r="AMI11" s="6"/>
      <c r="AMJ11" s="6"/>
      <c r="AMK11" s="6"/>
      <c r="AML11" s="6"/>
      <c r="AMM11" s="6"/>
    </row>
    <row r="12" spans="1:1027" s="15" customFormat="1" x14ac:dyDescent="0.2">
      <c r="A12" s="16"/>
      <c r="B12" s="1" t="s">
        <v>933</v>
      </c>
      <c r="C12" s="2" t="s">
        <v>232</v>
      </c>
      <c r="D12" s="2" t="s">
        <v>960</v>
      </c>
      <c r="E12" s="6" t="s">
        <v>41</v>
      </c>
      <c r="F12" s="2" t="s">
        <v>833</v>
      </c>
      <c r="G12" s="2" t="s">
        <v>834</v>
      </c>
      <c r="H12" s="2" t="s">
        <v>832</v>
      </c>
      <c r="I12" s="2" t="s">
        <v>192</v>
      </c>
      <c r="J12" s="2" t="s">
        <v>963</v>
      </c>
      <c r="K12" s="2" t="s">
        <v>922</v>
      </c>
      <c r="L12" s="2" t="s">
        <v>10</v>
      </c>
      <c r="M12" s="2" t="s">
        <v>497</v>
      </c>
      <c r="N12" s="2" t="s">
        <v>235</v>
      </c>
      <c r="O12" s="2" t="s">
        <v>232</v>
      </c>
      <c r="P12" s="2" t="s">
        <v>241</v>
      </c>
      <c r="Q12" s="2" t="s">
        <v>109</v>
      </c>
      <c r="R12" s="2">
        <v>2</v>
      </c>
      <c r="S12" s="42" t="s">
        <v>975</v>
      </c>
      <c r="T12" s="17">
        <v>85541801</v>
      </c>
      <c r="U12" s="17">
        <f>T12-2391780-45734</f>
        <v>83104287</v>
      </c>
      <c r="V12" s="17">
        <v>8554180100</v>
      </c>
      <c r="W12" s="40">
        <v>47190053</v>
      </c>
      <c r="X12" s="14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6"/>
      <c r="ADJ12" s="6"/>
      <c r="ADK12" s="6"/>
      <c r="ADL12" s="6"/>
      <c r="ADM12" s="6"/>
      <c r="ADN12" s="6"/>
      <c r="ADO12" s="6"/>
      <c r="ADP12" s="6"/>
      <c r="ADQ12" s="6"/>
      <c r="ADR12" s="6"/>
      <c r="ADS12" s="6"/>
      <c r="ADT12" s="6"/>
      <c r="ADU12" s="6"/>
      <c r="ADV12" s="6"/>
      <c r="ADW12" s="6"/>
      <c r="ADX12" s="6"/>
      <c r="ADY12" s="6"/>
      <c r="ADZ12" s="6"/>
      <c r="AEA12" s="6"/>
      <c r="AEB12" s="6"/>
      <c r="AEC12" s="6"/>
      <c r="AED12" s="6"/>
      <c r="AEE12" s="6"/>
      <c r="AEF12" s="6"/>
      <c r="AEG12" s="6"/>
      <c r="AEH12" s="6"/>
      <c r="AEI12" s="6"/>
      <c r="AEJ12" s="6"/>
      <c r="AEK12" s="6"/>
      <c r="AEL12" s="6"/>
      <c r="AEM12" s="6"/>
      <c r="AEN12" s="6"/>
      <c r="AEO12" s="6"/>
      <c r="AEP12" s="6"/>
      <c r="AEQ12" s="6"/>
      <c r="AER12" s="6"/>
      <c r="AES12" s="6"/>
      <c r="AET12" s="6"/>
      <c r="AEU12" s="6"/>
      <c r="AEV12" s="6"/>
      <c r="AEW12" s="6"/>
      <c r="AEX12" s="6"/>
      <c r="AEY12" s="6"/>
      <c r="AEZ12" s="6"/>
      <c r="AFA12" s="6"/>
      <c r="AFB12" s="6"/>
      <c r="AFC12" s="6"/>
      <c r="AFD12" s="6"/>
      <c r="AFE12" s="6"/>
      <c r="AFF12" s="6"/>
      <c r="AFG12" s="6"/>
      <c r="AFH12" s="6"/>
      <c r="AFI12" s="6"/>
      <c r="AFJ12" s="6"/>
      <c r="AFK12" s="6"/>
      <c r="AFL12" s="6"/>
      <c r="AFM12" s="6"/>
      <c r="AFN12" s="6"/>
      <c r="AFO12" s="6"/>
      <c r="AFP12" s="6"/>
      <c r="AFQ12" s="6"/>
      <c r="AFR12" s="6"/>
      <c r="AFS12" s="6"/>
      <c r="AFT12" s="6"/>
      <c r="AFU12" s="6"/>
      <c r="AFV12" s="6"/>
      <c r="AFW12" s="6"/>
      <c r="AFX12" s="6"/>
      <c r="AFY12" s="6"/>
      <c r="AFZ12" s="6"/>
      <c r="AGA12" s="6"/>
      <c r="AGB12" s="6"/>
      <c r="AGC12" s="6"/>
      <c r="AGD12" s="6"/>
      <c r="AGE12" s="6"/>
      <c r="AGF12" s="6"/>
      <c r="AGG12" s="6"/>
      <c r="AGH12" s="6"/>
      <c r="AGI12" s="6"/>
      <c r="AGJ12" s="6"/>
      <c r="AGK12" s="6"/>
      <c r="AGL12" s="6"/>
      <c r="AGM12" s="6"/>
      <c r="AGN12" s="6"/>
      <c r="AGO12" s="6"/>
      <c r="AGP12" s="6"/>
      <c r="AGQ12" s="6"/>
      <c r="AGR12" s="6"/>
      <c r="AGS12" s="6"/>
      <c r="AGT12" s="6"/>
      <c r="AGU12" s="6"/>
      <c r="AGV12" s="6"/>
      <c r="AGW12" s="6"/>
      <c r="AGX12" s="6"/>
      <c r="AGY12" s="6"/>
      <c r="AGZ12" s="6"/>
      <c r="AHA12" s="6"/>
      <c r="AHB12" s="6"/>
      <c r="AHC12" s="6"/>
      <c r="AHD12" s="6"/>
      <c r="AHE12" s="6"/>
      <c r="AHF12" s="6"/>
      <c r="AHG12" s="6"/>
      <c r="AHH12" s="6"/>
      <c r="AHI12" s="6"/>
      <c r="AHJ12" s="6"/>
      <c r="AHK12" s="6"/>
      <c r="AHL12" s="6"/>
      <c r="AHM12" s="6"/>
      <c r="AHN12" s="6"/>
      <c r="AHO12" s="6"/>
      <c r="AHP12" s="6"/>
      <c r="AHQ12" s="6"/>
      <c r="AHR12" s="6"/>
      <c r="AHS12" s="6"/>
      <c r="AHT12" s="6"/>
      <c r="AHU12" s="6"/>
      <c r="AHV12" s="6"/>
      <c r="AHW12" s="6"/>
      <c r="AHX12" s="6"/>
      <c r="AHY12" s="6"/>
      <c r="AHZ12" s="6"/>
      <c r="AIA12" s="6"/>
      <c r="AIB12" s="6"/>
      <c r="AIC12" s="6"/>
      <c r="AID12" s="6"/>
      <c r="AIE12" s="6"/>
      <c r="AIF12" s="6"/>
      <c r="AIG12" s="6"/>
      <c r="AIH12" s="6"/>
      <c r="AII12" s="6"/>
      <c r="AIJ12" s="6"/>
      <c r="AIK12" s="6"/>
      <c r="AIL12" s="6"/>
      <c r="AIM12" s="6"/>
      <c r="AIN12" s="6"/>
      <c r="AIO12" s="6"/>
      <c r="AIP12" s="6"/>
      <c r="AIQ12" s="6"/>
      <c r="AIR12" s="6"/>
      <c r="AIS12" s="6"/>
      <c r="AIT12" s="6"/>
      <c r="AIU12" s="6"/>
      <c r="AIV12" s="6"/>
      <c r="AIW12" s="6"/>
      <c r="AIX12" s="6"/>
      <c r="AIY12" s="6"/>
      <c r="AIZ12" s="6"/>
      <c r="AJA12" s="6"/>
      <c r="AJB12" s="6"/>
      <c r="AJC12" s="6"/>
      <c r="AJD12" s="6"/>
      <c r="AJE12" s="6"/>
      <c r="AJF12" s="6"/>
      <c r="AJG12" s="6"/>
      <c r="AJH12" s="6"/>
      <c r="AJI12" s="6"/>
      <c r="AJJ12" s="6"/>
      <c r="AJK12" s="6"/>
      <c r="AJL12" s="6"/>
      <c r="AJM12" s="6"/>
      <c r="AJN12" s="6"/>
      <c r="AJO12" s="6"/>
      <c r="AJP12" s="6"/>
      <c r="AJQ12" s="6"/>
      <c r="AJR12" s="6"/>
      <c r="AJS12" s="6"/>
      <c r="AJT12" s="6"/>
      <c r="AJU12" s="6"/>
      <c r="AJV12" s="6"/>
      <c r="AJW12" s="6"/>
      <c r="AJX12" s="6"/>
      <c r="AJY12" s="6"/>
      <c r="AJZ12" s="6"/>
      <c r="AKA12" s="6"/>
      <c r="AKB12" s="6"/>
      <c r="AKC12" s="6"/>
      <c r="AKD12" s="6"/>
      <c r="AKE12" s="6"/>
      <c r="AKF12" s="6"/>
      <c r="AKG12" s="6"/>
      <c r="AKH12" s="6"/>
      <c r="AKI12" s="6"/>
      <c r="AKJ12" s="6"/>
      <c r="AKK12" s="6"/>
      <c r="AKL12" s="6"/>
      <c r="AKM12" s="6"/>
      <c r="AKN12" s="6"/>
      <c r="AKO12" s="6"/>
      <c r="AKP12" s="6"/>
      <c r="AKQ12" s="6"/>
      <c r="AKR12" s="6"/>
      <c r="AKS12" s="6"/>
      <c r="AKT12" s="6"/>
      <c r="AKU12" s="6"/>
      <c r="AKV12" s="6"/>
      <c r="AKW12" s="6"/>
      <c r="AKX12" s="6"/>
      <c r="AKY12" s="6"/>
      <c r="AKZ12" s="6"/>
      <c r="ALA12" s="6"/>
      <c r="ALB12" s="6"/>
      <c r="ALC12" s="6"/>
      <c r="ALD12" s="6"/>
      <c r="ALE12" s="6"/>
      <c r="ALF12" s="6"/>
      <c r="ALG12" s="6"/>
      <c r="ALH12" s="6"/>
      <c r="ALI12" s="6"/>
      <c r="ALJ12" s="6"/>
      <c r="ALK12" s="6"/>
      <c r="ALL12" s="6"/>
      <c r="ALM12" s="6"/>
      <c r="ALN12" s="6"/>
      <c r="ALO12" s="6"/>
      <c r="ALP12" s="6"/>
      <c r="ALQ12" s="6"/>
      <c r="ALR12" s="6"/>
      <c r="ALS12" s="6"/>
      <c r="ALT12" s="6"/>
      <c r="ALU12" s="6"/>
      <c r="ALV12" s="6"/>
      <c r="ALW12" s="6"/>
      <c r="ALX12" s="6"/>
      <c r="ALY12" s="6"/>
      <c r="ALZ12" s="6"/>
      <c r="AMA12" s="6"/>
      <c r="AMB12" s="6"/>
      <c r="AMC12" s="6"/>
      <c r="AMD12" s="6"/>
      <c r="AME12" s="6"/>
      <c r="AMF12" s="6"/>
      <c r="AMG12" s="6"/>
      <c r="AMH12" s="6"/>
      <c r="AMI12" s="6"/>
      <c r="AMJ12" s="6"/>
      <c r="AMK12" s="6"/>
      <c r="AML12" s="6"/>
      <c r="AMM12" s="6"/>
    </row>
    <row r="13" spans="1:1027" s="15" customFormat="1" x14ac:dyDescent="0.2">
      <c r="A13" s="16"/>
      <c r="B13" s="1" t="s">
        <v>873</v>
      </c>
      <c r="C13" s="18" t="s">
        <v>21</v>
      </c>
      <c r="D13" s="2" t="s">
        <v>960</v>
      </c>
      <c r="E13" s="6" t="s">
        <v>42</v>
      </c>
      <c r="F13" s="2" t="s">
        <v>833</v>
      </c>
      <c r="G13" s="2" t="s">
        <v>836</v>
      </c>
      <c r="H13" s="2" t="s">
        <v>835</v>
      </c>
      <c r="I13" s="2" t="s">
        <v>11</v>
      </c>
      <c r="J13" s="2" t="s">
        <v>964</v>
      </c>
      <c r="K13" s="2" t="s">
        <v>923</v>
      </c>
      <c r="L13" s="2" t="s">
        <v>10</v>
      </c>
      <c r="M13" s="2" t="s">
        <v>497</v>
      </c>
      <c r="N13" s="2" t="s">
        <v>235</v>
      </c>
      <c r="O13" s="2" t="s">
        <v>232</v>
      </c>
      <c r="P13" s="2" t="s">
        <v>242</v>
      </c>
      <c r="Q13" s="2" t="s">
        <v>110</v>
      </c>
      <c r="R13" s="2">
        <v>1</v>
      </c>
      <c r="S13" s="2" t="s">
        <v>124</v>
      </c>
      <c r="T13" s="17">
        <v>25119067</v>
      </c>
      <c r="U13" s="17">
        <f>T13-988757</f>
        <v>24130310</v>
      </c>
      <c r="V13" s="17">
        <v>2511906700</v>
      </c>
      <c r="W13" s="40">
        <v>11838121</v>
      </c>
      <c r="X13" s="14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  <c r="AJN13" s="6"/>
      <c r="AJO13" s="6"/>
      <c r="AJP13" s="6"/>
      <c r="AJQ13" s="6"/>
      <c r="AJR13" s="6"/>
      <c r="AJS13" s="6"/>
      <c r="AJT13" s="6"/>
      <c r="AJU13" s="6"/>
      <c r="AJV13" s="6"/>
      <c r="AJW13" s="6"/>
      <c r="AJX13" s="6"/>
      <c r="AJY13" s="6"/>
      <c r="AJZ13" s="6"/>
      <c r="AKA13" s="6"/>
      <c r="AKB13" s="6"/>
      <c r="AKC13" s="6"/>
      <c r="AKD13" s="6"/>
      <c r="AKE13" s="6"/>
      <c r="AKF13" s="6"/>
      <c r="AKG13" s="6"/>
      <c r="AKH13" s="6"/>
      <c r="AKI13" s="6"/>
      <c r="AKJ13" s="6"/>
      <c r="AKK13" s="6"/>
      <c r="AKL13" s="6"/>
      <c r="AKM13" s="6"/>
      <c r="AKN13" s="6"/>
      <c r="AKO13" s="6"/>
      <c r="AKP13" s="6"/>
      <c r="AKQ13" s="6"/>
      <c r="AKR13" s="6"/>
      <c r="AKS13" s="6"/>
      <c r="AKT13" s="6"/>
      <c r="AKU13" s="6"/>
      <c r="AKV13" s="6"/>
      <c r="AKW13" s="6"/>
      <c r="AKX13" s="6"/>
      <c r="AKY13" s="6"/>
      <c r="AKZ13" s="6"/>
      <c r="ALA13" s="6"/>
      <c r="ALB13" s="6"/>
      <c r="ALC13" s="6"/>
      <c r="ALD13" s="6"/>
      <c r="ALE13" s="6"/>
      <c r="ALF13" s="6"/>
      <c r="ALG13" s="6"/>
      <c r="ALH13" s="6"/>
      <c r="ALI13" s="6"/>
      <c r="ALJ13" s="6"/>
      <c r="ALK13" s="6"/>
      <c r="ALL13" s="6"/>
      <c r="ALM13" s="6"/>
      <c r="ALN13" s="6"/>
      <c r="ALO13" s="6"/>
      <c r="ALP13" s="6"/>
      <c r="ALQ13" s="6"/>
      <c r="ALR13" s="6"/>
      <c r="ALS13" s="6"/>
      <c r="ALT13" s="6"/>
      <c r="ALU13" s="6"/>
      <c r="ALV13" s="6"/>
      <c r="ALW13" s="6"/>
      <c r="ALX13" s="6"/>
      <c r="ALY13" s="6"/>
      <c r="ALZ13" s="6"/>
      <c r="AMA13" s="6"/>
      <c r="AMB13" s="6"/>
      <c r="AMC13" s="6"/>
      <c r="AMD13" s="6"/>
      <c r="AME13" s="6"/>
      <c r="AMF13" s="6"/>
      <c r="AMG13" s="6"/>
      <c r="AMH13" s="6"/>
      <c r="AMI13" s="6"/>
      <c r="AMJ13" s="6"/>
      <c r="AMK13" s="6"/>
      <c r="AML13" s="6"/>
      <c r="AMM13" s="6"/>
    </row>
    <row r="14" spans="1:1027" s="15" customFormat="1" x14ac:dyDescent="0.2">
      <c r="A14" s="16"/>
      <c r="B14" s="1" t="s">
        <v>873</v>
      </c>
      <c r="C14" s="18" t="s">
        <v>21</v>
      </c>
      <c r="D14" s="2" t="s">
        <v>960</v>
      </c>
      <c r="E14" s="6" t="s">
        <v>43</v>
      </c>
      <c r="F14" s="2" t="s">
        <v>833</v>
      </c>
      <c r="G14" s="2" t="s">
        <v>836</v>
      </c>
      <c r="H14" s="2" t="s">
        <v>837</v>
      </c>
      <c r="I14" s="2" t="s">
        <v>13</v>
      </c>
      <c r="J14" s="2" t="s">
        <v>964</v>
      </c>
      <c r="K14" s="2" t="s">
        <v>923</v>
      </c>
      <c r="L14" s="2" t="s">
        <v>10</v>
      </c>
      <c r="M14" s="2" t="s">
        <v>497</v>
      </c>
      <c r="N14" s="2" t="s">
        <v>235</v>
      </c>
      <c r="O14" s="2" t="s">
        <v>232</v>
      </c>
      <c r="P14" s="2" t="s">
        <v>242</v>
      </c>
      <c r="Q14" s="2" t="s">
        <v>111</v>
      </c>
      <c r="R14" s="2">
        <v>2</v>
      </c>
      <c r="S14" s="2" t="s">
        <v>124</v>
      </c>
      <c r="T14" s="17">
        <v>26873490</v>
      </c>
      <c r="U14" s="17">
        <f>T14-1295602</f>
        <v>25577888</v>
      </c>
      <c r="V14" s="17">
        <v>2687349000</v>
      </c>
      <c r="W14" s="40">
        <v>14290973</v>
      </c>
      <c r="X14" s="14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  <c r="ADZ14" s="6"/>
      <c r="AEA14" s="6"/>
      <c r="AEB14" s="6"/>
      <c r="AEC14" s="6"/>
      <c r="AED14" s="6"/>
      <c r="AEE14" s="6"/>
      <c r="AEF14" s="6"/>
      <c r="AEG14" s="6"/>
      <c r="AEH14" s="6"/>
      <c r="AEI14" s="6"/>
      <c r="AEJ14" s="6"/>
      <c r="AEK14" s="6"/>
      <c r="AEL14" s="6"/>
      <c r="AEM14" s="6"/>
      <c r="AEN14" s="6"/>
      <c r="AEO14" s="6"/>
      <c r="AEP14" s="6"/>
      <c r="AEQ14" s="6"/>
      <c r="AER14" s="6"/>
      <c r="AES14" s="6"/>
      <c r="AET14" s="6"/>
      <c r="AEU14" s="6"/>
      <c r="AEV14" s="6"/>
      <c r="AEW14" s="6"/>
      <c r="AEX14" s="6"/>
      <c r="AEY14" s="6"/>
      <c r="AEZ14" s="6"/>
      <c r="AFA14" s="6"/>
      <c r="AFB14" s="6"/>
      <c r="AFC14" s="6"/>
      <c r="AFD14" s="6"/>
      <c r="AFE14" s="6"/>
      <c r="AFF14" s="6"/>
      <c r="AFG14" s="6"/>
      <c r="AFH14" s="6"/>
      <c r="AFI14" s="6"/>
      <c r="AFJ14" s="6"/>
      <c r="AFK14" s="6"/>
      <c r="AFL14" s="6"/>
      <c r="AFM14" s="6"/>
      <c r="AFN14" s="6"/>
      <c r="AFO14" s="6"/>
      <c r="AFP14" s="6"/>
      <c r="AFQ14" s="6"/>
      <c r="AFR14" s="6"/>
      <c r="AFS14" s="6"/>
      <c r="AFT14" s="6"/>
      <c r="AFU14" s="6"/>
      <c r="AFV14" s="6"/>
      <c r="AFW14" s="6"/>
      <c r="AFX14" s="6"/>
      <c r="AFY14" s="6"/>
      <c r="AFZ14" s="6"/>
      <c r="AGA14" s="6"/>
      <c r="AGB14" s="6"/>
      <c r="AGC14" s="6"/>
      <c r="AGD14" s="6"/>
      <c r="AGE14" s="6"/>
      <c r="AGF14" s="6"/>
      <c r="AGG14" s="6"/>
      <c r="AGH14" s="6"/>
      <c r="AGI14" s="6"/>
      <c r="AGJ14" s="6"/>
      <c r="AGK14" s="6"/>
      <c r="AGL14" s="6"/>
      <c r="AGM14" s="6"/>
      <c r="AGN14" s="6"/>
      <c r="AGO14" s="6"/>
      <c r="AGP14" s="6"/>
      <c r="AGQ14" s="6"/>
      <c r="AGR14" s="6"/>
      <c r="AGS14" s="6"/>
      <c r="AGT14" s="6"/>
      <c r="AGU14" s="6"/>
      <c r="AGV14" s="6"/>
      <c r="AGW14" s="6"/>
      <c r="AGX14" s="6"/>
      <c r="AGY14" s="6"/>
      <c r="AGZ14" s="6"/>
      <c r="AHA14" s="6"/>
      <c r="AHB14" s="6"/>
      <c r="AHC14" s="6"/>
      <c r="AHD14" s="6"/>
      <c r="AHE14" s="6"/>
      <c r="AHF14" s="6"/>
      <c r="AHG14" s="6"/>
      <c r="AHH14" s="6"/>
      <c r="AHI14" s="6"/>
      <c r="AHJ14" s="6"/>
      <c r="AHK14" s="6"/>
      <c r="AHL14" s="6"/>
      <c r="AHM14" s="6"/>
      <c r="AHN14" s="6"/>
      <c r="AHO14" s="6"/>
      <c r="AHP14" s="6"/>
      <c r="AHQ14" s="6"/>
      <c r="AHR14" s="6"/>
      <c r="AHS14" s="6"/>
      <c r="AHT14" s="6"/>
      <c r="AHU14" s="6"/>
      <c r="AHV14" s="6"/>
      <c r="AHW14" s="6"/>
      <c r="AHX14" s="6"/>
      <c r="AHY14" s="6"/>
      <c r="AHZ14" s="6"/>
      <c r="AIA14" s="6"/>
      <c r="AIB14" s="6"/>
      <c r="AIC14" s="6"/>
      <c r="AID14" s="6"/>
      <c r="AIE14" s="6"/>
      <c r="AIF14" s="6"/>
      <c r="AIG14" s="6"/>
      <c r="AIH14" s="6"/>
      <c r="AII14" s="6"/>
      <c r="AIJ14" s="6"/>
      <c r="AIK14" s="6"/>
      <c r="AIL14" s="6"/>
      <c r="AIM14" s="6"/>
      <c r="AIN14" s="6"/>
      <c r="AIO14" s="6"/>
      <c r="AIP14" s="6"/>
      <c r="AIQ14" s="6"/>
      <c r="AIR14" s="6"/>
      <c r="AIS14" s="6"/>
      <c r="AIT14" s="6"/>
      <c r="AIU14" s="6"/>
      <c r="AIV14" s="6"/>
      <c r="AIW14" s="6"/>
      <c r="AIX14" s="6"/>
      <c r="AIY14" s="6"/>
      <c r="AIZ14" s="6"/>
      <c r="AJA14" s="6"/>
      <c r="AJB14" s="6"/>
      <c r="AJC14" s="6"/>
      <c r="AJD14" s="6"/>
      <c r="AJE14" s="6"/>
      <c r="AJF14" s="6"/>
      <c r="AJG14" s="6"/>
      <c r="AJH14" s="6"/>
      <c r="AJI14" s="6"/>
      <c r="AJJ14" s="6"/>
      <c r="AJK14" s="6"/>
      <c r="AJL14" s="6"/>
      <c r="AJM14" s="6"/>
      <c r="AJN14" s="6"/>
      <c r="AJO14" s="6"/>
      <c r="AJP14" s="6"/>
      <c r="AJQ14" s="6"/>
      <c r="AJR14" s="6"/>
      <c r="AJS14" s="6"/>
      <c r="AJT14" s="6"/>
      <c r="AJU14" s="6"/>
      <c r="AJV14" s="6"/>
      <c r="AJW14" s="6"/>
      <c r="AJX14" s="6"/>
      <c r="AJY14" s="6"/>
      <c r="AJZ14" s="6"/>
      <c r="AKA14" s="6"/>
      <c r="AKB14" s="6"/>
      <c r="AKC14" s="6"/>
      <c r="AKD14" s="6"/>
      <c r="AKE14" s="6"/>
      <c r="AKF14" s="6"/>
      <c r="AKG14" s="6"/>
      <c r="AKH14" s="6"/>
      <c r="AKI14" s="6"/>
      <c r="AKJ14" s="6"/>
      <c r="AKK14" s="6"/>
      <c r="AKL14" s="6"/>
      <c r="AKM14" s="6"/>
      <c r="AKN14" s="6"/>
      <c r="AKO14" s="6"/>
      <c r="AKP14" s="6"/>
      <c r="AKQ14" s="6"/>
      <c r="AKR14" s="6"/>
      <c r="AKS14" s="6"/>
      <c r="AKT14" s="6"/>
      <c r="AKU14" s="6"/>
      <c r="AKV14" s="6"/>
      <c r="AKW14" s="6"/>
      <c r="AKX14" s="6"/>
      <c r="AKY14" s="6"/>
      <c r="AKZ14" s="6"/>
      <c r="ALA14" s="6"/>
      <c r="ALB14" s="6"/>
      <c r="ALC14" s="6"/>
      <c r="ALD14" s="6"/>
      <c r="ALE14" s="6"/>
      <c r="ALF14" s="6"/>
      <c r="ALG14" s="6"/>
      <c r="ALH14" s="6"/>
      <c r="ALI14" s="6"/>
      <c r="ALJ14" s="6"/>
      <c r="ALK14" s="6"/>
      <c r="ALL14" s="6"/>
      <c r="ALM14" s="6"/>
      <c r="ALN14" s="6"/>
      <c r="ALO14" s="6"/>
      <c r="ALP14" s="6"/>
      <c r="ALQ14" s="6"/>
      <c r="ALR14" s="6"/>
      <c r="ALS14" s="6"/>
      <c r="ALT14" s="6"/>
      <c r="ALU14" s="6"/>
      <c r="ALV14" s="6"/>
      <c r="ALW14" s="6"/>
      <c r="ALX14" s="6"/>
      <c r="ALY14" s="6"/>
      <c r="ALZ14" s="6"/>
      <c r="AMA14" s="6"/>
      <c r="AMB14" s="6"/>
      <c r="AMC14" s="6"/>
      <c r="AMD14" s="6"/>
      <c r="AME14" s="6"/>
      <c r="AMF14" s="6"/>
      <c r="AMG14" s="6"/>
      <c r="AMH14" s="6"/>
      <c r="AMI14" s="6"/>
      <c r="AMJ14" s="6"/>
      <c r="AMK14" s="6"/>
      <c r="AML14" s="6"/>
      <c r="AMM14" s="6"/>
    </row>
    <row r="15" spans="1:1027" s="15" customFormat="1" x14ac:dyDescent="0.2">
      <c r="A15" s="16"/>
      <c r="B15" s="1" t="s">
        <v>873</v>
      </c>
      <c r="C15" s="18" t="s">
        <v>21</v>
      </c>
      <c r="D15" s="2" t="s">
        <v>960</v>
      </c>
      <c r="E15" s="6" t="s">
        <v>26</v>
      </c>
      <c r="F15" s="2" t="s">
        <v>833</v>
      </c>
      <c r="G15" s="2" t="s">
        <v>839</v>
      </c>
      <c r="H15" s="2" t="s">
        <v>838</v>
      </c>
      <c r="I15" s="2" t="s">
        <v>193</v>
      </c>
      <c r="J15" s="2" t="s">
        <v>965</v>
      </c>
      <c r="K15" s="2" t="s">
        <v>924</v>
      </c>
      <c r="L15" s="2" t="s">
        <v>1</v>
      </c>
      <c r="M15" s="2" t="s">
        <v>497</v>
      </c>
      <c r="N15" s="2" t="s">
        <v>235</v>
      </c>
      <c r="O15" s="2" t="s">
        <v>232</v>
      </c>
      <c r="P15" s="2" t="s">
        <v>243</v>
      </c>
      <c r="Q15" s="2" t="s">
        <v>102</v>
      </c>
      <c r="R15" s="2">
        <v>1</v>
      </c>
      <c r="S15" s="2" t="s">
        <v>124</v>
      </c>
      <c r="T15" s="17">
        <v>26275116</v>
      </c>
      <c r="U15" s="17">
        <f>T15-492164-1028</f>
        <v>25781924</v>
      </c>
      <c r="V15" s="17">
        <v>2627511600</v>
      </c>
      <c r="W15" s="40">
        <v>8510008</v>
      </c>
      <c r="X15" s="14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AHX15" s="6"/>
      <c r="AHY15" s="6"/>
      <c r="AHZ15" s="6"/>
      <c r="AIA15" s="6"/>
      <c r="AIB15" s="6"/>
      <c r="AIC15" s="6"/>
      <c r="AID15" s="6"/>
      <c r="AIE15" s="6"/>
      <c r="AIF15" s="6"/>
      <c r="AIG15" s="6"/>
      <c r="AIH15" s="6"/>
      <c r="AII15" s="6"/>
      <c r="AIJ15" s="6"/>
      <c r="AIK15" s="6"/>
      <c r="AIL15" s="6"/>
      <c r="AIM15" s="6"/>
      <c r="AIN15" s="6"/>
      <c r="AIO15" s="6"/>
      <c r="AIP15" s="6"/>
      <c r="AIQ15" s="6"/>
      <c r="AIR15" s="6"/>
      <c r="AIS15" s="6"/>
      <c r="AIT15" s="6"/>
      <c r="AIU15" s="6"/>
      <c r="AIV15" s="6"/>
      <c r="AIW15" s="6"/>
      <c r="AIX15" s="6"/>
      <c r="AIY15" s="6"/>
      <c r="AIZ15" s="6"/>
      <c r="AJA15" s="6"/>
      <c r="AJB15" s="6"/>
      <c r="AJC15" s="6"/>
      <c r="AJD15" s="6"/>
      <c r="AJE15" s="6"/>
      <c r="AJF15" s="6"/>
      <c r="AJG15" s="6"/>
      <c r="AJH15" s="6"/>
      <c r="AJI15" s="6"/>
      <c r="AJJ15" s="6"/>
      <c r="AJK15" s="6"/>
      <c r="AJL15" s="6"/>
      <c r="AJM15" s="6"/>
      <c r="AJN15" s="6"/>
      <c r="AJO15" s="6"/>
      <c r="AJP15" s="6"/>
      <c r="AJQ15" s="6"/>
      <c r="AJR15" s="6"/>
      <c r="AJS15" s="6"/>
      <c r="AJT15" s="6"/>
      <c r="AJU15" s="6"/>
      <c r="AJV15" s="6"/>
      <c r="AJW15" s="6"/>
      <c r="AJX15" s="6"/>
      <c r="AJY15" s="6"/>
      <c r="AJZ15" s="6"/>
      <c r="AKA15" s="6"/>
      <c r="AKB15" s="6"/>
      <c r="AKC15" s="6"/>
      <c r="AKD15" s="6"/>
      <c r="AKE15" s="6"/>
      <c r="AKF15" s="6"/>
      <c r="AKG15" s="6"/>
      <c r="AKH15" s="6"/>
      <c r="AKI15" s="6"/>
      <c r="AKJ15" s="6"/>
      <c r="AKK15" s="6"/>
      <c r="AKL15" s="6"/>
      <c r="AKM15" s="6"/>
      <c r="AKN15" s="6"/>
      <c r="AKO15" s="6"/>
      <c r="AKP15" s="6"/>
      <c r="AKQ15" s="6"/>
      <c r="AKR15" s="6"/>
      <c r="AKS15" s="6"/>
      <c r="AKT15" s="6"/>
      <c r="AKU15" s="6"/>
      <c r="AKV15" s="6"/>
      <c r="AKW15" s="6"/>
      <c r="AKX15" s="6"/>
      <c r="AKY15" s="6"/>
      <c r="AKZ15" s="6"/>
      <c r="ALA15" s="6"/>
      <c r="ALB15" s="6"/>
      <c r="ALC15" s="6"/>
      <c r="ALD15" s="6"/>
      <c r="ALE15" s="6"/>
      <c r="ALF15" s="6"/>
      <c r="ALG15" s="6"/>
      <c r="ALH15" s="6"/>
      <c r="ALI15" s="6"/>
      <c r="ALJ15" s="6"/>
      <c r="ALK15" s="6"/>
      <c r="ALL15" s="6"/>
      <c r="ALM15" s="6"/>
      <c r="ALN15" s="6"/>
      <c r="ALO15" s="6"/>
      <c r="ALP15" s="6"/>
      <c r="ALQ15" s="6"/>
      <c r="ALR15" s="6"/>
      <c r="ALS15" s="6"/>
      <c r="ALT15" s="6"/>
      <c r="ALU15" s="6"/>
      <c r="ALV15" s="6"/>
      <c r="ALW15" s="6"/>
      <c r="ALX15" s="6"/>
      <c r="ALY15" s="6"/>
      <c r="ALZ15" s="6"/>
      <c r="AMA15" s="6"/>
      <c r="AMB15" s="6"/>
      <c r="AMC15" s="6"/>
      <c r="AMD15" s="6"/>
      <c r="AME15" s="6"/>
      <c r="AMF15" s="6"/>
      <c r="AMG15" s="6"/>
      <c r="AMH15" s="6"/>
      <c r="AMI15" s="6"/>
      <c r="AMJ15" s="6"/>
      <c r="AMK15" s="6"/>
      <c r="AML15" s="6"/>
      <c r="AMM15" s="6"/>
    </row>
    <row r="16" spans="1:1027" x14ac:dyDescent="0.2">
      <c r="A16" s="16"/>
      <c r="B16" s="1" t="s">
        <v>873</v>
      </c>
      <c r="C16" s="12" t="s">
        <v>21</v>
      </c>
      <c r="D16" s="1" t="s">
        <v>960</v>
      </c>
      <c r="E16" s="7" t="s">
        <v>27</v>
      </c>
      <c r="F16" s="1" t="s">
        <v>833</v>
      </c>
      <c r="G16" s="1" t="s">
        <v>841</v>
      </c>
      <c r="H16" s="1" t="s">
        <v>840</v>
      </c>
      <c r="I16" s="1" t="s">
        <v>194</v>
      </c>
      <c r="J16" s="2" t="s">
        <v>965</v>
      </c>
      <c r="K16" s="2" t="s">
        <v>924</v>
      </c>
      <c r="L16" s="1" t="s">
        <v>1</v>
      </c>
      <c r="M16" s="1" t="s">
        <v>497</v>
      </c>
      <c r="N16" s="1" t="s">
        <v>235</v>
      </c>
      <c r="O16" s="1" t="s">
        <v>232</v>
      </c>
      <c r="P16" s="1" t="s">
        <v>244</v>
      </c>
      <c r="Q16" s="1" t="s">
        <v>103</v>
      </c>
      <c r="R16" s="1">
        <v>2</v>
      </c>
      <c r="S16" s="1" t="s">
        <v>124</v>
      </c>
      <c r="T16" s="13">
        <v>34280796</v>
      </c>
      <c r="U16" s="13">
        <f>T16-784605-1516</f>
        <v>33494675</v>
      </c>
      <c r="V16" s="13">
        <v>3428079600</v>
      </c>
      <c r="W16" s="38">
        <v>15320011</v>
      </c>
      <c r="X16" s="14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MI16" s="7"/>
      <c r="AMJ16" s="7"/>
      <c r="AMK16" s="7"/>
      <c r="AML16" s="7"/>
      <c r="AMM16" s="7"/>
    </row>
    <row r="17" spans="1:1027" x14ac:dyDescent="0.2">
      <c r="A17" s="49" t="s">
        <v>643</v>
      </c>
      <c r="B17" s="49" t="s">
        <v>932</v>
      </c>
      <c r="C17" s="49" t="s">
        <v>21</v>
      </c>
      <c r="D17" s="49" t="s">
        <v>960</v>
      </c>
      <c r="E17" s="6" t="s">
        <v>32</v>
      </c>
      <c r="F17" s="49" t="s">
        <v>827</v>
      </c>
      <c r="G17" s="49" t="s">
        <v>842</v>
      </c>
      <c r="H17" s="49" t="s">
        <v>19</v>
      </c>
      <c r="I17" s="49" t="s">
        <v>843</v>
      </c>
      <c r="J17" s="49" t="s">
        <v>962</v>
      </c>
      <c r="K17" s="49" t="s">
        <v>921</v>
      </c>
      <c r="L17" s="49" t="s">
        <v>18</v>
      </c>
      <c r="M17" s="49" t="s">
        <v>497</v>
      </c>
      <c r="N17" s="49" t="s">
        <v>235</v>
      </c>
      <c r="O17" s="49" t="s">
        <v>231</v>
      </c>
      <c r="P17" s="49" t="s">
        <v>245</v>
      </c>
      <c r="Q17" s="49" t="s">
        <v>94</v>
      </c>
      <c r="R17" s="49">
        <v>1</v>
      </c>
      <c r="S17" s="55" t="s">
        <v>975</v>
      </c>
      <c r="T17" s="17">
        <v>83077810</v>
      </c>
      <c r="U17" s="17">
        <f>T17-1257835</f>
        <v>81819975</v>
      </c>
      <c r="V17" s="17">
        <v>12461671500</v>
      </c>
      <c r="W17" s="61">
        <f>29873115</f>
        <v>29873115</v>
      </c>
      <c r="X17" s="14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MI17" s="7"/>
      <c r="AMJ17" s="7"/>
      <c r="AMK17" s="7"/>
      <c r="AML17" s="7"/>
      <c r="AMM17" s="7"/>
    </row>
    <row r="18" spans="1:1027" x14ac:dyDescent="0.2">
      <c r="A18" s="49"/>
      <c r="B18" s="49" t="s">
        <v>644</v>
      </c>
      <c r="C18" s="49"/>
      <c r="D18" s="49"/>
      <c r="E18" s="6" t="s">
        <v>33</v>
      </c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17">
        <v>83077810</v>
      </c>
      <c r="U18" s="17">
        <f>T18-1257835</f>
        <v>81819975</v>
      </c>
      <c r="V18" s="17">
        <v>12461671500</v>
      </c>
      <c r="W18" s="61"/>
      <c r="X18" s="14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MI18" s="7"/>
      <c r="AMJ18" s="7"/>
      <c r="AMK18" s="7"/>
      <c r="AML18" s="7"/>
      <c r="AMM18" s="7"/>
    </row>
    <row r="19" spans="1:1027" x14ac:dyDescent="0.2">
      <c r="A19" s="49" t="s">
        <v>643</v>
      </c>
      <c r="B19" s="49" t="s">
        <v>932</v>
      </c>
      <c r="C19" s="62" t="s">
        <v>21</v>
      </c>
      <c r="D19" s="49" t="s">
        <v>960</v>
      </c>
      <c r="E19" s="6" t="s">
        <v>34</v>
      </c>
      <c r="F19" s="49" t="s">
        <v>827</v>
      </c>
      <c r="G19" s="49" t="s">
        <v>844</v>
      </c>
      <c r="H19" s="49" t="s">
        <v>20</v>
      </c>
      <c r="I19" s="49" t="s">
        <v>845</v>
      </c>
      <c r="J19" s="49" t="s">
        <v>962</v>
      </c>
      <c r="K19" s="49" t="s">
        <v>921</v>
      </c>
      <c r="L19" s="49" t="s">
        <v>18</v>
      </c>
      <c r="M19" s="49" t="s">
        <v>497</v>
      </c>
      <c r="N19" s="49" t="s">
        <v>235</v>
      </c>
      <c r="O19" s="49" t="s">
        <v>231</v>
      </c>
      <c r="P19" s="49" t="s">
        <v>245</v>
      </c>
      <c r="Q19" s="49" t="s">
        <v>95</v>
      </c>
      <c r="R19" s="49">
        <v>2</v>
      </c>
      <c r="S19" s="55" t="s">
        <v>975</v>
      </c>
      <c r="T19" s="17">
        <v>90267328</v>
      </c>
      <c r="U19" s="17">
        <f>T19-1363680</f>
        <v>88903648</v>
      </c>
      <c r="V19" s="17">
        <v>13540099200</v>
      </c>
      <c r="W19" s="61">
        <f>28799165</f>
        <v>28799165</v>
      </c>
      <c r="X19" s="14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MI19" s="7"/>
      <c r="AMJ19" s="7"/>
      <c r="AMK19" s="7"/>
      <c r="AML19" s="7"/>
      <c r="AMM19" s="7"/>
    </row>
    <row r="20" spans="1:1027" x14ac:dyDescent="0.2">
      <c r="A20" s="49"/>
      <c r="B20" s="49" t="s">
        <v>644</v>
      </c>
      <c r="C20" s="49"/>
      <c r="D20" s="49"/>
      <c r="E20" s="6" t="s">
        <v>35</v>
      </c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17">
        <v>90267328</v>
      </c>
      <c r="U20" s="17">
        <f>T20-1363680</f>
        <v>88903648</v>
      </c>
      <c r="V20" s="17">
        <v>13540099200</v>
      </c>
      <c r="W20" s="61"/>
      <c r="X20" s="14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MI20" s="7"/>
      <c r="AMJ20" s="7"/>
      <c r="AMK20" s="7"/>
      <c r="AML20" s="7"/>
      <c r="AMM20" s="7"/>
    </row>
    <row r="21" spans="1:1027" x14ac:dyDescent="0.2">
      <c r="A21" s="16" t="s">
        <v>643</v>
      </c>
      <c r="B21" s="2" t="s">
        <v>932</v>
      </c>
      <c r="C21" s="2" t="s">
        <v>231</v>
      </c>
      <c r="D21" s="2" t="s">
        <v>960</v>
      </c>
      <c r="E21" s="6" t="s">
        <v>36</v>
      </c>
      <c r="F21" s="2" t="s">
        <v>833</v>
      </c>
      <c r="G21" s="2" t="s">
        <v>834</v>
      </c>
      <c r="H21" s="2" t="s">
        <v>832</v>
      </c>
      <c r="I21" s="2" t="s">
        <v>191</v>
      </c>
      <c r="J21" s="2" t="s">
        <v>17</v>
      </c>
      <c r="K21" s="2" t="s">
        <v>922</v>
      </c>
      <c r="L21" s="2" t="s">
        <v>14</v>
      </c>
      <c r="M21" s="2" t="s">
        <v>497</v>
      </c>
      <c r="N21" s="2" t="s">
        <v>235</v>
      </c>
      <c r="O21" s="2" t="s">
        <v>231</v>
      </c>
      <c r="P21" s="2" t="s">
        <v>246</v>
      </c>
      <c r="Q21" s="2" t="s">
        <v>104</v>
      </c>
      <c r="R21" s="2">
        <v>1</v>
      </c>
      <c r="S21" s="42" t="s">
        <v>975</v>
      </c>
      <c r="T21" s="17">
        <v>75827247</v>
      </c>
      <c r="U21" s="17">
        <f>T21-2066914-34382</f>
        <v>73725951</v>
      </c>
      <c r="V21" s="17">
        <v>7582724700</v>
      </c>
      <c r="W21" s="40">
        <v>33185264</v>
      </c>
      <c r="X21" s="14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MI21" s="7"/>
      <c r="AMJ21" s="7"/>
      <c r="AMK21" s="7"/>
      <c r="AML21" s="7"/>
      <c r="AMM21" s="7"/>
    </row>
    <row r="22" spans="1:1027" x14ac:dyDescent="0.2">
      <c r="A22" s="16" t="s">
        <v>643</v>
      </c>
      <c r="B22" s="2" t="s">
        <v>932</v>
      </c>
      <c r="C22" s="2" t="s">
        <v>231</v>
      </c>
      <c r="D22" s="2" t="s">
        <v>960</v>
      </c>
      <c r="E22" s="6" t="s">
        <v>37</v>
      </c>
      <c r="F22" s="2" t="s">
        <v>833</v>
      </c>
      <c r="G22" s="2" t="s">
        <v>834</v>
      </c>
      <c r="H22" s="2" t="s">
        <v>832</v>
      </c>
      <c r="I22" s="2" t="s">
        <v>192</v>
      </c>
      <c r="J22" s="2" t="s">
        <v>17</v>
      </c>
      <c r="K22" s="2" t="s">
        <v>922</v>
      </c>
      <c r="L22" s="2" t="s">
        <v>14</v>
      </c>
      <c r="M22" s="2" t="s">
        <v>497</v>
      </c>
      <c r="N22" s="2" t="s">
        <v>235</v>
      </c>
      <c r="O22" s="2" t="s">
        <v>231</v>
      </c>
      <c r="P22" s="2" t="s">
        <v>246</v>
      </c>
      <c r="Q22" s="2" t="s">
        <v>105</v>
      </c>
      <c r="R22" s="2">
        <v>2</v>
      </c>
      <c r="S22" s="42" t="s">
        <v>975</v>
      </c>
      <c r="T22" s="17">
        <v>93562945</v>
      </c>
      <c r="U22" s="17">
        <f>T22-2666084-41018</f>
        <v>90855843</v>
      </c>
      <c r="V22" s="17">
        <v>9356294500</v>
      </c>
      <c r="W22" s="40">
        <v>48602228</v>
      </c>
      <c r="X22" s="14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MI22" s="7"/>
      <c r="AMJ22" s="7"/>
      <c r="AMK22" s="7"/>
      <c r="AML22" s="7"/>
      <c r="AMM22" s="7"/>
    </row>
    <row r="23" spans="1:1027" x14ac:dyDescent="0.2">
      <c r="B23" s="2" t="s">
        <v>872</v>
      </c>
      <c r="C23" s="18" t="s">
        <v>21</v>
      </c>
      <c r="D23" s="2" t="s">
        <v>960</v>
      </c>
      <c r="E23" s="6" t="s">
        <v>38</v>
      </c>
      <c r="F23" s="2" t="s">
        <v>833</v>
      </c>
      <c r="G23" s="2" t="s">
        <v>847</v>
      </c>
      <c r="H23" s="2" t="s">
        <v>846</v>
      </c>
      <c r="I23" s="2" t="s">
        <v>15</v>
      </c>
      <c r="J23" s="2" t="s">
        <v>12</v>
      </c>
      <c r="K23" s="2" t="s">
        <v>923</v>
      </c>
      <c r="L23" s="2" t="s">
        <v>14</v>
      </c>
      <c r="M23" s="2" t="s">
        <v>497</v>
      </c>
      <c r="N23" s="2" t="s">
        <v>235</v>
      </c>
      <c r="O23" s="2" t="s">
        <v>231</v>
      </c>
      <c r="P23" s="2" t="s">
        <v>242</v>
      </c>
      <c r="Q23" s="2" t="s">
        <v>106</v>
      </c>
      <c r="R23" s="2">
        <v>1</v>
      </c>
      <c r="S23" s="2" t="s">
        <v>124</v>
      </c>
      <c r="T23" s="17">
        <v>21005896</v>
      </c>
      <c r="U23" s="17">
        <f>T23-962971</f>
        <v>20042925</v>
      </c>
      <c r="V23" s="17">
        <v>2100589600</v>
      </c>
      <c r="W23" s="40">
        <v>9954272</v>
      </c>
      <c r="X23" s="14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MI23" s="7"/>
      <c r="AMJ23" s="7"/>
      <c r="AMK23" s="7"/>
      <c r="AML23" s="7"/>
      <c r="AMM23" s="7"/>
    </row>
    <row r="24" spans="1:1027" x14ac:dyDescent="0.2">
      <c r="B24" s="2" t="s">
        <v>872</v>
      </c>
      <c r="C24" s="18" t="s">
        <v>21</v>
      </c>
      <c r="D24" s="2" t="s">
        <v>960</v>
      </c>
      <c r="E24" s="6" t="s">
        <v>39</v>
      </c>
      <c r="F24" s="2" t="s">
        <v>833</v>
      </c>
      <c r="G24" s="2" t="s">
        <v>847</v>
      </c>
      <c r="H24" s="2" t="s">
        <v>848</v>
      </c>
      <c r="I24" s="2" t="s">
        <v>16</v>
      </c>
      <c r="J24" s="2" t="s">
        <v>12</v>
      </c>
      <c r="K24" s="2" t="s">
        <v>923</v>
      </c>
      <c r="L24" s="2" t="s">
        <v>14</v>
      </c>
      <c r="M24" s="2" t="s">
        <v>497</v>
      </c>
      <c r="N24" s="2" t="s">
        <v>235</v>
      </c>
      <c r="O24" s="2" t="s">
        <v>231</v>
      </c>
      <c r="P24" s="2" t="s">
        <v>242</v>
      </c>
      <c r="Q24" s="2" t="s">
        <v>107</v>
      </c>
      <c r="R24" s="2">
        <v>2</v>
      </c>
      <c r="S24" s="2" t="s">
        <v>124</v>
      </c>
      <c r="T24" s="17">
        <v>32150185</v>
      </c>
      <c r="U24" s="17">
        <f>T24-1442496</f>
        <v>30707689</v>
      </c>
      <c r="V24" s="17">
        <v>3215018500</v>
      </c>
      <c r="W24" s="40">
        <v>15062922</v>
      </c>
      <c r="X24" s="14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MI24" s="7"/>
      <c r="AMJ24" s="7"/>
      <c r="AMK24" s="7"/>
      <c r="AML24" s="7"/>
      <c r="AMM24" s="7"/>
    </row>
    <row r="25" spans="1:1027" x14ac:dyDescent="0.2">
      <c r="A25" s="67"/>
      <c r="B25" s="49" t="s">
        <v>869</v>
      </c>
      <c r="C25" s="49" t="s">
        <v>217</v>
      </c>
      <c r="D25" s="49" t="s">
        <v>960</v>
      </c>
      <c r="E25" s="6" t="s">
        <v>62</v>
      </c>
      <c r="F25" s="49" t="s">
        <v>833</v>
      </c>
      <c r="G25" s="49" t="s">
        <v>850</v>
      </c>
      <c r="H25" s="49" t="s">
        <v>849</v>
      </c>
      <c r="I25" s="49" t="s">
        <v>2</v>
      </c>
      <c r="J25" s="49" t="s">
        <v>965</v>
      </c>
      <c r="K25" s="49" t="s">
        <v>924</v>
      </c>
      <c r="L25" s="49" t="s">
        <v>1</v>
      </c>
      <c r="M25" s="49" t="s">
        <v>497</v>
      </c>
      <c r="N25" s="49" t="s">
        <v>234</v>
      </c>
      <c r="O25" s="49" t="s">
        <v>232</v>
      </c>
      <c r="P25" s="49" t="s">
        <v>257</v>
      </c>
      <c r="Q25" s="49" t="s">
        <v>90</v>
      </c>
      <c r="R25" s="49">
        <v>1</v>
      </c>
      <c r="S25" s="55" t="s">
        <v>975</v>
      </c>
      <c r="T25" s="17">
        <v>24757120</v>
      </c>
      <c r="U25" s="17">
        <f>T25-700649</f>
        <v>24056471</v>
      </c>
      <c r="V25" s="17">
        <v>3094640000</v>
      </c>
      <c r="W25" s="61">
        <f>9283999</f>
        <v>9283999</v>
      </c>
      <c r="X25" s="14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MI25" s="7"/>
      <c r="AMJ25" s="7"/>
      <c r="AMK25" s="7"/>
      <c r="AML25" s="7"/>
      <c r="AMM25" s="7"/>
    </row>
    <row r="26" spans="1:1027" x14ac:dyDescent="0.2">
      <c r="A26" s="67"/>
      <c r="B26" s="49"/>
      <c r="C26" s="49"/>
      <c r="D26" s="49"/>
      <c r="E26" s="6" t="s">
        <v>63</v>
      </c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17">
        <v>24757120</v>
      </c>
      <c r="U26" s="17">
        <f>T26-700649</f>
        <v>24056471</v>
      </c>
      <c r="V26" s="17">
        <v>3094640000</v>
      </c>
      <c r="W26" s="61"/>
      <c r="X26" s="14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MI26" s="7"/>
      <c r="AMJ26" s="7"/>
      <c r="AMK26" s="7"/>
      <c r="AML26" s="7"/>
      <c r="AMM26" s="7"/>
    </row>
    <row r="27" spans="1:1027" x14ac:dyDescent="0.2">
      <c r="A27" s="67"/>
      <c r="B27" s="49" t="s">
        <v>869</v>
      </c>
      <c r="C27" s="49" t="s">
        <v>217</v>
      </c>
      <c r="D27" s="49" t="s">
        <v>960</v>
      </c>
      <c r="E27" s="6" t="s">
        <v>64</v>
      </c>
      <c r="F27" s="49" t="s">
        <v>833</v>
      </c>
      <c r="G27" s="49" t="s">
        <v>852</v>
      </c>
      <c r="H27" s="49" t="s">
        <v>851</v>
      </c>
      <c r="I27" s="49" t="s">
        <v>3</v>
      </c>
      <c r="J27" s="49" t="s">
        <v>965</v>
      </c>
      <c r="K27" s="49" t="s">
        <v>924</v>
      </c>
      <c r="L27" s="49" t="s">
        <v>1</v>
      </c>
      <c r="M27" s="49" t="s">
        <v>497</v>
      </c>
      <c r="N27" s="49" t="s">
        <v>234</v>
      </c>
      <c r="O27" s="49" t="s">
        <v>232</v>
      </c>
      <c r="P27" s="49" t="s">
        <v>257</v>
      </c>
      <c r="Q27" s="49" t="s">
        <v>91</v>
      </c>
      <c r="R27" s="49">
        <v>2</v>
      </c>
      <c r="S27" s="55" t="s">
        <v>975</v>
      </c>
      <c r="T27" s="17">
        <v>20993196</v>
      </c>
      <c r="U27" s="17">
        <f>T27-620392</f>
        <v>20372804</v>
      </c>
      <c r="V27" s="17">
        <v>2624149500</v>
      </c>
      <c r="W27" s="61">
        <f>7592810</f>
        <v>7592810</v>
      </c>
      <c r="X27" s="14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MI27" s="7"/>
      <c r="AMJ27" s="7"/>
      <c r="AMK27" s="7"/>
      <c r="AML27" s="7"/>
      <c r="AMM27" s="7"/>
    </row>
    <row r="28" spans="1:1027" x14ac:dyDescent="0.2">
      <c r="A28" s="67"/>
      <c r="B28" s="49"/>
      <c r="C28" s="49"/>
      <c r="D28" s="49"/>
      <c r="E28" s="6" t="s">
        <v>65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17">
        <v>20993196</v>
      </c>
      <c r="U28" s="17">
        <f>T28-620392</f>
        <v>20372804</v>
      </c>
      <c r="V28" s="17">
        <v>2624149500</v>
      </c>
      <c r="W28" s="61"/>
      <c r="X28" s="14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MI28" s="7"/>
      <c r="AMJ28" s="7"/>
      <c r="AMK28" s="7"/>
      <c r="AML28" s="7"/>
      <c r="AMM28" s="7"/>
    </row>
    <row r="29" spans="1:1027" x14ac:dyDescent="0.2">
      <c r="A29" s="67"/>
      <c r="B29" s="53" t="s">
        <v>983</v>
      </c>
      <c r="C29" s="49" t="s">
        <v>218</v>
      </c>
      <c r="D29" s="49" t="s">
        <v>960</v>
      </c>
      <c r="E29" s="6" t="s">
        <v>50</v>
      </c>
      <c r="F29" s="49" t="s">
        <v>934</v>
      </c>
      <c r="G29" s="49" t="s">
        <v>935</v>
      </c>
      <c r="H29" s="49" t="s">
        <v>219</v>
      </c>
      <c r="I29" s="49" t="s">
        <v>937</v>
      </c>
      <c r="J29" s="49" t="s">
        <v>172</v>
      </c>
      <c r="K29" s="55" t="s">
        <v>172</v>
      </c>
      <c r="L29" s="49" t="s">
        <v>1</v>
      </c>
      <c r="M29" s="49" t="s">
        <v>497</v>
      </c>
      <c r="N29" s="49" t="s">
        <v>234</v>
      </c>
      <c r="O29" s="49" t="s">
        <v>236</v>
      </c>
      <c r="P29" s="49" t="s">
        <v>258</v>
      </c>
      <c r="Q29" s="49" t="s">
        <v>81</v>
      </c>
      <c r="R29" s="49">
        <v>1</v>
      </c>
      <c r="S29" s="55" t="s">
        <v>975</v>
      </c>
      <c r="T29" s="17">
        <v>54227666</v>
      </c>
      <c r="U29" s="17">
        <f>T29-699918</f>
        <v>53527748</v>
      </c>
      <c r="V29" s="17">
        <v>8134149900</v>
      </c>
      <c r="W29" s="61">
        <f>12858879</f>
        <v>12858879</v>
      </c>
      <c r="X29" s="14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MI29" s="7"/>
      <c r="AMJ29" s="7"/>
      <c r="AMK29" s="7"/>
      <c r="AML29" s="7"/>
      <c r="AMM29" s="7"/>
    </row>
    <row r="30" spans="1:1027" x14ac:dyDescent="0.2">
      <c r="A30" s="67"/>
      <c r="B30" s="54" t="s">
        <v>644</v>
      </c>
      <c r="C30" s="49"/>
      <c r="D30" s="49"/>
      <c r="E30" s="6" t="s">
        <v>51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17">
        <v>54227666</v>
      </c>
      <c r="U30" s="17">
        <f>T30-699918</f>
        <v>53527748</v>
      </c>
      <c r="V30" s="17">
        <v>8134149900</v>
      </c>
      <c r="W30" s="61"/>
      <c r="X30" s="14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MI30" s="7"/>
      <c r="AMJ30" s="7"/>
      <c r="AMK30" s="7"/>
      <c r="AML30" s="7"/>
      <c r="AMM30" s="7"/>
    </row>
    <row r="31" spans="1:1027" ht="15" customHeight="1" x14ac:dyDescent="0.2">
      <c r="A31" s="67"/>
      <c r="B31" s="53" t="s">
        <v>983</v>
      </c>
      <c r="C31" s="49" t="s">
        <v>218</v>
      </c>
      <c r="D31" s="49" t="s">
        <v>960</v>
      </c>
      <c r="E31" s="6" t="s">
        <v>52</v>
      </c>
      <c r="F31" s="49" t="s">
        <v>934</v>
      </c>
      <c r="G31" s="49" t="s">
        <v>935</v>
      </c>
      <c r="H31" s="49" t="s">
        <v>220</v>
      </c>
      <c r="I31" s="49" t="s">
        <v>938</v>
      </c>
      <c r="J31" s="49" t="s">
        <v>172</v>
      </c>
      <c r="K31" s="55" t="s">
        <v>172</v>
      </c>
      <c r="L31" s="49" t="s">
        <v>1</v>
      </c>
      <c r="M31" s="49" t="s">
        <v>497</v>
      </c>
      <c r="N31" s="49" t="s">
        <v>234</v>
      </c>
      <c r="O31" s="49" t="s">
        <v>236</v>
      </c>
      <c r="P31" s="49" t="s">
        <v>258</v>
      </c>
      <c r="Q31" s="49" t="s">
        <v>82</v>
      </c>
      <c r="R31" s="49">
        <v>2</v>
      </c>
      <c r="S31" s="55" t="s">
        <v>975</v>
      </c>
      <c r="T31" s="17">
        <v>67126952</v>
      </c>
      <c r="U31" s="17">
        <f>T31-1198111</f>
        <v>65928841</v>
      </c>
      <c r="V31" s="17">
        <v>10069042800</v>
      </c>
      <c r="W31" s="61">
        <f>15834081</f>
        <v>15834081</v>
      </c>
      <c r="X31" s="14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MI31" s="7"/>
      <c r="AMJ31" s="7"/>
      <c r="AMK31" s="7"/>
      <c r="AML31" s="7"/>
      <c r="AMM31" s="7"/>
    </row>
    <row r="32" spans="1:1027" ht="15" customHeight="1" x14ac:dyDescent="0.2">
      <c r="A32" s="67"/>
      <c r="B32" s="54" t="s">
        <v>644</v>
      </c>
      <c r="C32" s="49"/>
      <c r="D32" s="49"/>
      <c r="E32" s="6" t="s">
        <v>53</v>
      </c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17">
        <v>67126952</v>
      </c>
      <c r="U32" s="17">
        <f>T32-1198111</f>
        <v>65928841</v>
      </c>
      <c r="V32" s="17">
        <v>10069042800</v>
      </c>
      <c r="W32" s="61"/>
      <c r="X32" s="14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MI32" s="7"/>
      <c r="AMJ32" s="7"/>
      <c r="AMK32" s="7"/>
      <c r="AML32" s="7"/>
      <c r="AMM32" s="7"/>
    </row>
    <row r="33" spans="1:1027" ht="15" customHeight="1" x14ac:dyDescent="0.2">
      <c r="A33" s="67"/>
      <c r="B33" s="53" t="s">
        <v>983</v>
      </c>
      <c r="C33" s="49" t="s">
        <v>218</v>
      </c>
      <c r="D33" s="49" t="s">
        <v>960</v>
      </c>
      <c r="E33" s="6" t="s">
        <v>54</v>
      </c>
      <c r="F33" s="49" t="s">
        <v>934</v>
      </c>
      <c r="G33" s="49" t="s">
        <v>935</v>
      </c>
      <c r="H33" s="49" t="s">
        <v>221</v>
      </c>
      <c r="I33" s="49" t="s">
        <v>939</v>
      </c>
      <c r="J33" s="49" t="s">
        <v>172</v>
      </c>
      <c r="K33" s="55" t="s">
        <v>172</v>
      </c>
      <c r="L33" s="49" t="s">
        <v>1</v>
      </c>
      <c r="M33" s="49" t="s">
        <v>497</v>
      </c>
      <c r="N33" s="49" t="s">
        <v>234</v>
      </c>
      <c r="O33" s="49" t="s">
        <v>236</v>
      </c>
      <c r="P33" s="49" t="s">
        <v>258</v>
      </c>
      <c r="Q33" s="49" t="s">
        <v>83</v>
      </c>
      <c r="R33" s="49">
        <v>3</v>
      </c>
      <c r="S33" s="55" t="s">
        <v>975</v>
      </c>
      <c r="T33" s="17">
        <v>50325279</v>
      </c>
      <c r="U33" s="17">
        <f>T33-690905</f>
        <v>49634374</v>
      </c>
      <c r="V33" s="17">
        <v>7548791850</v>
      </c>
      <c r="W33" s="61">
        <f>12779398</f>
        <v>12779398</v>
      </c>
      <c r="X33" s="14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MI33" s="7"/>
      <c r="AMJ33" s="7"/>
      <c r="AMK33" s="7"/>
      <c r="AML33" s="7"/>
      <c r="AMM33" s="7"/>
    </row>
    <row r="34" spans="1:1027" ht="15" customHeight="1" x14ac:dyDescent="0.2">
      <c r="A34" s="67"/>
      <c r="B34" s="54" t="s">
        <v>644</v>
      </c>
      <c r="C34" s="49"/>
      <c r="D34" s="49"/>
      <c r="E34" s="6" t="s">
        <v>55</v>
      </c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17">
        <v>50325279</v>
      </c>
      <c r="U34" s="17">
        <f>T34-690905</f>
        <v>49634374</v>
      </c>
      <c r="V34" s="17">
        <v>7548791850</v>
      </c>
      <c r="W34" s="61"/>
      <c r="X34" s="14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MI34" s="7"/>
      <c r="AMJ34" s="7"/>
      <c r="AMK34" s="7"/>
      <c r="AML34" s="7"/>
      <c r="AMM34" s="7"/>
    </row>
    <row r="35" spans="1:1027" x14ac:dyDescent="0.2">
      <c r="A35" s="67"/>
      <c r="B35" s="53" t="s">
        <v>984</v>
      </c>
      <c r="C35" s="49" t="s">
        <v>218</v>
      </c>
      <c r="D35" s="49" t="s">
        <v>960</v>
      </c>
      <c r="E35" s="6" t="s">
        <v>56</v>
      </c>
      <c r="F35" s="49" t="s">
        <v>934</v>
      </c>
      <c r="G35" s="49" t="s">
        <v>936</v>
      </c>
      <c r="H35" s="49" t="s">
        <v>222</v>
      </c>
      <c r="I35" s="49" t="s">
        <v>940</v>
      </c>
      <c r="J35" s="49" t="s">
        <v>172</v>
      </c>
      <c r="K35" s="55" t="s">
        <v>172</v>
      </c>
      <c r="L35" s="49" t="s">
        <v>1</v>
      </c>
      <c r="M35" s="49" t="s">
        <v>497</v>
      </c>
      <c r="N35" s="49" t="s">
        <v>234</v>
      </c>
      <c r="O35" s="49" t="s">
        <v>236</v>
      </c>
      <c r="P35" s="49" t="s">
        <v>259</v>
      </c>
      <c r="Q35" s="49" t="s">
        <v>86</v>
      </c>
      <c r="R35" s="49">
        <v>1</v>
      </c>
      <c r="S35" s="55" t="s">
        <v>975</v>
      </c>
      <c r="T35" s="17">
        <v>69126110</v>
      </c>
      <c r="U35" s="17">
        <f>T35-1134625</f>
        <v>67991485</v>
      </c>
      <c r="V35" s="17">
        <v>10368916500</v>
      </c>
      <c r="W35" s="61">
        <f>14204329</f>
        <v>14204329</v>
      </c>
      <c r="X35" s="14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MI35" s="7"/>
      <c r="AMJ35" s="7"/>
      <c r="AMK35" s="7"/>
      <c r="AML35" s="7"/>
      <c r="AMM35" s="7"/>
    </row>
    <row r="36" spans="1:1027" x14ac:dyDescent="0.2">
      <c r="A36" s="67"/>
      <c r="B36" s="54" t="s">
        <v>644</v>
      </c>
      <c r="C36" s="49"/>
      <c r="D36" s="49"/>
      <c r="E36" s="6" t="s">
        <v>57</v>
      </c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17">
        <v>69126110</v>
      </c>
      <c r="U36" s="17">
        <f>T36-1134625</f>
        <v>67991485</v>
      </c>
      <c r="V36" s="17">
        <v>10368916500</v>
      </c>
      <c r="W36" s="61"/>
      <c r="X36" s="14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MI36" s="7"/>
      <c r="AMJ36" s="7"/>
      <c r="AMK36" s="7"/>
      <c r="AML36" s="7"/>
      <c r="AMM36" s="7"/>
    </row>
    <row r="37" spans="1:1027" ht="15" customHeight="1" x14ac:dyDescent="0.2">
      <c r="A37" s="67"/>
      <c r="B37" s="53" t="s">
        <v>984</v>
      </c>
      <c r="C37" s="49" t="s">
        <v>218</v>
      </c>
      <c r="D37" s="49" t="s">
        <v>960</v>
      </c>
      <c r="E37" s="6" t="s">
        <v>58</v>
      </c>
      <c r="F37" s="49" t="s">
        <v>934</v>
      </c>
      <c r="G37" s="49" t="s">
        <v>936</v>
      </c>
      <c r="H37" s="49" t="s">
        <v>223</v>
      </c>
      <c r="I37" s="49" t="s">
        <v>941</v>
      </c>
      <c r="J37" s="49" t="s">
        <v>172</v>
      </c>
      <c r="K37" s="55" t="s">
        <v>172</v>
      </c>
      <c r="L37" s="49" t="s">
        <v>1</v>
      </c>
      <c r="M37" s="49" t="s">
        <v>497</v>
      </c>
      <c r="N37" s="49" t="s">
        <v>234</v>
      </c>
      <c r="O37" s="49" t="s">
        <v>236</v>
      </c>
      <c r="P37" s="49" t="s">
        <v>259</v>
      </c>
      <c r="Q37" s="49" t="s">
        <v>84</v>
      </c>
      <c r="R37" s="49">
        <v>2</v>
      </c>
      <c r="S37" s="55" t="s">
        <v>975</v>
      </c>
      <c r="T37" s="17">
        <v>78882611</v>
      </c>
      <c r="U37" s="17">
        <f>T37-1081677</f>
        <v>77800934</v>
      </c>
      <c r="V37" s="17">
        <v>11832391650</v>
      </c>
      <c r="W37" s="61">
        <f>21260504</f>
        <v>21260504</v>
      </c>
      <c r="X37" s="14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MI37" s="7"/>
      <c r="AMJ37" s="7"/>
      <c r="AMK37" s="7"/>
      <c r="AML37" s="7"/>
      <c r="AMM37" s="7"/>
    </row>
    <row r="38" spans="1:1027" ht="15" customHeight="1" x14ac:dyDescent="0.2">
      <c r="A38" s="67"/>
      <c r="B38" s="54" t="s">
        <v>644</v>
      </c>
      <c r="C38" s="49"/>
      <c r="D38" s="49"/>
      <c r="E38" s="6" t="s">
        <v>59</v>
      </c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17">
        <v>78882611</v>
      </c>
      <c r="U38" s="17">
        <f>T38-1081677</f>
        <v>77800934</v>
      </c>
      <c r="V38" s="17">
        <v>11832391650</v>
      </c>
      <c r="W38" s="61"/>
      <c r="X38" s="14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MI38" s="7"/>
      <c r="AMJ38" s="7"/>
      <c r="AMK38" s="7"/>
      <c r="AML38" s="7"/>
      <c r="AMM38" s="7"/>
    </row>
    <row r="39" spans="1:1027" ht="15" customHeight="1" x14ac:dyDescent="0.2">
      <c r="A39" s="67"/>
      <c r="B39" s="53" t="s">
        <v>984</v>
      </c>
      <c r="C39" s="49" t="s">
        <v>218</v>
      </c>
      <c r="D39" s="49" t="s">
        <v>960</v>
      </c>
      <c r="E39" s="6" t="s">
        <v>60</v>
      </c>
      <c r="F39" s="49" t="s">
        <v>934</v>
      </c>
      <c r="G39" s="49" t="s">
        <v>936</v>
      </c>
      <c r="H39" s="49" t="s">
        <v>224</v>
      </c>
      <c r="I39" s="49" t="s">
        <v>942</v>
      </c>
      <c r="J39" s="49" t="s">
        <v>172</v>
      </c>
      <c r="K39" s="55" t="s">
        <v>172</v>
      </c>
      <c r="L39" s="49" t="s">
        <v>1</v>
      </c>
      <c r="M39" s="49" t="s">
        <v>497</v>
      </c>
      <c r="N39" s="49" t="s">
        <v>234</v>
      </c>
      <c r="O39" s="49" t="s">
        <v>236</v>
      </c>
      <c r="P39" s="49" t="s">
        <v>259</v>
      </c>
      <c r="Q39" s="49" t="s">
        <v>85</v>
      </c>
      <c r="R39" s="49">
        <v>3</v>
      </c>
      <c r="S39" s="55" t="s">
        <v>975</v>
      </c>
      <c r="T39" s="17">
        <v>57633404</v>
      </c>
      <c r="U39" s="17">
        <f>T39-743338</f>
        <v>56890066</v>
      </c>
      <c r="V39" s="17">
        <v>8645010600</v>
      </c>
      <c r="W39" s="61">
        <f>15426476</f>
        <v>15426476</v>
      </c>
      <c r="X39" s="14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MI39" s="7"/>
      <c r="AMJ39" s="7"/>
      <c r="AMK39" s="7"/>
      <c r="AML39" s="7"/>
      <c r="AMM39" s="7"/>
    </row>
    <row r="40" spans="1:1027" ht="15" customHeight="1" x14ac:dyDescent="0.2">
      <c r="A40" s="67"/>
      <c r="B40" s="54" t="s">
        <v>644</v>
      </c>
      <c r="C40" s="49"/>
      <c r="D40" s="49"/>
      <c r="E40" s="6" t="s">
        <v>61</v>
      </c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17">
        <v>57633404</v>
      </c>
      <c r="U40" s="17">
        <f>T40-743338</f>
        <v>56890066</v>
      </c>
      <c r="V40" s="17">
        <v>8645010600</v>
      </c>
      <c r="W40" s="61"/>
      <c r="X40" s="14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MI40" s="7"/>
      <c r="AMJ40" s="7"/>
      <c r="AMK40" s="7"/>
      <c r="AML40" s="7"/>
      <c r="AMM40" s="7"/>
    </row>
    <row r="41" spans="1:1027" x14ac:dyDescent="0.2">
      <c r="A41" s="67"/>
      <c r="B41" s="55" t="s">
        <v>985</v>
      </c>
      <c r="C41" s="49" t="s">
        <v>250</v>
      </c>
      <c r="D41" s="49" t="s">
        <v>960</v>
      </c>
      <c r="E41" s="6" t="s">
        <v>44</v>
      </c>
      <c r="F41" s="49" t="s">
        <v>853</v>
      </c>
      <c r="G41" s="49" t="s">
        <v>854</v>
      </c>
      <c r="H41" s="49" t="s">
        <v>855</v>
      </c>
      <c r="I41" s="49" t="s">
        <v>186</v>
      </c>
      <c r="J41" s="49" t="s">
        <v>966</v>
      </c>
      <c r="K41" s="49" t="s">
        <v>925</v>
      </c>
      <c r="L41" s="49" t="s">
        <v>1</v>
      </c>
      <c r="M41" s="49" t="s">
        <v>497</v>
      </c>
      <c r="N41" s="49" t="s">
        <v>234</v>
      </c>
      <c r="O41" s="49" t="s">
        <v>236</v>
      </c>
      <c r="P41" s="49" t="s">
        <v>239</v>
      </c>
      <c r="Q41" s="49" t="s">
        <v>87</v>
      </c>
      <c r="R41" s="49">
        <v>1</v>
      </c>
      <c r="S41" s="55" t="s">
        <v>975</v>
      </c>
      <c r="T41" s="17">
        <v>24429680</v>
      </c>
      <c r="U41" s="17">
        <f>T41-178994</f>
        <v>24250686</v>
      </c>
      <c r="V41" s="17">
        <v>3495659830</v>
      </c>
      <c r="W41" s="61">
        <f>11246230</f>
        <v>11246230</v>
      </c>
      <c r="X41" s="14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MI41" s="7"/>
      <c r="AMJ41" s="7"/>
      <c r="AMK41" s="7"/>
      <c r="AML41" s="7"/>
      <c r="AMM41" s="7"/>
    </row>
    <row r="42" spans="1:1027" x14ac:dyDescent="0.2">
      <c r="A42" s="67"/>
      <c r="B42" s="49" t="s">
        <v>866</v>
      </c>
      <c r="C42" s="49"/>
      <c r="D42" s="49"/>
      <c r="E42" s="6" t="s">
        <v>45</v>
      </c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17">
        <v>24429680</v>
      </c>
      <c r="U42" s="17">
        <f>T42-178994</f>
        <v>24250686</v>
      </c>
      <c r="V42" s="17">
        <v>3495722548</v>
      </c>
      <c r="W42" s="61"/>
      <c r="X42" s="14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MI42" s="7"/>
      <c r="AMJ42" s="7"/>
      <c r="AMK42" s="7"/>
      <c r="AML42" s="7"/>
      <c r="AMM42" s="7"/>
    </row>
    <row r="43" spans="1:1027" x14ac:dyDescent="0.2">
      <c r="A43" s="67"/>
      <c r="B43" s="55" t="s">
        <v>985</v>
      </c>
      <c r="C43" s="49" t="s">
        <v>250</v>
      </c>
      <c r="D43" s="49" t="s">
        <v>960</v>
      </c>
      <c r="E43" s="6" t="s">
        <v>46</v>
      </c>
      <c r="F43" s="49" t="s">
        <v>853</v>
      </c>
      <c r="G43" s="49" t="s">
        <v>854</v>
      </c>
      <c r="H43" s="49" t="s">
        <v>856</v>
      </c>
      <c r="I43" s="49" t="s">
        <v>187</v>
      </c>
      <c r="J43" s="49" t="s">
        <v>966</v>
      </c>
      <c r="K43" s="49" t="s">
        <v>925</v>
      </c>
      <c r="L43" s="49" t="s">
        <v>1</v>
      </c>
      <c r="M43" s="49" t="s">
        <v>497</v>
      </c>
      <c r="N43" s="49" t="s">
        <v>234</v>
      </c>
      <c r="O43" s="49" t="s">
        <v>236</v>
      </c>
      <c r="P43" s="49" t="s">
        <v>239</v>
      </c>
      <c r="Q43" s="49" t="s">
        <v>88</v>
      </c>
      <c r="R43" s="49">
        <v>2</v>
      </c>
      <c r="S43" s="55" t="s">
        <v>975</v>
      </c>
      <c r="T43" s="17">
        <v>26997634</v>
      </c>
      <c r="U43" s="17">
        <f>T43-194493</f>
        <v>26803141</v>
      </c>
      <c r="V43" s="17">
        <v>3941501352</v>
      </c>
      <c r="W43" s="61">
        <f>13946275</f>
        <v>13946275</v>
      </c>
      <c r="X43" s="14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MI43" s="7"/>
      <c r="AMJ43" s="7"/>
      <c r="AMK43" s="7"/>
      <c r="AML43" s="7"/>
      <c r="AMM43" s="7"/>
    </row>
    <row r="44" spans="1:1027" x14ac:dyDescent="0.2">
      <c r="A44" s="67"/>
      <c r="B44" s="49" t="s">
        <v>866</v>
      </c>
      <c r="C44" s="49"/>
      <c r="D44" s="49"/>
      <c r="E44" s="6" t="s">
        <v>47</v>
      </c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17">
        <v>26997634</v>
      </c>
      <c r="U44" s="17">
        <f>T44-194493</f>
        <v>26803141</v>
      </c>
      <c r="V44" s="17">
        <v>3941018915</v>
      </c>
      <c r="W44" s="61"/>
      <c r="X44" s="14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MI44" s="7"/>
      <c r="AMJ44" s="7"/>
      <c r="AMK44" s="7"/>
      <c r="AML44" s="7"/>
      <c r="AMM44" s="7"/>
    </row>
    <row r="45" spans="1:1027" x14ac:dyDescent="0.2">
      <c r="A45" s="67"/>
      <c r="B45" s="55" t="s">
        <v>985</v>
      </c>
      <c r="C45" s="49" t="s">
        <v>250</v>
      </c>
      <c r="D45" s="49" t="s">
        <v>960</v>
      </c>
      <c r="E45" s="6" t="s">
        <v>48</v>
      </c>
      <c r="F45" s="49" t="s">
        <v>853</v>
      </c>
      <c r="G45" s="49" t="s">
        <v>854</v>
      </c>
      <c r="H45" s="49" t="s">
        <v>857</v>
      </c>
      <c r="I45" s="49" t="s">
        <v>188</v>
      </c>
      <c r="J45" s="49" t="s">
        <v>966</v>
      </c>
      <c r="K45" s="49" t="s">
        <v>925</v>
      </c>
      <c r="L45" s="49" t="s">
        <v>1</v>
      </c>
      <c r="M45" s="49" t="s">
        <v>497</v>
      </c>
      <c r="N45" s="49" t="s">
        <v>234</v>
      </c>
      <c r="O45" s="49" t="s">
        <v>236</v>
      </c>
      <c r="P45" s="49" t="s">
        <v>239</v>
      </c>
      <c r="Q45" s="49" t="s">
        <v>89</v>
      </c>
      <c r="R45" s="49">
        <v>3</v>
      </c>
      <c r="S45" s="55" t="s">
        <v>975</v>
      </c>
      <c r="T45" s="17">
        <v>26842950</v>
      </c>
      <c r="U45" s="17">
        <f>T45-215627</f>
        <v>26627323</v>
      </c>
      <c r="V45" s="17">
        <v>3910592083</v>
      </c>
      <c r="W45" s="61">
        <f>13294234</f>
        <v>13294234</v>
      </c>
      <c r="X45" s="14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MI45" s="7"/>
      <c r="AMJ45" s="7"/>
      <c r="AMK45" s="7"/>
      <c r="AML45" s="7"/>
      <c r="AMM45" s="7"/>
    </row>
    <row r="46" spans="1:1027" x14ac:dyDescent="0.2">
      <c r="A46" s="67"/>
      <c r="B46" s="49" t="s">
        <v>866</v>
      </c>
      <c r="C46" s="49"/>
      <c r="D46" s="49"/>
      <c r="E46" s="6" t="s">
        <v>49</v>
      </c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17">
        <v>26842950</v>
      </c>
      <c r="U46" s="17">
        <f>T46-215627</f>
        <v>26627323</v>
      </c>
      <c r="V46" s="17">
        <v>3957243318</v>
      </c>
      <c r="W46" s="61"/>
      <c r="X46" s="14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MI46" s="7"/>
      <c r="AMJ46" s="7"/>
      <c r="AMK46" s="7"/>
      <c r="AML46" s="7"/>
      <c r="AMM46" s="7"/>
    </row>
    <row r="47" spans="1:1027" x14ac:dyDescent="0.2">
      <c r="B47" s="42" t="s">
        <v>986</v>
      </c>
      <c r="C47" s="18" t="s">
        <v>21</v>
      </c>
      <c r="D47" s="2" t="s">
        <v>960</v>
      </c>
      <c r="E47" s="6" t="s">
        <v>66</v>
      </c>
      <c r="F47" s="2" t="s">
        <v>833</v>
      </c>
      <c r="G47" s="2" t="s">
        <v>859</v>
      </c>
      <c r="H47" s="2" t="s">
        <v>858</v>
      </c>
      <c r="I47" s="2" t="s">
        <v>180</v>
      </c>
      <c r="J47" s="2" t="s">
        <v>179</v>
      </c>
      <c r="K47" s="2" t="s">
        <v>926</v>
      </c>
      <c r="L47" s="2" t="s">
        <v>1</v>
      </c>
      <c r="M47" s="2" t="s">
        <v>497</v>
      </c>
      <c r="N47" s="2" t="s">
        <v>234</v>
      </c>
      <c r="O47" s="2" t="s">
        <v>236</v>
      </c>
      <c r="P47" s="2" t="s">
        <v>247</v>
      </c>
      <c r="Q47" s="2" t="s">
        <v>112</v>
      </c>
      <c r="R47" s="2">
        <v>1</v>
      </c>
      <c r="S47" s="2" t="s">
        <v>124</v>
      </c>
      <c r="T47" s="17">
        <v>32080985</v>
      </c>
      <c r="U47" s="17">
        <f>T47-1110689</f>
        <v>30970296</v>
      </c>
      <c r="V47" s="17">
        <v>3208098500</v>
      </c>
      <c r="W47" s="40">
        <v>16396976</v>
      </c>
      <c r="X47" s="14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MI47" s="7"/>
      <c r="AMJ47" s="7"/>
      <c r="AMK47" s="7"/>
      <c r="AML47" s="7"/>
      <c r="AMM47" s="7"/>
    </row>
    <row r="48" spans="1:1027" x14ac:dyDescent="0.2">
      <c r="B48" s="42" t="s">
        <v>986</v>
      </c>
      <c r="C48" s="18" t="s">
        <v>21</v>
      </c>
      <c r="D48" s="2" t="s">
        <v>960</v>
      </c>
      <c r="E48" s="6" t="s">
        <v>67</v>
      </c>
      <c r="F48" s="2" t="s">
        <v>833</v>
      </c>
      <c r="G48" s="2" t="s">
        <v>861</v>
      </c>
      <c r="H48" s="2" t="s">
        <v>860</v>
      </c>
      <c r="I48" s="2" t="s">
        <v>195</v>
      </c>
      <c r="J48" s="2" t="s">
        <v>179</v>
      </c>
      <c r="K48" s="2" t="s">
        <v>926</v>
      </c>
      <c r="L48" s="2" t="s">
        <v>1</v>
      </c>
      <c r="M48" s="2" t="s">
        <v>497</v>
      </c>
      <c r="N48" s="2" t="s">
        <v>234</v>
      </c>
      <c r="O48" s="2" t="s">
        <v>236</v>
      </c>
      <c r="P48" s="2" t="s">
        <v>247</v>
      </c>
      <c r="Q48" s="2" t="s">
        <v>113</v>
      </c>
      <c r="R48" s="2">
        <v>2</v>
      </c>
      <c r="S48" s="2" t="s">
        <v>124</v>
      </c>
      <c r="T48" s="17">
        <v>34753366</v>
      </c>
      <c r="U48" s="17">
        <f>T48-1118215</f>
        <v>33635151</v>
      </c>
      <c r="V48" s="17">
        <v>3457336600</v>
      </c>
      <c r="W48" s="40">
        <v>16792562</v>
      </c>
      <c r="X48" s="14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MI48" s="7"/>
      <c r="AMJ48" s="7"/>
      <c r="AMK48" s="7"/>
      <c r="AML48" s="7"/>
      <c r="AMM48" s="7"/>
    </row>
    <row r="49" spans="1:1027" x14ac:dyDescent="0.2">
      <c r="B49" s="45" t="s">
        <v>987</v>
      </c>
      <c r="C49" s="18" t="s">
        <v>21</v>
      </c>
      <c r="D49" s="2" t="s">
        <v>960</v>
      </c>
      <c r="E49" s="6" t="s">
        <v>68</v>
      </c>
      <c r="F49" s="2" t="s">
        <v>817</v>
      </c>
      <c r="G49" s="2" t="s">
        <v>862</v>
      </c>
      <c r="H49" s="2" t="s">
        <v>181</v>
      </c>
      <c r="I49" s="2" t="s">
        <v>863</v>
      </c>
      <c r="J49" s="2" t="s">
        <v>961</v>
      </c>
      <c r="K49" s="2" t="s">
        <v>917</v>
      </c>
      <c r="L49" s="2" t="s">
        <v>1</v>
      </c>
      <c r="M49" s="2" t="s">
        <v>497</v>
      </c>
      <c r="N49" s="2" t="s">
        <v>234</v>
      </c>
      <c r="O49" s="2" t="s">
        <v>236</v>
      </c>
      <c r="P49" s="2" t="s">
        <v>245</v>
      </c>
      <c r="Q49" s="2" t="s">
        <v>116</v>
      </c>
      <c r="R49" s="2">
        <v>1</v>
      </c>
      <c r="S49" s="42" t="s">
        <v>975</v>
      </c>
      <c r="T49" s="17">
        <v>83664160</v>
      </c>
      <c r="U49" s="17">
        <f>T49-211926-9841</f>
        <v>83442393</v>
      </c>
      <c r="V49" s="17">
        <v>12649624000</v>
      </c>
      <c r="W49" s="40">
        <v>40297372</v>
      </c>
      <c r="X49" s="14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MI49" s="7"/>
      <c r="AMJ49" s="7"/>
      <c r="AMK49" s="7"/>
      <c r="AML49" s="7"/>
      <c r="AMM49" s="7"/>
    </row>
    <row r="50" spans="1:1027" x14ac:dyDescent="0.2">
      <c r="B50" s="45" t="s">
        <v>987</v>
      </c>
      <c r="C50" s="18" t="s">
        <v>21</v>
      </c>
      <c r="D50" s="2" t="s">
        <v>960</v>
      </c>
      <c r="E50" s="6" t="s">
        <v>69</v>
      </c>
      <c r="F50" s="2" t="s">
        <v>817</v>
      </c>
      <c r="G50" s="2" t="s">
        <v>865</v>
      </c>
      <c r="H50" s="2" t="s">
        <v>182</v>
      </c>
      <c r="I50" s="2" t="s">
        <v>864</v>
      </c>
      <c r="J50" s="2" t="s">
        <v>961</v>
      </c>
      <c r="K50" s="2" t="s">
        <v>917</v>
      </c>
      <c r="L50" s="2" t="s">
        <v>1</v>
      </c>
      <c r="M50" s="2" t="s">
        <v>497</v>
      </c>
      <c r="N50" s="2" t="s">
        <v>234</v>
      </c>
      <c r="O50" s="2" t="s">
        <v>236</v>
      </c>
      <c r="P50" s="2" t="s">
        <v>245</v>
      </c>
      <c r="Q50" s="2" t="s">
        <v>117</v>
      </c>
      <c r="R50" s="2">
        <v>2</v>
      </c>
      <c r="S50" s="42" t="s">
        <v>975</v>
      </c>
      <c r="T50" s="17">
        <v>87584968</v>
      </c>
      <c r="U50" s="17">
        <f>T50-250531-10372</f>
        <v>87324065</v>
      </c>
      <c r="V50" s="17">
        <v>13137745200</v>
      </c>
      <c r="W50" s="40">
        <v>42249745</v>
      </c>
      <c r="X50" s="14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MI50" s="7"/>
      <c r="AMJ50" s="7"/>
      <c r="AMK50" s="7"/>
      <c r="AML50" s="7"/>
      <c r="AMM50" s="7"/>
    </row>
    <row r="51" spans="1:1027" x14ac:dyDescent="0.2">
      <c r="B51" s="45" t="s">
        <v>987</v>
      </c>
      <c r="C51" s="18" t="s">
        <v>21</v>
      </c>
      <c r="D51" s="2" t="s">
        <v>960</v>
      </c>
      <c r="E51" s="6" t="s">
        <v>70</v>
      </c>
      <c r="F51" s="2" t="s">
        <v>822</v>
      </c>
      <c r="G51" s="2" t="s">
        <v>874</v>
      </c>
      <c r="H51" s="2" t="s">
        <v>183</v>
      </c>
      <c r="I51" s="2" t="s">
        <v>875</v>
      </c>
      <c r="J51" s="2" t="s">
        <v>961</v>
      </c>
      <c r="K51" s="2" t="s">
        <v>917</v>
      </c>
      <c r="L51" s="2" t="s">
        <v>1</v>
      </c>
      <c r="M51" s="2" t="s">
        <v>497</v>
      </c>
      <c r="N51" s="2" t="s">
        <v>234</v>
      </c>
      <c r="O51" s="2" t="s">
        <v>236</v>
      </c>
      <c r="P51" s="2" t="s">
        <v>245</v>
      </c>
      <c r="Q51" s="2" t="s">
        <v>118</v>
      </c>
      <c r="R51" s="2">
        <v>3</v>
      </c>
      <c r="S51" s="42" t="s">
        <v>975</v>
      </c>
      <c r="T51" s="17">
        <v>49156939</v>
      </c>
      <c r="U51" s="17">
        <f>T51-142063-42736</f>
        <v>48972140</v>
      </c>
      <c r="V51" s="17">
        <v>7373540850</v>
      </c>
      <c r="W51" s="40">
        <v>21591296</v>
      </c>
      <c r="X51" s="14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MI51" s="7"/>
      <c r="AMJ51" s="7"/>
      <c r="AMK51" s="7"/>
      <c r="AML51" s="7"/>
      <c r="AMM51" s="7"/>
    </row>
    <row r="52" spans="1:1027" x14ac:dyDescent="0.2">
      <c r="B52" s="45" t="s">
        <v>987</v>
      </c>
      <c r="C52" s="12" t="s">
        <v>21</v>
      </c>
      <c r="D52" s="1" t="s">
        <v>960</v>
      </c>
      <c r="E52" s="7" t="s">
        <v>71</v>
      </c>
      <c r="F52" s="1" t="s">
        <v>822</v>
      </c>
      <c r="G52" s="1" t="s">
        <v>876</v>
      </c>
      <c r="H52" s="1" t="s">
        <v>184</v>
      </c>
      <c r="I52" s="1" t="s">
        <v>877</v>
      </c>
      <c r="J52" s="2" t="s">
        <v>961</v>
      </c>
      <c r="K52" s="2" t="s">
        <v>917</v>
      </c>
      <c r="L52" s="1" t="s">
        <v>1</v>
      </c>
      <c r="M52" s="1" t="s">
        <v>497</v>
      </c>
      <c r="N52" s="1" t="s">
        <v>234</v>
      </c>
      <c r="O52" s="1" t="s">
        <v>236</v>
      </c>
      <c r="P52" s="1" t="s">
        <v>245</v>
      </c>
      <c r="Q52" s="1" t="s">
        <v>119</v>
      </c>
      <c r="R52" s="1">
        <v>4</v>
      </c>
      <c r="S52" s="42" t="s">
        <v>975</v>
      </c>
      <c r="T52" s="13">
        <v>106916028</v>
      </c>
      <c r="U52" s="13">
        <f>T52-288563-93616</f>
        <v>106533849</v>
      </c>
      <c r="V52" s="13">
        <v>16037404200</v>
      </c>
      <c r="W52" s="38">
        <v>49982055</v>
      </c>
      <c r="X52" s="14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MI52" s="7"/>
      <c r="AMJ52" s="7"/>
      <c r="AMK52" s="7"/>
      <c r="AML52" s="7"/>
      <c r="AMM52" s="7"/>
    </row>
    <row r="53" spans="1:1027" x14ac:dyDescent="0.2">
      <c r="B53" s="42" t="s">
        <v>988</v>
      </c>
      <c r="C53" s="12" t="s">
        <v>21</v>
      </c>
      <c r="D53" s="1" t="s">
        <v>960</v>
      </c>
      <c r="E53" s="6" t="s">
        <v>72</v>
      </c>
      <c r="F53" s="1" t="s">
        <v>833</v>
      </c>
      <c r="G53" s="1" t="s">
        <v>879</v>
      </c>
      <c r="H53" s="1" t="s">
        <v>878</v>
      </c>
      <c r="I53" s="1" t="s">
        <v>196</v>
      </c>
      <c r="J53" s="2" t="s">
        <v>179</v>
      </c>
      <c r="K53" s="2" t="s">
        <v>926</v>
      </c>
      <c r="L53" s="1" t="s">
        <v>1</v>
      </c>
      <c r="M53" s="1" t="s">
        <v>497</v>
      </c>
      <c r="N53" s="1" t="s">
        <v>234</v>
      </c>
      <c r="O53" s="1" t="s">
        <v>236</v>
      </c>
      <c r="P53" s="1" t="s">
        <v>248</v>
      </c>
      <c r="Q53" s="1" t="s">
        <v>114</v>
      </c>
      <c r="R53" s="1">
        <v>1</v>
      </c>
      <c r="S53" s="1" t="s">
        <v>124</v>
      </c>
      <c r="T53" s="13">
        <v>35017809</v>
      </c>
      <c r="U53" s="13">
        <f>T53-1132740</f>
        <v>33885069</v>
      </c>
      <c r="V53" s="13">
        <v>3501780900</v>
      </c>
      <c r="W53" s="38">
        <v>15898143</v>
      </c>
      <c r="X53" s="14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MI53" s="7"/>
      <c r="AMJ53" s="7"/>
      <c r="AMK53" s="7"/>
      <c r="AML53" s="7"/>
      <c r="AMM53" s="7"/>
    </row>
    <row r="54" spans="1:1027" x14ac:dyDescent="0.2">
      <c r="B54" s="42" t="s">
        <v>988</v>
      </c>
      <c r="C54" s="12" t="s">
        <v>21</v>
      </c>
      <c r="D54" s="1" t="s">
        <v>960</v>
      </c>
      <c r="E54" s="6" t="s">
        <v>73</v>
      </c>
      <c r="F54" s="1" t="s">
        <v>833</v>
      </c>
      <c r="G54" s="1" t="s">
        <v>881</v>
      </c>
      <c r="H54" s="1" t="s">
        <v>880</v>
      </c>
      <c r="I54" s="1" t="s">
        <v>197</v>
      </c>
      <c r="J54" s="2" t="s">
        <v>179</v>
      </c>
      <c r="K54" s="2" t="s">
        <v>926</v>
      </c>
      <c r="L54" s="1" t="s">
        <v>1</v>
      </c>
      <c r="M54" s="1" t="s">
        <v>497</v>
      </c>
      <c r="N54" s="1" t="s">
        <v>234</v>
      </c>
      <c r="O54" s="1" t="s">
        <v>236</v>
      </c>
      <c r="P54" s="1" t="s">
        <v>248</v>
      </c>
      <c r="Q54" s="1" t="s">
        <v>115</v>
      </c>
      <c r="R54" s="1">
        <v>2</v>
      </c>
      <c r="S54" s="1" t="s">
        <v>124</v>
      </c>
      <c r="T54" s="13">
        <v>32818363</v>
      </c>
      <c r="U54" s="13">
        <f>T54-1036514</f>
        <v>31781849</v>
      </c>
      <c r="V54" s="13">
        <v>3281836300</v>
      </c>
      <c r="W54" s="38">
        <v>15184823</v>
      </c>
      <c r="X54" s="14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MI54" s="7"/>
      <c r="AMJ54" s="7"/>
      <c r="AMK54" s="7"/>
      <c r="AML54" s="7"/>
      <c r="AMM54" s="7"/>
    </row>
    <row r="55" spans="1:1027" x14ac:dyDescent="0.2">
      <c r="B55" s="45" t="s">
        <v>987</v>
      </c>
      <c r="C55" s="1" t="s">
        <v>233</v>
      </c>
      <c r="D55" s="1" t="s">
        <v>960</v>
      </c>
      <c r="E55" s="7" t="s">
        <v>74</v>
      </c>
      <c r="F55" s="1" t="s">
        <v>833</v>
      </c>
      <c r="G55" s="1" t="s">
        <v>890</v>
      </c>
      <c r="H55" s="1" t="s">
        <v>889</v>
      </c>
      <c r="I55" s="1" t="s">
        <v>189</v>
      </c>
      <c r="J55" s="2" t="s">
        <v>179</v>
      </c>
      <c r="K55" s="2" t="s">
        <v>926</v>
      </c>
      <c r="L55" s="1" t="s">
        <v>185</v>
      </c>
      <c r="M55" s="1" t="s">
        <v>497</v>
      </c>
      <c r="N55" s="1" t="s">
        <v>234</v>
      </c>
      <c r="O55" s="1" t="s">
        <v>236</v>
      </c>
      <c r="P55" s="1" t="s">
        <v>249</v>
      </c>
      <c r="Q55" s="1" t="s">
        <v>120</v>
      </c>
      <c r="R55" s="1">
        <v>1</v>
      </c>
      <c r="S55" s="1" t="s">
        <v>124</v>
      </c>
      <c r="T55" s="13">
        <v>37221214</v>
      </c>
      <c r="U55" s="13">
        <f>T55-800688-1610</f>
        <v>36418916</v>
      </c>
      <c r="V55" s="13">
        <v>3722121400</v>
      </c>
      <c r="W55" s="38">
        <v>16368892</v>
      </c>
      <c r="X55" s="14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MI55" s="7"/>
      <c r="AMJ55" s="7"/>
      <c r="AMK55" s="7"/>
      <c r="AML55" s="7"/>
      <c r="AMM55" s="7"/>
    </row>
    <row r="56" spans="1:1027" x14ac:dyDescent="0.2">
      <c r="B56" s="45" t="s">
        <v>987</v>
      </c>
      <c r="C56" s="1" t="s">
        <v>233</v>
      </c>
      <c r="D56" s="1" t="s">
        <v>960</v>
      </c>
      <c r="E56" s="43" t="s">
        <v>75</v>
      </c>
      <c r="F56" s="1" t="s">
        <v>833</v>
      </c>
      <c r="G56" s="1" t="s">
        <v>884</v>
      </c>
      <c r="H56" s="1" t="s">
        <v>885</v>
      </c>
      <c r="I56" s="1" t="s">
        <v>190</v>
      </c>
      <c r="J56" s="2" t="s">
        <v>179</v>
      </c>
      <c r="K56" s="2" t="s">
        <v>926</v>
      </c>
      <c r="L56" s="1" t="s">
        <v>185</v>
      </c>
      <c r="M56" s="1" t="s">
        <v>497</v>
      </c>
      <c r="N56" s="1" t="s">
        <v>234</v>
      </c>
      <c r="O56" s="1" t="s">
        <v>236</v>
      </c>
      <c r="P56" s="1" t="s">
        <v>249</v>
      </c>
      <c r="Q56" s="1" t="s">
        <v>121</v>
      </c>
      <c r="R56" s="1">
        <v>2</v>
      </c>
      <c r="S56" s="1" t="s">
        <v>124</v>
      </c>
      <c r="T56" s="13">
        <v>29670293</v>
      </c>
      <c r="U56" s="13">
        <f>T56-702445-1238</f>
        <v>28966610</v>
      </c>
      <c r="V56" s="13">
        <v>2967029300</v>
      </c>
      <c r="W56" s="38">
        <v>14694350</v>
      </c>
      <c r="X56" s="14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MI56" s="7"/>
      <c r="AMJ56" s="7"/>
      <c r="AMK56" s="7"/>
      <c r="AML56" s="7"/>
      <c r="AMM56" s="7"/>
    </row>
    <row r="57" spans="1:1027" x14ac:dyDescent="0.2">
      <c r="A57" s="49" t="s">
        <v>735</v>
      </c>
      <c r="B57" s="49" t="s">
        <v>954</v>
      </c>
      <c r="C57" s="49" t="s">
        <v>233</v>
      </c>
      <c r="D57" s="49" t="s">
        <v>960</v>
      </c>
      <c r="E57" s="6" t="s">
        <v>76</v>
      </c>
      <c r="F57" s="49" t="s">
        <v>833</v>
      </c>
      <c r="G57" s="49" t="s">
        <v>882</v>
      </c>
      <c r="H57" s="49" t="s">
        <v>883</v>
      </c>
      <c r="I57" s="49" t="s">
        <v>5</v>
      </c>
      <c r="J57" s="49" t="s">
        <v>967</v>
      </c>
      <c r="K57" s="49" t="s">
        <v>920</v>
      </c>
      <c r="L57" s="49" t="s">
        <v>4</v>
      </c>
      <c r="M57" s="49" t="s">
        <v>497</v>
      </c>
      <c r="N57" s="49" t="s">
        <v>233</v>
      </c>
      <c r="O57" s="49" t="s">
        <v>236</v>
      </c>
      <c r="P57" s="54" t="s">
        <v>238</v>
      </c>
      <c r="Q57" s="49" t="s">
        <v>96</v>
      </c>
      <c r="R57" s="49">
        <v>1</v>
      </c>
      <c r="S57" s="55" t="s">
        <v>975</v>
      </c>
      <c r="T57" s="17">
        <v>29782802</v>
      </c>
      <c r="U57" s="17">
        <f>T57-800376</f>
        <v>28982426</v>
      </c>
      <c r="V57" s="17">
        <v>3722850250</v>
      </c>
      <c r="W57" s="58">
        <f>13205446</f>
        <v>13205446</v>
      </c>
      <c r="X57" s="14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MI57" s="7"/>
      <c r="AMJ57" s="7"/>
      <c r="AMK57" s="7"/>
      <c r="AML57" s="7"/>
      <c r="AMM57" s="7"/>
    </row>
    <row r="58" spans="1:1027" x14ac:dyDescent="0.2">
      <c r="A58" s="49"/>
      <c r="B58" s="49" t="s">
        <v>867</v>
      </c>
      <c r="C58" s="49"/>
      <c r="D58" s="49"/>
      <c r="E58" s="6" t="s">
        <v>77</v>
      </c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54"/>
      <c r="Q58" s="49"/>
      <c r="R58" s="49"/>
      <c r="S58" s="49"/>
      <c r="T58" s="17">
        <v>29782802</v>
      </c>
      <c r="U58" s="17">
        <f>T58-800376</f>
        <v>28982426</v>
      </c>
      <c r="V58" s="17">
        <v>3722850250</v>
      </c>
      <c r="W58" s="58"/>
      <c r="X58" s="14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MI58" s="7"/>
      <c r="AMJ58" s="7"/>
      <c r="AMK58" s="7"/>
      <c r="AML58" s="7"/>
      <c r="AMM58" s="7"/>
    </row>
    <row r="59" spans="1:1027" ht="15" customHeight="1" x14ac:dyDescent="0.2">
      <c r="A59" s="49" t="s">
        <v>735</v>
      </c>
      <c r="B59" s="55" t="s">
        <v>954</v>
      </c>
      <c r="C59" s="49" t="s">
        <v>233</v>
      </c>
      <c r="D59" s="49" t="s">
        <v>960</v>
      </c>
      <c r="E59" s="6" t="s">
        <v>78</v>
      </c>
      <c r="F59" s="49" t="s">
        <v>833</v>
      </c>
      <c r="G59" s="49" t="s">
        <v>892</v>
      </c>
      <c r="H59" s="49" t="s">
        <v>891</v>
      </c>
      <c r="I59" s="49" t="s">
        <v>6</v>
      </c>
      <c r="J59" s="49" t="s">
        <v>967</v>
      </c>
      <c r="K59" s="49" t="s">
        <v>920</v>
      </c>
      <c r="L59" s="49" t="s">
        <v>4</v>
      </c>
      <c r="M59" s="49" t="s">
        <v>497</v>
      </c>
      <c r="N59" s="49" t="s">
        <v>233</v>
      </c>
      <c r="O59" s="49" t="s">
        <v>236</v>
      </c>
      <c r="P59" s="54" t="s">
        <v>238</v>
      </c>
      <c r="Q59" s="49" t="s">
        <v>97</v>
      </c>
      <c r="R59" s="49">
        <v>2</v>
      </c>
      <c r="S59" s="55" t="s">
        <v>975</v>
      </c>
      <c r="T59" s="17">
        <v>23941428</v>
      </c>
      <c r="U59" s="17">
        <f>T59-646059</f>
        <v>23295369</v>
      </c>
      <c r="V59" s="17">
        <v>2992678500</v>
      </c>
      <c r="W59" s="58">
        <f>9792565</f>
        <v>9792565</v>
      </c>
      <c r="X59" s="14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MI59" s="7"/>
      <c r="AMJ59" s="7"/>
      <c r="AMK59" s="7"/>
      <c r="AML59" s="7"/>
      <c r="AMM59" s="7"/>
    </row>
    <row r="60" spans="1:1027" x14ac:dyDescent="0.2">
      <c r="A60" s="49"/>
      <c r="B60" s="49" t="s">
        <v>867</v>
      </c>
      <c r="C60" s="49"/>
      <c r="D60" s="49"/>
      <c r="E60" s="6" t="s">
        <v>79</v>
      </c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54"/>
      <c r="Q60" s="49"/>
      <c r="R60" s="49"/>
      <c r="S60" s="49"/>
      <c r="T60" s="17">
        <v>23941428</v>
      </c>
      <c r="U60" s="17">
        <f>T60-646059</f>
        <v>23295369</v>
      </c>
      <c r="V60" s="17">
        <v>2992678500</v>
      </c>
      <c r="W60" s="58"/>
      <c r="X60" s="14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MI60" s="7"/>
      <c r="AMJ60" s="7"/>
      <c r="AMK60" s="7"/>
      <c r="AML60" s="7"/>
      <c r="AMM60" s="7"/>
    </row>
    <row r="61" spans="1:1027" x14ac:dyDescent="0.2">
      <c r="A61" s="67"/>
      <c r="B61" s="49" t="s">
        <v>957</v>
      </c>
      <c r="C61" s="60" t="s">
        <v>21</v>
      </c>
      <c r="D61" s="59" t="s">
        <v>0</v>
      </c>
      <c r="E61" s="7" t="s">
        <v>125</v>
      </c>
      <c r="F61" s="51" t="s">
        <v>886</v>
      </c>
      <c r="G61" s="51" t="s">
        <v>887</v>
      </c>
      <c r="H61" s="51" t="s">
        <v>204</v>
      </c>
      <c r="I61" s="51" t="s">
        <v>888</v>
      </c>
      <c r="J61" s="56" t="s">
        <v>968</v>
      </c>
      <c r="K61" s="56" t="s">
        <v>931</v>
      </c>
      <c r="L61" s="51" t="s">
        <v>493</v>
      </c>
      <c r="M61" s="51" t="s">
        <v>495</v>
      </c>
      <c r="N61" s="52" t="s">
        <v>235</v>
      </c>
      <c r="O61" s="52" t="s">
        <v>231</v>
      </c>
      <c r="P61" s="57" t="s">
        <v>254</v>
      </c>
      <c r="Q61" s="49"/>
      <c r="R61" s="51">
        <v>1</v>
      </c>
      <c r="S61" s="55" t="s">
        <v>975</v>
      </c>
      <c r="T61" s="19">
        <v>30436655</v>
      </c>
      <c r="U61" s="19">
        <f>T61-1169873</f>
        <v>29266782</v>
      </c>
      <c r="V61" s="19">
        <v>3074102155</v>
      </c>
      <c r="W61" s="58">
        <f>4354680</f>
        <v>4354680</v>
      </c>
      <c r="X61" s="14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MI61" s="7"/>
      <c r="AMJ61" s="7"/>
      <c r="AMK61" s="7"/>
      <c r="AML61" s="7"/>
      <c r="AMM61" s="7"/>
    </row>
    <row r="62" spans="1:1027" x14ac:dyDescent="0.2">
      <c r="A62" s="67"/>
      <c r="B62" s="49" t="s">
        <v>868</v>
      </c>
      <c r="C62" s="51"/>
      <c r="D62" s="59"/>
      <c r="E62" s="7" t="s">
        <v>126</v>
      </c>
      <c r="F62" s="51"/>
      <c r="G62" s="51"/>
      <c r="H62" s="51"/>
      <c r="I62" s="51"/>
      <c r="J62" s="56"/>
      <c r="K62" s="56"/>
      <c r="L62" s="51"/>
      <c r="M62" s="51"/>
      <c r="N62" s="52"/>
      <c r="O62" s="52"/>
      <c r="P62" s="57"/>
      <c r="Q62" s="49"/>
      <c r="R62" s="51"/>
      <c r="S62" s="49"/>
      <c r="T62" s="19">
        <v>30436655</v>
      </c>
      <c r="U62" s="19">
        <f>T62-1169873</f>
        <v>29266782</v>
      </c>
      <c r="V62" s="19">
        <v>3074102155</v>
      </c>
      <c r="W62" s="58"/>
      <c r="X62" s="14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MI62" s="7"/>
      <c r="AMJ62" s="7"/>
      <c r="AMK62" s="7"/>
      <c r="AML62" s="7"/>
      <c r="AMM62" s="7"/>
    </row>
    <row r="63" spans="1:1027" ht="16" x14ac:dyDescent="0.2">
      <c r="B63" s="20" t="s">
        <v>957</v>
      </c>
      <c r="C63" s="21" t="s">
        <v>21</v>
      </c>
      <c r="D63" s="22" t="s">
        <v>0</v>
      </c>
      <c r="E63" s="7" t="s">
        <v>127</v>
      </c>
      <c r="F63" s="1" t="s">
        <v>886</v>
      </c>
      <c r="G63" s="23" t="s">
        <v>893</v>
      </c>
      <c r="H63" s="23" t="s">
        <v>205</v>
      </c>
      <c r="I63" s="23" t="s">
        <v>894</v>
      </c>
      <c r="J63" s="24" t="s">
        <v>968</v>
      </c>
      <c r="K63" s="24" t="s">
        <v>931</v>
      </c>
      <c r="L63" s="23" t="s">
        <v>493</v>
      </c>
      <c r="M63" s="23" t="s">
        <v>495</v>
      </c>
      <c r="N63" s="1" t="s">
        <v>235</v>
      </c>
      <c r="O63" s="1" t="s">
        <v>231</v>
      </c>
      <c r="P63" s="57" t="s">
        <v>254</v>
      </c>
      <c r="Q63" s="23"/>
      <c r="R63" s="23">
        <v>2</v>
      </c>
      <c r="S63" s="44" t="s">
        <v>975</v>
      </c>
      <c r="T63" s="19">
        <v>18504151</v>
      </c>
      <c r="U63" s="19">
        <f>T63-120753-3762</f>
        <v>18379636</v>
      </c>
      <c r="V63" s="19">
        <v>1397684565</v>
      </c>
      <c r="W63" s="37">
        <v>2468570</v>
      </c>
      <c r="X63" s="14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MI63" s="7"/>
      <c r="AMJ63" s="7"/>
      <c r="AMK63" s="7"/>
      <c r="AML63" s="7"/>
      <c r="AMM63" s="7"/>
    </row>
    <row r="64" spans="1:1027" ht="16" x14ac:dyDescent="0.2">
      <c r="B64" s="20" t="s">
        <v>957</v>
      </c>
      <c r="C64" s="21" t="s">
        <v>21</v>
      </c>
      <c r="D64" s="22" t="s">
        <v>0</v>
      </c>
      <c r="E64" s="7" t="s">
        <v>128</v>
      </c>
      <c r="F64" s="1" t="s">
        <v>886</v>
      </c>
      <c r="G64" s="23" t="s">
        <v>895</v>
      </c>
      <c r="H64" s="23" t="s">
        <v>206</v>
      </c>
      <c r="I64" s="23" t="s">
        <v>896</v>
      </c>
      <c r="J64" s="24" t="s">
        <v>968</v>
      </c>
      <c r="K64" s="24" t="s">
        <v>931</v>
      </c>
      <c r="L64" s="23" t="s">
        <v>493</v>
      </c>
      <c r="M64" s="23" t="s">
        <v>495</v>
      </c>
      <c r="N64" s="1" t="s">
        <v>235</v>
      </c>
      <c r="O64" s="1" t="s">
        <v>231</v>
      </c>
      <c r="P64" s="57"/>
      <c r="Q64" s="23"/>
      <c r="R64" s="23">
        <v>3</v>
      </c>
      <c r="S64" s="44" t="s">
        <v>975</v>
      </c>
      <c r="T64" s="19">
        <v>20826586</v>
      </c>
      <c r="U64" s="19">
        <f>T64-134072-4308</f>
        <v>20688206</v>
      </c>
      <c r="V64" s="19">
        <v>1572880133</v>
      </c>
      <c r="W64" s="37">
        <v>2625919</v>
      </c>
      <c r="X64" s="14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MI64" s="7"/>
      <c r="AMJ64" s="7"/>
      <c r="AMK64" s="7"/>
      <c r="AML64" s="7"/>
      <c r="AMM64" s="7"/>
    </row>
    <row r="65" spans="1:1027" x14ac:dyDescent="0.2">
      <c r="A65" s="67"/>
      <c r="B65" s="49" t="s">
        <v>958</v>
      </c>
      <c r="C65" s="51" t="s">
        <v>217</v>
      </c>
      <c r="D65" s="59" t="s">
        <v>0</v>
      </c>
      <c r="E65" s="7" t="s">
        <v>129</v>
      </c>
      <c r="F65" s="51" t="s">
        <v>886</v>
      </c>
      <c r="G65" s="51" t="s">
        <v>897</v>
      </c>
      <c r="H65" s="51" t="s">
        <v>203</v>
      </c>
      <c r="I65" s="51" t="s">
        <v>898</v>
      </c>
      <c r="J65" s="56" t="s">
        <v>968</v>
      </c>
      <c r="K65" s="56" t="s">
        <v>931</v>
      </c>
      <c r="L65" s="51" t="s">
        <v>493</v>
      </c>
      <c r="M65" s="51" t="s">
        <v>495</v>
      </c>
      <c r="N65" s="52" t="s">
        <v>235</v>
      </c>
      <c r="O65" s="52" t="s">
        <v>231</v>
      </c>
      <c r="P65" s="57" t="s">
        <v>255</v>
      </c>
      <c r="Q65" s="49"/>
      <c r="R65" s="51">
        <v>1</v>
      </c>
      <c r="S65" s="55" t="s">
        <v>975</v>
      </c>
      <c r="T65" s="19">
        <v>34070065</v>
      </c>
      <c r="U65" s="19">
        <f>T65-1495069</f>
        <v>32574996</v>
      </c>
      <c r="V65" s="19">
        <v>3441076565</v>
      </c>
      <c r="W65" s="58">
        <f>8144395</f>
        <v>8144395</v>
      </c>
      <c r="X65" s="14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MI65" s="7"/>
      <c r="AMJ65" s="7"/>
      <c r="AMK65" s="7"/>
      <c r="AML65" s="7"/>
      <c r="AMM65" s="7"/>
    </row>
    <row r="66" spans="1:1027" x14ac:dyDescent="0.2">
      <c r="A66" s="67"/>
      <c r="B66" s="49" t="s">
        <v>869</v>
      </c>
      <c r="C66" s="51"/>
      <c r="D66" s="59"/>
      <c r="E66" s="7" t="s">
        <v>130</v>
      </c>
      <c r="F66" s="51"/>
      <c r="G66" s="51"/>
      <c r="H66" s="51"/>
      <c r="I66" s="51"/>
      <c r="J66" s="56"/>
      <c r="K66" s="56"/>
      <c r="L66" s="51"/>
      <c r="M66" s="51"/>
      <c r="N66" s="52"/>
      <c r="O66" s="52"/>
      <c r="P66" s="57"/>
      <c r="Q66" s="49"/>
      <c r="R66" s="51"/>
      <c r="S66" s="49"/>
      <c r="T66" s="19">
        <v>34070065</v>
      </c>
      <c r="U66" s="19">
        <f>T66-1495069</f>
        <v>32574996</v>
      </c>
      <c r="V66" s="19">
        <v>3441076565</v>
      </c>
      <c r="W66" s="58"/>
      <c r="X66" s="14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MI66" s="7"/>
      <c r="AMJ66" s="7"/>
      <c r="AMK66" s="7"/>
      <c r="AML66" s="7"/>
      <c r="AMM66" s="7"/>
    </row>
    <row r="67" spans="1:1027" ht="16" x14ac:dyDescent="0.2">
      <c r="B67" s="1" t="s">
        <v>958</v>
      </c>
      <c r="C67" s="23" t="s">
        <v>217</v>
      </c>
      <c r="D67" s="22" t="s">
        <v>0</v>
      </c>
      <c r="E67" s="7" t="s">
        <v>131</v>
      </c>
      <c r="F67" s="1" t="s">
        <v>886</v>
      </c>
      <c r="G67" s="23" t="s">
        <v>899</v>
      </c>
      <c r="H67" s="23" t="s">
        <v>201</v>
      </c>
      <c r="I67" s="23" t="s">
        <v>900</v>
      </c>
      <c r="J67" s="24" t="s">
        <v>968</v>
      </c>
      <c r="K67" s="24" t="s">
        <v>931</v>
      </c>
      <c r="L67" s="23" t="s">
        <v>493</v>
      </c>
      <c r="M67" s="23" t="s">
        <v>495</v>
      </c>
      <c r="N67" s="1" t="s">
        <v>235</v>
      </c>
      <c r="O67" s="1" t="s">
        <v>232</v>
      </c>
      <c r="P67" s="25" t="s">
        <v>255</v>
      </c>
      <c r="Q67" s="23"/>
      <c r="R67" s="23">
        <v>2</v>
      </c>
      <c r="S67" s="44" t="s">
        <v>975</v>
      </c>
      <c r="T67" s="19">
        <v>17246575</v>
      </c>
      <c r="U67" s="19">
        <f>T67-136850-3517</f>
        <v>17106208</v>
      </c>
      <c r="V67" s="19">
        <v>1302717520</v>
      </c>
      <c r="W67" s="37">
        <v>1584613</v>
      </c>
      <c r="X67" s="14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MI67" s="7"/>
      <c r="AMJ67" s="7"/>
      <c r="AMK67" s="7"/>
      <c r="AML67" s="7"/>
      <c r="AMM67" s="7"/>
    </row>
    <row r="68" spans="1:1027" ht="16" x14ac:dyDescent="0.2">
      <c r="B68" s="1" t="s">
        <v>958</v>
      </c>
      <c r="C68" s="23" t="s">
        <v>217</v>
      </c>
      <c r="D68" s="22" t="s">
        <v>0</v>
      </c>
      <c r="E68" s="7" t="s">
        <v>132</v>
      </c>
      <c r="F68" s="1" t="s">
        <v>886</v>
      </c>
      <c r="G68" s="23" t="s">
        <v>902</v>
      </c>
      <c r="H68" s="23" t="s">
        <v>202</v>
      </c>
      <c r="I68" s="23" t="s">
        <v>901</v>
      </c>
      <c r="J68" s="24" t="s">
        <v>968</v>
      </c>
      <c r="K68" s="24" t="s">
        <v>931</v>
      </c>
      <c r="L68" s="23" t="s">
        <v>493</v>
      </c>
      <c r="M68" s="23" t="s">
        <v>495</v>
      </c>
      <c r="N68" s="1" t="s">
        <v>235</v>
      </c>
      <c r="O68" s="1" t="s">
        <v>232</v>
      </c>
      <c r="P68" s="25" t="s">
        <v>255</v>
      </c>
      <c r="Q68" s="23"/>
      <c r="R68" s="23">
        <v>3</v>
      </c>
      <c r="S68" s="44" t="s">
        <v>975</v>
      </c>
      <c r="T68" s="19">
        <v>18931285</v>
      </c>
      <c r="U68" s="19">
        <f>T68-139834-3875</f>
        <v>18787576</v>
      </c>
      <c r="V68" s="19">
        <v>1430592103</v>
      </c>
      <c r="W68" s="37">
        <v>3988614</v>
      </c>
      <c r="X68" s="14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MI68" s="7"/>
      <c r="AMJ68" s="7"/>
      <c r="AMK68" s="7"/>
      <c r="AML68" s="7"/>
      <c r="AMM68" s="7"/>
    </row>
    <row r="69" spans="1:1027" x14ac:dyDescent="0.2">
      <c r="A69" s="67"/>
      <c r="B69" s="49" t="s">
        <v>955</v>
      </c>
      <c r="C69" s="51" t="s">
        <v>218</v>
      </c>
      <c r="D69" s="59" t="s">
        <v>0</v>
      </c>
      <c r="E69" s="7" t="s">
        <v>133</v>
      </c>
      <c r="F69" s="51" t="s">
        <v>886</v>
      </c>
      <c r="G69" s="51" t="s">
        <v>904</v>
      </c>
      <c r="H69" s="51" t="s">
        <v>198</v>
      </c>
      <c r="I69" s="51" t="s">
        <v>903</v>
      </c>
      <c r="J69" s="56" t="s">
        <v>968</v>
      </c>
      <c r="K69" s="56" t="s">
        <v>931</v>
      </c>
      <c r="L69" s="51" t="s">
        <v>493</v>
      </c>
      <c r="M69" s="51" t="s">
        <v>495</v>
      </c>
      <c r="N69" s="51" t="s">
        <v>233</v>
      </c>
      <c r="O69" s="52" t="s">
        <v>236</v>
      </c>
      <c r="P69" s="51" t="s">
        <v>256</v>
      </c>
      <c r="Q69" s="49"/>
      <c r="R69" s="51">
        <v>1</v>
      </c>
      <c r="S69" s="55" t="s">
        <v>975</v>
      </c>
      <c r="T69" s="19">
        <v>32662387</v>
      </c>
      <c r="U69" s="19">
        <f>T69-1381393</f>
        <v>31280994</v>
      </c>
      <c r="V69" s="19">
        <v>3298901087</v>
      </c>
      <c r="W69" s="58">
        <f>3952170</f>
        <v>3952170</v>
      </c>
      <c r="X69" s="14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MI69" s="7"/>
      <c r="AMJ69" s="7"/>
      <c r="AMK69" s="7"/>
      <c r="AML69" s="7"/>
      <c r="AMM69" s="7"/>
    </row>
    <row r="70" spans="1:1027" x14ac:dyDescent="0.2">
      <c r="A70" s="67"/>
      <c r="B70" s="49" t="s">
        <v>870</v>
      </c>
      <c r="C70" s="51"/>
      <c r="D70" s="59"/>
      <c r="E70" s="7" t="s">
        <v>134</v>
      </c>
      <c r="F70" s="51"/>
      <c r="G70" s="51"/>
      <c r="H70" s="51"/>
      <c r="I70" s="51"/>
      <c r="J70" s="56"/>
      <c r="K70" s="56"/>
      <c r="L70" s="51"/>
      <c r="M70" s="51"/>
      <c r="N70" s="51"/>
      <c r="O70" s="52"/>
      <c r="P70" s="51"/>
      <c r="Q70" s="49"/>
      <c r="R70" s="51"/>
      <c r="S70" s="49"/>
      <c r="T70" s="19">
        <v>32662387</v>
      </c>
      <c r="U70" s="19">
        <f>T70-1381393</f>
        <v>31280994</v>
      </c>
      <c r="V70" s="19">
        <v>3298901087</v>
      </c>
      <c r="W70" s="58"/>
      <c r="X70" s="14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MI70" s="7"/>
      <c r="AMJ70" s="7"/>
      <c r="AMK70" s="7"/>
      <c r="AML70" s="7"/>
      <c r="AMM70" s="7"/>
    </row>
    <row r="71" spans="1:1027" ht="16" x14ac:dyDescent="0.2">
      <c r="B71" s="20" t="s">
        <v>955</v>
      </c>
      <c r="C71" s="23" t="s">
        <v>218</v>
      </c>
      <c r="D71" s="22" t="s">
        <v>0</v>
      </c>
      <c r="E71" s="7" t="s">
        <v>135</v>
      </c>
      <c r="F71" s="1" t="s">
        <v>886</v>
      </c>
      <c r="G71" s="23" t="s">
        <v>906</v>
      </c>
      <c r="H71" s="23" t="s">
        <v>199</v>
      </c>
      <c r="I71" s="23" t="s">
        <v>905</v>
      </c>
      <c r="J71" s="24" t="s">
        <v>968</v>
      </c>
      <c r="K71" s="24" t="s">
        <v>931</v>
      </c>
      <c r="L71" s="23" t="s">
        <v>493</v>
      </c>
      <c r="M71" s="23" t="s">
        <v>495</v>
      </c>
      <c r="N71" s="23" t="s">
        <v>233</v>
      </c>
      <c r="O71" s="1" t="s">
        <v>236</v>
      </c>
      <c r="P71" s="23" t="s">
        <v>256</v>
      </c>
      <c r="Q71" s="23"/>
      <c r="R71" s="23">
        <v>2</v>
      </c>
      <c r="S71" s="44" t="s">
        <v>975</v>
      </c>
      <c r="T71" s="19">
        <v>18166527</v>
      </c>
      <c r="U71" s="19">
        <f>T71-133057-3856</f>
        <v>18029614</v>
      </c>
      <c r="V71" s="19">
        <v>1371946833</v>
      </c>
      <c r="W71" s="37">
        <v>2693268</v>
      </c>
      <c r="X71" s="14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MI71" s="7"/>
      <c r="AMJ71" s="7"/>
      <c r="AMK71" s="7"/>
      <c r="AML71" s="7"/>
      <c r="AMM71" s="7"/>
    </row>
    <row r="72" spans="1:1027" ht="16" x14ac:dyDescent="0.2">
      <c r="B72" s="20" t="s">
        <v>955</v>
      </c>
      <c r="C72" s="23" t="s">
        <v>218</v>
      </c>
      <c r="D72" s="22" t="s">
        <v>0</v>
      </c>
      <c r="E72" s="7" t="s">
        <v>136</v>
      </c>
      <c r="F72" s="1" t="s">
        <v>886</v>
      </c>
      <c r="G72" s="23" t="s">
        <v>907</v>
      </c>
      <c r="H72" s="23" t="s">
        <v>200</v>
      </c>
      <c r="I72" s="23" t="s">
        <v>908</v>
      </c>
      <c r="J72" s="24" t="s">
        <v>968</v>
      </c>
      <c r="K72" s="24" t="s">
        <v>931</v>
      </c>
      <c r="L72" s="23" t="s">
        <v>493</v>
      </c>
      <c r="M72" s="23" t="s">
        <v>495</v>
      </c>
      <c r="N72" s="23" t="s">
        <v>233</v>
      </c>
      <c r="O72" s="1" t="s">
        <v>236</v>
      </c>
      <c r="P72" s="23" t="s">
        <v>256</v>
      </c>
      <c r="Q72" s="23"/>
      <c r="R72" s="23">
        <v>3</v>
      </c>
      <c r="S72" s="44" t="s">
        <v>975</v>
      </c>
      <c r="T72" s="19">
        <v>18416875</v>
      </c>
      <c r="U72" s="19">
        <f>T72-112099-3845</f>
        <v>18300931</v>
      </c>
      <c r="V72" s="19">
        <v>1391573569</v>
      </c>
      <c r="W72" s="37">
        <v>2356166</v>
      </c>
      <c r="X72" s="14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MI72" s="7"/>
      <c r="AMJ72" s="7"/>
      <c r="AMK72" s="7"/>
      <c r="AML72" s="7"/>
      <c r="AMM72" s="7"/>
    </row>
    <row r="73" spans="1:1027" x14ac:dyDescent="0.2">
      <c r="A73" s="67"/>
      <c r="B73" s="49" t="s">
        <v>956</v>
      </c>
      <c r="C73" s="51" t="s">
        <v>250</v>
      </c>
      <c r="D73" s="59" t="s">
        <v>0</v>
      </c>
      <c r="E73" s="7" t="s">
        <v>137</v>
      </c>
      <c r="F73" s="51" t="s">
        <v>886</v>
      </c>
      <c r="G73" s="51" t="s">
        <v>910</v>
      </c>
      <c r="H73" s="51" t="s">
        <v>207</v>
      </c>
      <c r="I73" s="51" t="s">
        <v>909</v>
      </c>
      <c r="J73" s="56" t="s">
        <v>968</v>
      </c>
      <c r="K73" s="56" t="s">
        <v>931</v>
      </c>
      <c r="L73" s="51" t="s">
        <v>493</v>
      </c>
      <c r="M73" s="51" t="s">
        <v>495</v>
      </c>
      <c r="N73" s="51" t="s">
        <v>233</v>
      </c>
      <c r="O73" s="52" t="s">
        <v>236</v>
      </c>
      <c r="P73" s="57" t="s">
        <v>491</v>
      </c>
      <c r="Q73" s="49"/>
      <c r="R73" s="51">
        <v>1</v>
      </c>
      <c r="S73" s="55" t="s">
        <v>975</v>
      </c>
      <c r="T73" s="19">
        <v>34396178</v>
      </c>
      <c r="U73" s="19">
        <f>T73-1652121</f>
        <v>32744057</v>
      </c>
      <c r="V73" s="19">
        <v>3474013978</v>
      </c>
      <c r="W73" s="58">
        <f>3443563</f>
        <v>3443563</v>
      </c>
      <c r="X73" s="14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MI73" s="7"/>
      <c r="AMJ73" s="7"/>
      <c r="AMK73" s="7"/>
      <c r="AML73" s="7"/>
      <c r="AMM73" s="7"/>
    </row>
    <row r="74" spans="1:1027" x14ac:dyDescent="0.2">
      <c r="A74" s="67"/>
      <c r="B74" s="49" t="s">
        <v>871</v>
      </c>
      <c r="C74" s="51"/>
      <c r="D74" s="59"/>
      <c r="E74" s="7" t="s">
        <v>138</v>
      </c>
      <c r="F74" s="51"/>
      <c r="G74" s="51"/>
      <c r="H74" s="51"/>
      <c r="I74" s="51"/>
      <c r="J74" s="56"/>
      <c r="K74" s="56"/>
      <c r="L74" s="51"/>
      <c r="M74" s="51"/>
      <c r="N74" s="51"/>
      <c r="O74" s="52"/>
      <c r="P74" s="57"/>
      <c r="Q74" s="49"/>
      <c r="R74" s="51"/>
      <c r="S74" s="49"/>
      <c r="T74" s="19">
        <v>34396178</v>
      </c>
      <c r="U74" s="19">
        <f>T74-1652121</f>
        <v>32744057</v>
      </c>
      <c r="V74" s="19">
        <v>3474013978</v>
      </c>
      <c r="W74" s="58"/>
      <c r="X74" s="14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MI74" s="7"/>
      <c r="AMJ74" s="7"/>
      <c r="AMK74" s="7"/>
      <c r="AML74" s="7"/>
      <c r="AMM74" s="7"/>
    </row>
    <row r="75" spans="1:1027" ht="16" x14ac:dyDescent="0.2">
      <c r="B75" s="20" t="s">
        <v>956</v>
      </c>
      <c r="C75" s="23" t="s">
        <v>250</v>
      </c>
      <c r="D75" s="22" t="s">
        <v>0</v>
      </c>
      <c r="E75" s="7" t="s">
        <v>139</v>
      </c>
      <c r="F75" s="1" t="s">
        <v>886</v>
      </c>
      <c r="G75" s="23" t="s">
        <v>912</v>
      </c>
      <c r="H75" s="23" t="s">
        <v>208</v>
      </c>
      <c r="I75" s="23" t="s">
        <v>911</v>
      </c>
      <c r="J75" s="24" t="s">
        <v>968</v>
      </c>
      <c r="K75" s="24" t="s">
        <v>931</v>
      </c>
      <c r="L75" s="23" t="s">
        <v>493</v>
      </c>
      <c r="M75" s="23" t="s">
        <v>495</v>
      </c>
      <c r="N75" s="23" t="s">
        <v>233</v>
      </c>
      <c r="O75" s="1" t="s">
        <v>236</v>
      </c>
      <c r="P75" s="25" t="s">
        <v>491</v>
      </c>
      <c r="Q75" s="23"/>
      <c r="R75" s="23">
        <v>2</v>
      </c>
      <c r="S75" s="44" t="s">
        <v>975</v>
      </c>
      <c r="T75" s="19">
        <v>18928736</v>
      </c>
      <c r="U75" s="19">
        <f>T75-130251-3868</f>
        <v>18794617</v>
      </c>
      <c r="V75" s="19">
        <v>1430136942</v>
      </c>
      <c r="W75" s="37">
        <v>1227157</v>
      </c>
      <c r="X75" s="14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MI75" s="7"/>
      <c r="AMJ75" s="7"/>
      <c r="AMK75" s="7"/>
      <c r="AML75" s="7"/>
      <c r="AMM75" s="7"/>
    </row>
    <row r="76" spans="1:1027" ht="16" x14ac:dyDescent="0.2">
      <c r="B76" s="20" t="s">
        <v>956</v>
      </c>
      <c r="C76" s="23" t="s">
        <v>250</v>
      </c>
      <c r="D76" s="22" t="s">
        <v>0</v>
      </c>
      <c r="E76" s="7" t="s">
        <v>140</v>
      </c>
      <c r="F76" s="1" t="s">
        <v>886</v>
      </c>
      <c r="G76" s="23" t="s">
        <v>914</v>
      </c>
      <c r="H76" s="23" t="s">
        <v>209</v>
      </c>
      <c r="I76" s="23" t="s">
        <v>913</v>
      </c>
      <c r="J76" s="24" t="s">
        <v>968</v>
      </c>
      <c r="K76" s="24" t="s">
        <v>931</v>
      </c>
      <c r="L76" s="23" t="s">
        <v>493</v>
      </c>
      <c r="M76" s="23" t="s">
        <v>495</v>
      </c>
      <c r="N76" s="23" t="s">
        <v>233</v>
      </c>
      <c r="O76" s="1" t="s">
        <v>236</v>
      </c>
      <c r="P76" s="25" t="s">
        <v>491</v>
      </c>
      <c r="Q76" s="23"/>
      <c r="R76" s="23">
        <v>3</v>
      </c>
      <c r="S76" s="44" t="s">
        <v>975</v>
      </c>
      <c r="T76" s="19">
        <v>19992734</v>
      </c>
      <c r="U76" s="19">
        <f>T76-157386-4106</f>
        <v>19831242</v>
      </c>
      <c r="V76" s="19">
        <v>1510397665</v>
      </c>
      <c r="W76" s="37">
        <v>1382924</v>
      </c>
      <c r="X76" s="14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MI76" s="7"/>
      <c r="AMJ76" s="7"/>
      <c r="AMK76" s="7"/>
      <c r="AML76" s="7"/>
      <c r="AMM76" s="7"/>
    </row>
    <row r="77" spans="1:1027" x14ac:dyDescent="0.2">
      <c r="A77" s="51" t="s">
        <v>735</v>
      </c>
      <c r="B77" s="51" t="s">
        <v>867</v>
      </c>
      <c r="C77" s="51" t="s">
        <v>233</v>
      </c>
      <c r="D77" s="59" t="s">
        <v>0</v>
      </c>
      <c r="E77" s="7" t="s">
        <v>141</v>
      </c>
      <c r="F77" s="2" t="s">
        <v>262</v>
      </c>
      <c r="G77" s="2" t="s">
        <v>315</v>
      </c>
      <c r="H77" s="2" t="s">
        <v>316</v>
      </c>
      <c r="I77" s="2" t="s">
        <v>317</v>
      </c>
      <c r="J77" s="49" t="s">
        <v>969</v>
      </c>
      <c r="K77" s="49" t="s">
        <v>916</v>
      </c>
      <c r="L77" s="51" t="s">
        <v>310</v>
      </c>
      <c r="M77" s="51" t="s">
        <v>496</v>
      </c>
      <c r="N77" s="51" t="s">
        <v>233</v>
      </c>
      <c r="O77" s="52" t="s">
        <v>236</v>
      </c>
      <c r="P77" s="57" t="s">
        <v>251</v>
      </c>
      <c r="Q77" s="49" t="s">
        <v>314</v>
      </c>
      <c r="R77" s="51">
        <v>1</v>
      </c>
      <c r="S77" s="55" t="s">
        <v>975</v>
      </c>
      <c r="T77" s="19">
        <v>68451858</v>
      </c>
      <c r="U77" s="19">
        <f>T77-1544266</f>
        <v>66907592</v>
      </c>
      <c r="V77" s="19">
        <v>10760740265</v>
      </c>
      <c r="W77" s="58">
        <f>34642667</f>
        <v>34642667</v>
      </c>
      <c r="X77" s="14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MI77" s="7"/>
      <c r="AMJ77" s="7"/>
      <c r="AMK77" s="7"/>
      <c r="AML77" s="7"/>
      <c r="AMM77" s="7"/>
    </row>
    <row r="78" spans="1:1027" x14ac:dyDescent="0.2">
      <c r="A78" s="51" t="s">
        <v>735</v>
      </c>
      <c r="B78" s="51" t="s">
        <v>867</v>
      </c>
      <c r="C78" s="51"/>
      <c r="D78" s="59"/>
      <c r="E78" s="7" t="s">
        <v>142</v>
      </c>
      <c r="F78" s="2" t="s">
        <v>262</v>
      </c>
      <c r="G78" s="2" t="s">
        <v>315</v>
      </c>
      <c r="H78" s="2" t="s">
        <v>318</v>
      </c>
      <c r="I78" s="2" t="s">
        <v>319</v>
      </c>
      <c r="J78" s="49" t="s">
        <v>210</v>
      </c>
      <c r="K78" s="49"/>
      <c r="L78" s="51"/>
      <c r="M78" s="51"/>
      <c r="N78" s="51"/>
      <c r="O78" s="52"/>
      <c r="P78" s="57"/>
      <c r="Q78" s="49"/>
      <c r="R78" s="51"/>
      <c r="S78" s="49"/>
      <c r="T78" s="19">
        <v>76190868</v>
      </c>
      <c r="U78" s="19">
        <f>T78-1544266</f>
        <v>74646602</v>
      </c>
      <c r="V78" s="19">
        <v>10738084210</v>
      </c>
      <c r="W78" s="58"/>
      <c r="X78" s="14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MI78" s="7"/>
      <c r="AMJ78" s="7"/>
      <c r="AMK78" s="7"/>
      <c r="AML78" s="7"/>
      <c r="AMM78" s="7"/>
    </row>
    <row r="79" spans="1:1027" x14ac:dyDescent="0.2">
      <c r="A79" s="51" t="s">
        <v>735</v>
      </c>
      <c r="B79" s="51" t="s">
        <v>867</v>
      </c>
      <c r="C79" s="51" t="s">
        <v>233</v>
      </c>
      <c r="D79" s="59" t="s">
        <v>0</v>
      </c>
      <c r="E79" s="7" t="s">
        <v>143</v>
      </c>
      <c r="F79" s="2" t="s">
        <v>262</v>
      </c>
      <c r="G79" s="2" t="s">
        <v>324</v>
      </c>
      <c r="H79" s="2" t="s">
        <v>325</v>
      </c>
      <c r="I79" s="2" t="s">
        <v>326</v>
      </c>
      <c r="J79" s="49" t="s">
        <v>969</v>
      </c>
      <c r="K79" s="49" t="s">
        <v>916</v>
      </c>
      <c r="L79" s="51" t="s">
        <v>310</v>
      </c>
      <c r="M79" s="51" t="s">
        <v>496</v>
      </c>
      <c r="N79" s="51" t="s">
        <v>233</v>
      </c>
      <c r="O79" s="52" t="s">
        <v>236</v>
      </c>
      <c r="P79" s="57" t="s">
        <v>251</v>
      </c>
      <c r="Q79" s="49" t="s">
        <v>323</v>
      </c>
      <c r="R79" s="51">
        <v>2</v>
      </c>
      <c r="S79" s="55" t="s">
        <v>975</v>
      </c>
      <c r="T79" s="19">
        <v>70397120</v>
      </c>
      <c r="U79" s="19">
        <f>T79-1959992</f>
        <v>68437128</v>
      </c>
      <c r="V79" s="19">
        <v>10701439000</v>
      </c>
      <c r="W79" s="58">
        <f>29367667</f>
        <v>29367667</v>
      </c>
      <c r="X79" s="14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MI79" s="7"/>
      <c r="AMJ79" s="7"/>
      <c r="AMK79" s="7"/>
      <c r="AML79" s="7"/>
      <c r="AMM79" s="7"/>
    </row>
    <row r="80" spans="1:1027" x14ac:dyDescent="0.2">
      <c r="A80" s="51" t="s">
        <v>735</v>
      </c>
      <c r="B80" s="51" t="s">
        <v>867</v>
      </c>
      <c r="C80" s="51"/>
      <c r="D80" s="59"/>
      <c r="E80" s="7" t="s">
        <v>144</v>
      </c>
      <c r="F80" s="2" t="s">
        <v>262</v>
      </c>
      <c r="G80" s="2" t="s">
        <v>324</v>
      </c>
      <c r="H80" s="2" t="s">
        <v>327</v>
      </c>
      <c r="I80" s="2" t="s">
        <v>328</v>
      </c>
      <c r="J80" s="49" t="s">
        <v>210</v>
      </c>
      <c r="K80" s="49"/>
      <c r="L80" s="51"/>
      <c r="M80" s="51"/>
      <c r="N80" s="51"/>
      <c r="O80" s="52"/>
      <c r="P80" s="57"/>
      <c r="Q80" s="49" t="s">
        <v>323</v>
      </c>
      <c r="R80" s="51"/>
      <c r="S80" s="49"/>
      <c r="T80" s="19">
        <v>73342564</v>
      </c>
      <c r="U80" s="19">
        <f>T80-1959992</f>
        <v>71382572</v>
      </c>
      <c r="V80" s="19">
        <v>10672690405</v>
      </c>
      <c r="W80" s="58"/>
      <c r="X80" s="14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MI80" s="7"/>
      <c r="AMJ80" s="7"/>
      <c r="AMK80" s="7"/>
      <c r="AML80" s="7"/>
      <c r="AMM80" s="7"/>
    </row>
    <row r="81" spans="1:1027" x14ac:dyDescent="0.2">
      <c r="A81" s="51" t="s">
        <v>735</v>
      </c>
      <c r="B81" s="51" t="s">
        <v>867</v>
      </c>
      <c r="C81" s="51" t="s">
        <v>233</v>
      </c>
      <c r="D81" s="59" t="s">
        <v>0</v>
      </c>
      <c r="E81" s="7" t="s">
        <v>145</v>
      </c>
      <c r="F81" s="2" t="s">
        <v>262</v>
      </c>
      <c r="G81" s="2" t="s">
        <v>330</v>
      </c>
      <c r="H81" s="2" t="s">
        <v>331</v>
      </c>
      <c r="I81" s="2" t="s">
        <v>332</v>
      </c>
      <c r="J81" s="49" t="s">
        <v>969</v>
      </c>
      <c r="K81" s="49" t="s">
        <v>916</v>
      </c>
      <c r="L81" s="51" t="s">
        <v>310</v>
      </c>
      <c r="M81" s="51" t="s">
        <v>496</v>
      </c>
      <c r="N81" s="51" t="s">
        <v>233</v>
      </c>
      <c r="O81" s="52" t="s">
        <v>236</v>
      </c>
      <c r="P81" s="57" t="s">
        <v>251</v>
      </c>
      <c r="Q81" s="49" t="s">
        <v>329</v>
      </c>
      <c r="R81" s="51">
        <v>3</v>
      </c>
      <c r="S81" s="55" t="s">
        <v>975</v>
      </c>
      <c r="T81" s="19">
        <v>67930496</v>
      </c>
      <c r="U81" s="19">
        <f>T81-1699996</f>
        <v>66230500</v>
      </c>
      <c r="V81" s="19">
        <v>10357649890</v>
      </c>
      <c r="W81" s="58">
        <f>36831157</f>
        <v>36831157</v>
      </c>
      <c r="X81" s="14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MI81" s="7"/>
      <c r="AMJ81" s="7"/>
      <c r="AMK81" s="7"/>
      <c r="AML81" s="7"/>
      <c r="AMM81" s="7"/>
    </row>
    <row r="82" spans="1:1027" x14ac:dyDescent="0.2">
      <c r="A82" s="51" t="s">
        <v>735</v>
      </c>
      <c r="B82" s="51" t="s">
        <v>867</v>
      </c>
      <c r="C82" s="51"/>
      <c r="D82" s="59"/>
      <c r="E82" s="7" t="s">
        <v>146</v>
      </c>
      <c r="F82" s="2" t="s">
        <v>262</v>
      </c>
      <c r="G82" s="2" t="s">
        <v>330</v>
      </c>
      <c r="H82" s="2" t="s">
        <v>333</v>
      </c>
      <c r="I82" s="2" t="s">
        <v>334</v>
      </c>
      <c r="J82" s="49" t="s">
        <v>210</v>
      </c>
      <c r="K82" s="49"/>
      <c r="L82" s="51"/>
      <c r="M82" s="51"/>
      <c r="N82" s="51"/>
      <c r="O82" s="52"/>
      <c r="P82" s="57"/>
      <c r="Q82" s="49" t="s">
        <v>329</v>
      </c>
      <c r="R82" s="51"/>
      <c r="S82" s="49"/>
      <c r="T82" s="19">
        <v>71072004</v>
      </c>
      <c r="U82" s="19">
        <f>T82-1699996</f>
        <v>69372008</v>
      </c>
      <c r="V82" s="19">
        <v>10330296884</v>
      </c>
      <c r="W82" s="58"/>
      <c r="X82" s="14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MI82" s="7"/>
      <c r="AMJ82" s="7"/>
      <c r="AMK82" s="7"/>
      <c r="AML82" s="7"/>
      <c r="AMM82" s="7"/>
    </row>
    <row r="83" spans="1:1027" x14ac:dyDescent="0.2">
      <c r="A83" s="51" t="s">
        <v>735</v>
      </c>
      <c r="B83" s="51" t="s">
        <v>867</v>
      </c>
      <c r="C83" s="51" t="s">
        <v>233</v>
      </c>
      <c r="D83" s="59" t="s">
        <v>0</v>
      </c>
      <c r="E83" s="7" t="s">
        <v>147</v>
      </c>
      <c r="F83" s="49" t="s">
        <v>262</v>
      </c>
      <c r="G83" s="49" t="s">
        <v>312</v>
      </c>
      <c r="H83" s="49" t="s">
        <v>313</v>
      </c>
      <c r="I83" s="51" t="s">
        <v>215</v>
      </c>
      <c r="J83" s="49" t="s">
        <v>969</v>
      </c>
      <c r="K83" s="49" t="s">
        <v>916</v>
      </c>
      <c r="L83" s="51" t="s">
        <v>310</v>
      </c>
      <c r="M83" s="51" t="s">
        <v>496</v>
      </c>
      <c r="N83" s="51" t="s">
        <v>233</v>
      </c>
      <c r="O83" s="52" t="s">
        <v>236</v>
      </c>
      <c r="P83" s="57" t="s">
        <v>251</v>
      </c>
      <c r="Q83" s="49" t="s">
        <v>311</v>
      </c>
      <c r="R83" s="51">
        <v>4</v>
      </c>
      <c r="S83" s="55" t="s">
        <v>975</v>
      </c>
      <c r="T83" s="19">
        <v>78577356</v>
      </c>
      <c r="U83" s="19">
        <f>T83-296259</f>
        <v>78281097</v>
      </c>
      <c r="V83" s="19">
        <v>11694440769</v>
      </c>
      <c r="W83" s="58">
        <f>36619965</f>
        <v>36619965</v>
      </c>
      <c r="X83" s="14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MI83" s="7"/>
      <c r="AMJ83" s="7"/>
      <c r="AMK83" s="7"/>
      <c r="AML83" s="7"/>
      <c r="AMM83" s="7"/>
    </row>
    <row r="84" spans="1:1027" x14ac:dyDescent="0.2">
      <c r="A84" s="51"/>
      <c r="B84" s="51" t="s">
        <v>867</v>
      </c>
      <c r="C84" s="51"/>
      <c r="D84" s="59"/>
      <c r="E84" s="7" t="s">
        <v>148</v>
      </c>
      <c r="F84" s="49"/>
      <c r="G84" s="49"/>
      <c r="H84" s="49"/>
      <c r="I84" s="51"/>
      <c r="J84" s="49" t="s">
        <v>210</v>
      </c>
      <c r="K84" s="49"/>
      <c r="L84" s="51"/>
      <c r="M84" s="51"/>
      <c r="N84" s="51"/>
      <c r="O84" s="52"/>
      <c r="P84" s="57"/>
      <c r="Q84" s="49"/>
      <c r="R84" s="51"/>
      <c r="S84" s="49"/>
      <c r="T84" s="19">
        <v>78577356</v>
      </c>
      <c r="U84" s="19">
        <f>T84-296259</f>
        <v>78281097</v>
      </c>
      <c r="V84" s="19">
        <v>11724162021</v>
      </c>
      <c r="W84" s="58"/>
      <c r="X84" s="14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MI84" s="7"/>
      <c r="AMJ84" s="7"/>
      <c r="AMK84" s="7"/>
      <c r="AML84" s="7"/>
      <c r="AMM84" s="7"/>
    </row>
    <row r="85" spans="1:1027" x14ac:dyDescent="0.2">
      <c r="A85" s="51" t="s">
        <v>735</v>
      </c>
      <c r="B85" s="51" t="s">
        <v>867</v>
      </c>
      <c r="C85" s="51" t="s">
        <v>233</v>
      </c>
      <c r="D85" s="59" t="s">
        <v>0</v>
      </c>
      <c r="E85" s="7" t="s">
        <v>149</v>
      </c>
      <c r="F85" s="49" t="s">
        <v>262</v>
      </c>
      <c r="G85" s="49" t="s">
        <v>321</v>
      </c>
      <c r="H85" s="49" t="s">
        <v>322</v>
      </c>
      <c r="I85" s="51" t="s">
        <v>216</v>
      </c>
      <c r="J85" s="49" t="s">
        <v>969</v>
      </c>
      <c r="K85" s="49" t="s">
        <v>916</v>
      </c>
      <c r="L85" s="51" t="s">
        <v>310</v>
      </c>
      <c r="M85" s="51" t="s">
        <v>496</v>
      </c>
      <c r="N85" s="51" t="s">
        <v>233</v>
      </c>
      <c r="O85" s="52" t="s">
        <v>236</v>
      </c>
      <c r="P85" s="57" t="s">
        <v>251</v>
      </c>
      <c r="Q85" s="49" t="s">
        <v>320</v>
      </c>
      <c r="R85" s="51">
        <v>5</v>
      </c>
      <c r="S85" s="55" t="s">
        <v>975</v>
      </c>
      <c r="T85" s="19">
        <v>66157847</v>
      </c>
      <c r="U85" s="19">
        <f>T85-239905</f>
        <v>65917942</v>
      </c>
      <c r="V85" s="19">
        <v>9878507181</v>
      </c>
      <c r="W85" s="58">
        <f>33847930</f>
        <v>33847930</v>
      </c>
      <c r="X85" s="14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MI85" s="7"/>
      <c r="AMJ85" s="7"/>
      <c r="AMK85" s="7"/>
      <c r="AML85" s="7"/>
      <c r="AMM85" s="7"/>
    </row>
    <row r="86" spans="1:1027" x14ac:dyDescent="0.2">
      <c r="A86" s="51"/>
      <c r="B86" s="51" t="s">
        <v>867</v>
      </c>
      <c r="C86" s="51"/>
      <c r="D86" s="59"/>
      <c r="E86" s="7" t="s">
        <v>150</v>
      </c>
      <c r="F86" s="49"/>
      <c r="G86" s="49"/>
      <c r="H86" s="49"/>
      <c r="I86" s="51"/>
      <c r="J86" s="49" t="s">
        <v>210</v>
      </c>
      <c r="K86" s="49"/>
      <c r="L86" s="51"/>
      <c r="M86" s="51"/>
      <c r="N86" s="51"/>
      <c r="O86" s="52"/>
      <c r="P86" s="57"/>
      <c r="Q86" s="49"/>
      <c r="R86" s="51"/>
      <c r="S86" s="49"/>
      <c r="T86" s="19">
        <v>66157847</v>
      </c>
      <c r="U86" s="19">
        <f>T86-239905</f>
        <v>65917942</v>
      </c>
      <c r="V86" s="19">
        <v>9898471341</v>
      </c>
      <c r="W86" s="58"/>
      <c r="X86" s="14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MI86" s="7"/>
      <c r="AMJ86" s="7"/>
      <c r="AMK86" s="7"/>
      <c r="AML86" s="7"/>
      <c r="AMM86" s="7"/>
    </row>
    <row r="87" spans="1:1027" x14ac:dyDescent="0.2">
      <c r="A87" s="51" t="s">
        <v>643</v>
      </c>
      <c r="B87" s="51" t="s">
        <v>872</v>
      </c>
      <c r="C87" s="51" t="s">
        <v>231</v>
      </c>
      <c r="D87" s="59" t="s">
        <v>0</v>
      </c>
      <c r="E87" s="7" t="s">
        <v>151</v>
      </c>
      <c r="F87" s="2" t="s">
        <v>262</v>
      </c>
      <c r="G87" s="2" t="s">
        <v>263</v>
      </c>
      <c r="H87" s="2" t="s">
        <v>264</v>
      </c>
      <c r="I87" s="2" t="s">
        <v>265</v>
      </c>
      <c r="J87" s="49" t="s">
        <v>969</v>
      </c>
      <c r="K87" s="49" t="s">
        <v>916</v>
      </c>
      <c r="L87" s="51" t="s">
        <v>260</v>
      </c>
      <c r="M87" s="51" t="s">
        <v>496</v>
      </c>
      <c r="N87" s="52" t="s">
        <v>235</v>
      </c>
      <c r="O87" s="52" t="s">
        <v>231</v>
      </c>
      <c r="P87" s="57" t="s">
        <v>252</v>
      </c>
      <c r="Q87" s="49" t="s">
        <v>261</v>
      </c>
      <c r="R87" s="51">
        <v>1</v>
      </c>
      <c r="S87" s="55" t="s">
        <v>975</v>
      </c>
      <c r="T87" s="19">
        <v>56430440</v>
      </c>
      <c r="U87" s="19">
        <f>T87-1389997</f>
        <v>55040443</v>
      </c>
      <c r="V87" s="19">
        <v>8230432436</v>
      </c>
      <c r="W87" s="58">
        <f>26546885</f>
        <v>26546885</v>
      </c>
      <c r="X87" s="14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MI87" s="7"/>
      <c r="AMJ87" s="7"/>
      <c r="AMK87" s="7"/>
      <c r="AML87" s="7"/>
      <c r="AMM87" s="7"/>
    </row>
    <row r="88" spans="1:1027" x14ac:dyDescent="0.2">
      <c r="A88" s="51" t="s">
        <v>643</v>
      </c>
      <c r="B88" s="51" t="s">
        <v>872</v>
      </c>
      <c r="C88" s="51"/>
      <c r="D88" s="59"/>
      <c r="E88" s="7" t="s">
        <v>152</v>
      </c>
      <c r="F88" s="2" t="s">
        <v>262</v>
      </c>
      <c r="G88" s="2" t="s">
        <v>263</v>
      </c>
      <c r="H88" s="2" t="s">
        <v>266</v>
      </c>
      <c r="I88" s="2" t="s">
        <v>267</v>
      </c>
      <c r="J88" s="49" t="s">
        <v>210</v>
      </c>
      <c r="K88" s="49"/>
      <c r="L88" s="51"/>
      <c r="M88" s="51"/>
      <c r="N88" s="52"/>
      <c r="O88" s="52"/>
      <c r="P88" s="57"/>
      <c r="Q88" s="49" t="s">
        <v>261</v>
      </c>
      <c r="R88" s="51"/>
      <c r="S88" s="49"/>
      <c r="T88" s="19">
        <v>54178642</v>
      </c>
      <c r="U88" s="19">
        <f>T88-1389997</f>
        <v>52788645</v>
      </c>
      <c r="V88" s="19">
        <v>8207981812</v>
      </c>
      <c r="W88" s="58"/>
      <c r="AD88" s="6"/>
      <c r="AE88" s="6"/>
      <c r="AF88" s="6"/>
      <c r="AG88" s="6"/>
      <c r="AH88" s="6"/>
      <c r="AMI88" s="7"/>
      <c r="AMJ88" s="7"/>
      <c r="AMK88" s="7"/>
      <c r="AML88" s="7"/>
      <c r="AMM88" s="7"/>
    </row>
    <row r="89" spans="1:1027" x14ac:dyDescent="0.2">
      <c r="A89" s="51" t="s">
        <v>643</v>
      </c>
      <c r="B89" s="51" t="s">
        <v>872</v>
      </c>
      <c r="C89" s="51" t="s">
        <v>231</v>
      </c>
      <c r="D89" s="59" t="s">
        <v>0</v>
      </c>
      <c r="E89" s="7" t="s">
        <v>153</v>
      </c>
      <c r="F89" s="2" t="s">
        <v>262</v>
      </c>
      <c r="G89" s="2" t="s">
        <v>269</v>
      </c>
      <c r="H89" s="2" t="s">
        <v>270</v>
      </c>
      <c r="I89" s="2" t="s">
        <v>271</v>
      </c>
      <c r="J89" s="49" t="s">
        <v>969</v>
      </c>
      <c r="K89" s="49" t="s">
        <v>916</v>
      </c>
      <c r="L89" s="51" t="s">
        <v>260</v>
      </c>
      <c r="M89" s="51" t="s">
        <v>496</v>
      </c>
      <c r="N89" s="52" t="s">
        <v>235</v>
      </c>
      <c r="O89" s="52" t="s">
        <v>231</v>
      </c>
      <c r="P89" s="57" t="s">
        <v>252</v>
      </c>
      <c r="Q89" s="49" t="s">
        <v>268</v>
      </c>
      <c r="R89" s="51">
        <v>2</v>
      </c>
      <c r="S89" s="55" t="s">
        <v>975</v>
      </c>
      <c r="T89" s="19">
        <v>75774602</v>
      </c>
      <c r="U89" s="19">
        <f>T89-1896140</f>
        <v>73878462</v>
      </c>
      <c r="V89" s="19">
        <v>11198638856</v>
      </c>
      <c r="W89" s="58">
        <f>34439725</f>
        <v>34439725</v>
      </c>
      <c r="AD89" s="6"/>
      <c r="AE89" s="6"/>
      <c r="AF89" s="6"/>
      <c r="AG89" s="6"/>
      <c r="AH89" s="6"/>
      <c r="AMI89" s="7"/>
      <c r="AMJ89" s="7"/>
      <c r="AMK89" s="7"/>
      <c r="AML89" s="7"/>
      <c r="AMM89" s="7"/>
    </row>
    <row r="90" spans="1:1027" x14ac:dyDescent="0.2">
      <c r="A90" s="51" t="s">
        <v>643</v>
      </c>
      <c r="B90" s="51" t="s">
        <v>872</v>
      </c>
      <c r="C90" s="51"/>
      <c r="D90" s="59"/>
      <c r="E90" s="7" t="s">
        <v>154</v>
      </c>
      <c r="F90" s="2" t="s">
        <v>262</v>
      </c>
      <c r="G90" s="2" t="s">
        <v>269</v>
      </c>
      <c r="H90" s="2" t="s">
        <v>272</v>
      </c>
      <c r="I90" s="2" t="s">
        <v>273</v>
      </c>
      <c r="J90" s="49" t="s">
        <v>210</v>
      </c>
      <c r="K90" s="49"/>
      <c r="L90" s="51"/>
      <c r="M90" s="51"/>
      <c r="N90" s="52"/>
      <c r="O90" s="52"/>
      <c r="P90" s="57"/>
      <c r="Q90" s="49" t="s">
        <v>268</v>
      </c>
      <c r="R90" s="51"/>
      <c r="S90" s="49"/>
      <c r="T90" s="19">
        <v>74777140</v>
      </c>
      <c r="U90" s="19">
        <f>T90-1896140</f>
        <v>72881000</v>
      </c>
      <c r="V90" s="19">
        <v>11172924959</v>
      </c>
      <c r="W90" s="58"/>
      <c r="AD90" s="6"/>
      <c r="AE90" s="6"/>
      <c r="AF90" s="6"/>
      <c r="AG90" s="6"/>
      <c r="AH90" s="6"/>
      <c r="AMI90" s="7"/>
      <c r="AMJ90" s="7"/>
      <c r="AMK90" s="7"/>
      <c r="AML90" s="7"/>
      <c r="AMM90" s="7"/>
    </row>
    <row r="91" spans="1:1027" x14ac:dyDescent="0.2">
      <c r="A91" s="51" t="s">
        <v>643</v>
      </c>
      <c r="B91" s="51" t="s">
        <v>872</v>
      </c>
      <c r="C91" s="51" t="s">
        <v>231</v>
      </c>
      <c r="D91" s="59" t="s">
        <v>0</v>
      </c>
      <c r="E91" s="7" t="s">
        <v>155</v>
      </c>
      <c r="F91" s="2" t="s">
        <v>262</v>
      </c>
      <c r="G91" s="2" t="s">
        <v>278</v>
      </c>
      <c r="H91" s="2" t="s">
        <v>279</v>
      </c>
      <c r="I91" s="2" t="s">
        <v>280</v>
      </c>
      <c r="J91" s="49" t="s">
        <v>969</v>
      </c>
      <c r="K91" s="49" t="s">
        <v>916</v>
      </c>
      <c r="L91" s="51" t="s">
        <v>260</v>
      </c>
      <c r="M91" s="51" t="s">
        <v>496</v>
      </c>
      <c r="N91" s="52" t="s">
        <v>235</v>
      </c>
      <c r="O91" s="52" t="s">
        <v>231</v>
      </c>
      <c r="P91" s="57" t="s">
        <v>252</v>
      </c>
      <c r="Q91" s="49" t="s">
        <v>277</v>
      </c>
      <c r="R91" s="51">
        <v>3</v>
      </c>
      <c r="S91" s="55" t="s">
        <v>975</v>
      </c>
      <c r="T91" s="19">
        <v>67533644</v>
      </c>
      <c r="U91" s="19">
        <f>T91-3556315</f>
        <v>63977329</v>
      </c>
      <c r="V91" s="19">
        <v>9567945317</v>
      </c>
      <c r="W91" s="58">
        <f>30049254</f>
        <v>30049254</v>
      </c>
      <c r="AD91" s="6"/>
      <c r="AE91" s="6"/>
      <c r="AF91" s="6"/>
      <c r="AG91" s="6"/>
      <c r="AH91" s="6"/>
      <c r="AMI91" s="7"/>
      <c r="AMJ91" s="7"/>
      <c r="AMK91" s="7"/>
      <c r="AML91" s="7"/>
      <c r="AMM91" s="7"/>
    </row>
    <row r="92" spans="1:1027" x14ac:dyDescent="0.2">
      <c r="A92" s="51" t="s">
        <v>643</v>
      </c>
      <c r="B92" s="51" t="s">
        <v>872</v>
      </c>
      <c r="C92" s="51"/>
      <c r="D92" s="59"/>
      <c r="E92" s="7" t="s">
        <v>156</v>
      </c>
      <c r="F92" s="2" t="s">
        <v>262</v>
      </c>
      <c r="G92" s="2" t="s">
        <v>278</v>
      </c>
      <c r="H92" s="2" t="s">
        <v>281</v>
      </c>
      <c r="I92" s="2" t="s">
        <v>212</v>
      </c>
      <c r="J92" s="49" t="s">
        <v>210</v>
      </c>
      <c r="K92" s="49"/>
      <c r="L92" s="51"/>
      <c r="M92" s="51"/>
      <c r="N92" s="52"/>
      <c r="O92" s="52"/>
      <c r="P92" s="57"/>
      <c r="Q92" s="49" t="s">
        <v>277</v>
      </c>
      <c r="R92" s="51"/>
      <c r="S92" s="49"/>
      <c r="T92" s="19">
        <v>60799226</v>
      </c>
      <c r="U92" s="19">
        <f>T92-3556315</f>
        <v>57242911</v>
      </c>
      <c r="V92" s="19">
        <v>9539717907</v>
      </c>
      <c r="W92" s="58"/>
      <c r="AD92" s="6"/>
      <c r="AE92" s="6"/>
      <c r="AF92" s="6"/>
      <c r="AG92" s="6"/>
      <c r="AH92" s="6"/>
      <c r="AMI92" s="7"/>
      <c r="AMJ92" s="7"/>
      <c r="AMK92" s="7"/>
      <c r="AML92" s="7"/>
      <c r="AMM92" s="7"/>
    </row>
    <row r="93" spans="1:1027" x14ac:dyDescent="0.2">
      <c r="A93" s="49" t="s">
        <v>643</v>
      </c>
      <c r="B93" s="49" t="s">
        <v>872</v>
      </c>
      <c r="C93" s="51" t="s">
        <v>231</v>
      </c>
      <c r="D93" s="59" t="s">
        <v>0</v>
      </c>
      <c r="E93" s="7" t="s">
        <v>157</v>
      </c>
      <c r="F93" s="49" t="s">
        <v>262</v>
      </c>
      <c r="G93" s="49" t="s">
        <v>275</v>
      </c>
      <c r="H93" s="49" t="s">
        <v>276</v>
      </c>
      <c r="I93" s="51" t="s">
        <v>211</v>
      </c>
      <c r="J93" s="49" t="s">
        <v>969</v>
      </c>
      <c r="K93" s="49" t="s">
        <v>916</v>
      </c>
      <c r="L93" s="51" t="s">
        <v>260</v>
      </c>
      <c r="M93" s="51" t="s">
        <v>496</v>
      </c>
      <c r="N93" s="52" t="s">
        <v>235</v>
      </c>
      <c r="O93" s="52" t="s">
        <v>231</v>
      </c>
      <c r="P93" s="57" t="s">
        <v>252</v>
      </c>
      <c r="Q93" s="49" t="s">
        <v>274</v>
      </c>
      <c r="R93" s="51">
        <v>4</v>
      </c>
      <c r="S93" s="55" t="s">
        <v>975</v>
      </c>
      <c r="T93" s="19">
        <v>56277790</v>
      </c>
      <c r="U93" s="19">
        <f>T93-211861</f>
        <v>56065929</v>
      </c>
      <c r="V93" s="19">
        <v>8344414218</v>
      </c>
      <c r="W93" s="58">
        <f>20707926</f>
        <v>20707926</v>
      </c>
      <c r="AD93" s="6"/>
      <c r="AE93" s="6"/>
      <c r="AF93" s="6"/>
      <c r="AG93" s="6"/>
      <c r="AH93" s="6"/>
      <c r="AMI93" s="7"/>
      <c r="AMJ93" s="7"/>
      <c r="AMK93" s="7"/>
      <c r="AML93" s="7"/>
      <c r="AMM93" s="7"/>
    </row>
    <row r="94" spans="1:1027" x14ac:dyDescent="0.2">
      <c r="A94" s="49"/>
      <c r="B94" s="49" t="s">
        <v>872</v>
      </c>
      <c r="C94" s="51"/>
      <c r="D94" s="59"/>
      <c r="E94" s="7" t="s">
        <v>158</v>
      </c>
      <c r="F94" s="49"/>
      <c r="G94" s="49"/>
      <c r="H94" s="49"/>
      <c r="I94" s="51"/>
      <c r="J94" s="49" t="s">
        <v>210</v>
      </c>
      <c r="K94" s="49"/>
      <c r="L94" s="51"/>
      <c r="M94" s="51"/>
      <c r="N94" s="52"/>
      <c r="O94" s="52"/>
      <c r="P94" s="57"/>
      <c r="Q94" s="49"/>
      <c r="R94" s="51"/>
      <c r="S94" s="49"/>
      <c r="T94" s="19">
        <v>56277790</v>
      </c>
      <c r="U94" s="19">
        <f>T94-211861</f>
        <v>56065929</v>
      </c>
      <c r="V94" s="19">
        <v>8365787119</v>
      </c>
      <c r="W94" s="58"/>
      <c r="AD94" s="6"/>
      <c r="AE94" s="6"/>
      <c r="AF94" s="6"/>
      <c r="AG94" s="6"/>
      <c r="AH94" s="6"/>
      <c r="AMI94" s="7"/>
      <c r="AMJ94" s="7"/>
      <c r="AMK94" s="7"/>
      <c r="AML94" s="7"/>
      <c r="AMM94" s="7"/>
    </row>
    <row r="95" spans="1:1027" x14ac:dyDescent="0.2">
      <c r="A95" s="49" t="s">
        <v>643</v>
      </c>
      <c r="B95" s="49" t="s">
        <v>872</v>
      </c>
      <c r="C95" s="51" t="s">
        <v>231</v>
      </c>
      <c r="D95" s="59" t="s">
        <v>0</v>
      </c>
      <c r="E95" s="7" t="s">
        <v>159</v>
      </c>
      <c r="F95" s="49" t="s">
        <v>262</v>
      </c>
      <c r="G95" s="49" t="s">
        <v>283</v>
      </c>
      <c r="H95" s="49" t="s">
        <v>284</v>
      </c>
      <c r="I95" s="52" t="s">
        <v>285</v>
      </c>
      <c r="J95" s="49" t="s">
        <v>969</v>
      </c>
      <c r="K95" s="49" t="s">
        <v>916</v>
      </c>
      <c r="L95" s="51" t="s">
        <v>260</v>
      </c>
      <c r="M95" s="51" t="s">
        <v>496</v>
      </c>
      <c r="N95" s="52" t="s">
        <v>235</v>
      </c>
      <c r="O95" s="52" t="s">
        <v>231</v>
      </c>
      <c r="P95" s="57" t="s">
        <v>252</v>
      </c>
      <c r="Q95" s="49" t="s">
        <v>282</v>
      </c>
      <c r="R95" s="51">
        <v>5</v>
      </c>
      <c r="S95" s="55" t="s">
        <v>975</v>
      </c>
      <c r="T95" s="19">
        <v>53737638</v>
      </c>
      <c r="U95" s="19">
        <f>T95-206523</f>
        <v>53531115</v>
      </c>
      <c r="V95" s="19">
        <v>7983064615</v>
      </c>
      <c r="W95" s="58">
        <f>21990336</f>
        <v>21990336</v>
      </c>
      <c r="AD95" s="6"/>
      <c r="AE95" s="6"/>
      <c r="AF95" s="6"/>
      <c r="AG95" s="6"/>
      <c r="AH95" s="6"/>
      <c r="AMI95" s="7"/>
      <c r="AMJ95" s="7"/>
      <c r="AMK95" s="7"/>
      <c r="AML95" s="7"/>
      <c r="AMM95" s="7"/>
    </row>
    <row r="96" spans="1:1027" x14ac:dyDescent="0.2">
      <c r="A96" s="49"/>
      <c r="B96" s="49" t="s">
        <v>872</v>
      </c>
      <c r="C96" s="51"/>
      <c r="D96" s="59"/>
      <c r="E96" s="7" t="s">
        <v>160</v>
      </c>
      <c r="F96" s="49"/>
      <c r="G96" s="49"/>
      <c r="H96" s="49"/>
      <c r="I96" s="52"/>
      <c r="J96" s="49" t="s">
        <v>210</v>
      </c>
      <c r="K96" s="49"/>
      <c r="L96" s="51"/>
      <c r="M96" s="51"/>
      <c r="N96" s="52"/>
      <c r="O96" s="52"/>
      <c r="P96" s="57"/>
      <c r="Q96" s="49"/>
      <c r="R96" s="51"/>
      <c r="S96" s="49"/>
      <c r="T96" s="19">
        <v>53737638</v>
      </c>
      <c r="U96" s="19">
        <f>T96-206523</f>
        <v>53531115</v>
      </c>
      <c r="V96" s="19">
        <v>8002752464</v>
      </c>
      <c r="W96" s="58"/>
      <c r="AD96" s="6"/>
      <c r="AE96" s="6"/>
      <c r="AF96" s="6"/>
      <c r="AG96" s="6"/>
      <c r="AH96" s="6"/>
      <c r="AMI96" s="7"/>
      <c r="AMJ96" s="7"/>
      <c r="AMK96" s="7"/>
      <c r="AML96" s="7"/>
      <c r="AMM96" s="7"/>
    </row>
    <row r="97" spans="1:1027" x14ac:dyDescent="0.2">
      <c r="A97" s="66" t="s">
        <v>643</v>
      </c>
      <c r="B97" s="52" t="s">
        <v>873</v>
      </c>
      <c r="C97" s="51" t="s">
        <v>232</v>
      </c>
      <c r="D97" s="59" t="s">
        <v>0</v>
      </c>
      <c r="E97" s="7" t="s">
        <v>161</v>
      </c>
      <c r="F97" s="2" t="s">
        <v>262</v>
      </c>
      <c r="G97" s="2" t="s">
        <v>302</v>
      </c>
      <c r="H97" s="2" t="s">
        <v>303</v>
      </c>
      <c r="I97" s="2" t="s">
        <v>304</v>
      </c>
      <c r="J97" s="49" t="s">
        <v>969</v>
      </c>
      <c r="K97" s="49" t="s">
        <v>916</v>
      </c>
      <c r="L97" s="51" t="s">
        <v>310</v>
      </c>
      <c r="M97" s="51" t="s">
        <v>496</v>
      </c>
      <c r="N97" s="52" t="s">
        <v>235</v>
      </c>
      <c r="O97" s="52" t="s">
        <v>232</v>
      </c>
      <c r="P97" s="57" t="s">
        <v>253</v>
      </c>
      <c r="Q97" s="49" t="s">
        <v>301</v>
      </c>
      <c r="R97" s="51">
        <v>1</v>
      </c>
      <c r="S97" s="55" t="s">
        <v>975</v>
      </c>
      <c r="T97" s="19">
        <v>89302128</v>
      </c>
      <c r="U97" s="19">
        <f>T97-2007521</f>
        <v>87294607</v>
      </c>
      <c r="V97" s="19">
        <v>13907486902</v>
      </c>
      <c r="W97" s="58">
        <f>42092258</f>
        <v>42092258</v>
      </c>
      <c r="AD97" s="6"/>
      <c r="AE97" s="6"/>
      <c r="AF97" s="6"/>
      <c r="AG97" s="6"/>
      <c r="AH97" s="6"/>
      <c r="AMI97" s="7"/>
      <c r="AMJ97" s="7"/>
      <c r="AMK97" s="7"/>
      <c r="AML97" s="7"/>
      <c r="AMM97" s="7"/>
    </row>
    <row r="98" spans="1:1027" x14ac:dyDescent="0.2">
      <c r="A98" s="66"/>
      <c r="B98" s="52"/>
      <c r="C98" s="51"/>
      <c r="D98" s="59"/>
      <c r="E98" s="7" t="s">
        <v>162</v>
      </c>
      <c r="F98" s="2" t="s">
        <v>262</v>
      </c>
      <c r="G98" s="2" t="s">
        <v>302</v>
      </c>
      <c r="H98" s="2" t="s">
        <v>305</v>
      </c>
      <c r="I98" s="2" t="s">
        <v>306</v>
      </c>
      <c r="J98" s="49" t="s">
        <v>210</v>
      </c>
      <c r="K98" s="49"/>
      <c r="L98" s="51"/>
      <c r="M98" s="51"/>
      <c r="N98" s="52"/>
      <c r="O98" s="52"/>
      <c r="P98" s="57"/>
      <c r="Q98" s="49" t="s">
        <v>301</v>
      </c>
      <c r="R98" s="51"/>
      <c r="S98" s="49"/>
      <c r="T98" s="19">
        <v>97826482</v>
      </c>
      <c r="U98" s="19">
        <f>T98-2007521</f>
        <v>95818961</v>
      </c>
      <c r="V98" s="19">
        <v>13424724272</v>
      </c>
      <c r="W98" s="58"/>
      <c r="AD98" s="6"/>
      <c r="AE98" s="6"/>
      <c r="AF98" s="6"/>
      <c r="AG98" s="6"/>
      <c r="AH98" s="6"/>
      <c r="AMI98" s="7"/>
      <c r="AMJ98" s="7"/>
      <c r="AMK98" s="7"/>
      <c r="AML98" s="7"/>
      <c r="AMM98" s="7"/>
    </row>
    <row r="99" spans="1:1027" x14ac:dyDescent="0.2">
      <c r="A99" s="66" t="s">
        <v>643</v>
      </c>
      <c r="B99" s="52" t="s">
        <v>873</v>
      </c>
      <c r="C99" s="51" t="s">
        <v>232</v>
      </c>
      <c r="D99" s="59" t="s">
        <v>0</v>
      </c>
      <c r="E99" s="7" t="s">
        <v>163</v>
      </c>
      <c r="F99" s="2" t="s">
        <v>262</v>
      </c>
      <c r="G99" s="2" t="s">
        <v>287</v>
      </c>
      <c r="H99" s="2" t="s">
        <v>288</v>
      </c>
      <c r="I99" s="2" t="s">
        <v>289</v>
      </c>
      <c r="J99" s="49" t="s">
        <v>969</v>
      </c>
      <c r="K99" s="49" t="s">
        <v>916</v>
      </c>
      <c r="L99" s="51" t="s">
        <v>310</v>
      </c>
      <c r="M99" s="51" t="s">
        <v>496</v>
      </c>
      <c r="N99" s="52" t="s">
        <v>235</v>
      </c>
      <c r="O99" s="52" t="s">
        <v>232</v>
      </c>
      <c r="P99" s="57" t="s">
        <v>253</v>
      </c>
      <c r="Q99" s="49" t="s">
        <v>286</v>
      </c>
      <c r="R99" s="51">
        <v>2</v>
      </c>
      <c r="S99" s="55" t="s">
        <v>975</v>
      </c>
      <c r="T99" s="19">
        <v>76165120</v>
      </c>
      <c r="U99" s="19">
        <f>T99-1532582</f>
        <v>74632538</v>
      </c>
      <c r="V99" s="19">
        <v>11283029784</v>
      </c>
      <c r="W99" s="58">
        <f>32946157</f>
        <v>32946157</v>
      </c>
      <c r="AD99" s="6"/>
      <c r="AE99" s="6"/>
      <c r="AF99" s="6"/>
      <c r="AG99" s="6"/>
      <c r="AH99" s="6"/>
      <c r="AMI99" s="7"/>
      <c r="AMJ99" s="7"/>
      <c r="AMK99" s="7"/>
      <c r="AML99" s="7"/>
      <c r="AMM99" s="7"/>
    </row>
    <row r="100" spans="1:1027" x14ac:dyDescent="0.2">
      <c r="A100" s="66"/>
      <c r="B100" s="52"/>
      <c r="C100" s="51"/>
      <c r="D100" s="59"/>
      <c r="E100" s="7" t="s">
        <v>164</v>
      </c>
      <c r="F100" s="2" t="s">
        <v>262</v>
      </c>
      <c r="G100" s="2" t="s">
        <v>287</v>
      </c>
      <c r="H100" s="2" t="s">
        <v>290</v>
      </c>
      <c r="I100" s="2" t="s">
        <v>291</v>
      </c>
      <c r="J100" s="49" t="s">
        <v>210</v>
      </c>
      <c r="K100" s="49"/>
      <c r="L100" s="51"/>
      <c r="M100" s="51"/>
      <c r="N100" s="52"/>
      <c r="O100" s="52"/>
      <c r="P100" s="57"/>
      <c r="Q100" s="49" t="s">
        <v>286</v>
      </c>
      <c r="R100" s="51"/>
      <c r="S100" s="49"/>
      <c r="T100" s="19">
        <v>75638654</v>
      </c>
      <c r="U100" s="19">
        <f>T100-1532582</f>
        <v>74106072</v>
      </c>
      <c r="V100" s="19">
        <v>11265584750</v>
      </c>
      <c r="W100" s="58"/>
      <c r="AD100" s="6"/>
      <c r="AE100" s="6"/>
      <c r="AF100" s="6"/>
      <c r="AG100" s="6"/>
      <c r="AH100" s="6"/>
      <c r="AMI100" s="7"/>
      <c r="AMJ100" s="7"/>
      <c r="AMK100" s="7"/>
      <c r="AML100" s="7"/>
      <c r="AMM100" s="7"/>
    </row>
    <row r="101" spans="1:1027" x14ac:dyDescent="0.2">
      <c r="A101" s="66" t="s">
        <v>643</v>
      </c>
      <c r="B101" s="52" t="s">
        <v>873</v>
      </c>
      <c r="C101" s="51" t="s">
        <v>232</v>
      </c>
      <c r="D101" s="59" t="s">
        <v>0</v>
      </c>
      <c r="E101" s="7" t="s">
        <v>165</v>
      </c>
      <c r="F101" s="2" t="s">
        <v>262</v>
      </c>
      <c r="G101" s="2" t="s">
        <v>293</v>
      </c>
      <c r="H101" s="2" t="s">
        <v>294</v>
      </c>
      <c r="I101" s="2" t="s">
        <v>295</v>
      </c>
      <c r="J101" s="49" t="s">
        <v>969</v>
      </c>
      <c r="K101" s="49" t="s">
        <v>916</v>
      </c>
      <c r="L101" s="51" t="s">
        <v>310</v>
      </c>
      <c r="M101" s="51" t="s">
        <v>496</v>
      </c>
      <c r="N101" s="52" t="s">
        <v>235</v>
      </c>
      <c r="O101" s="52" t="s">
        <v>232</v>
      </c>
      <c r="P101" s="57" t="s">
        <v>253</v>
      </c>
      <c r="Q101" s="49" t="s">
        <v>292</v>
      </c>
      <c r="R101" s="51">
        <v>3</v>
      </c>
      <c r="S101" s="55" t="s">
        <v>975</v>
      </c>
      <c r="T101" s="19">
        <v>75638762</v>
      </c>
      <c r="U101" s="19">
        <f>T101-3626254</f>
        <v>72012508</v>
      </c>
      <c r="V101" s="19">
        <v>11083375852</v>
      </c>
      <c r="W101" s="58">
        <f>34756116</f>
        <v>34756116</v>
      </c>
      <c r="AD101" s="6"/>
      <c r="AE101" s="6"/>
      <c r="AF101" s="6"/>
      <c r="AG101" s="6"/>
      <c r="AH101" s="6"/>
      <c r="AMI101" s="7"/>
      <c r="AMJ101" s="7"/>
      <c r="AMK101" s="7"/>
      <c r="AML101" s="7"/>
      <c r="AMM101" s="7"/>
    </row>
    <row r="102" spans="1:1027" x14ac:dyDescent="0.2">
      <c r="A102" s="66"/>
      <c r="B102" s="52"/>
      <c r="C102" s="51"/>
      <c r="D102" s="59"/>
      <c r="E102" s="7" t="s">
        <v>166</v>
      </c>
      <c r="F102" s="2" t="s">
        <v>262</v>
      </c>
      <c r="G102" s="2" t="s">
        <v>293</v>
      </c>
      <c r="H102" s="2" t="s">
        <v>296</v>
      </c>
      <c r="I102" s="2" t="s">
        <v>297</v>
      </c>
      <c r="J102" s="49" t="s">
        <v>210</v>
      </c>
      <c r="K102" s="49"/>
      <c r="L102" s="51"/>
      <c r="M102" s="51"/>
      <c r="N102" s="52"/>
      <c r="O102" s="52"/>
      <c r="P102" s="57"/>
      <c r="Q102" s="49" t="s">
        <v>292</v>
      </c>
      <c r="R102" s="51"/>
      <c r="S102" s="49"/>
      <c r="T102" s="19">
        <v>73655662</v>
      </c>
      <c r="U102" s="19">
        <f>T102-3626254</f>
        <v>70029408</v>
      </c>
      <c r="V102" s="19">
        <v>11056402567</v>
      </c>
      <c r="W102" s="58"/>
      <c r="AD102" s="6"/>
      <c r="AE102" s="6"/>
      <c r="AF102" s="6"/>
      <c r="AG102" s="6"/>
      <c r="AH102" s="6"/>
      <c r="AMI102" s="7"/>
      <c r="AMJ102" s="7"/>
      <c r="AMK102" s="7"/>
      <c r="AML102" s="7"/>
      <c r="AMM102" s="7"/>
    </row>
    <row r="103" spans="1:1027" x14ac:dyDescent="0.2">
      <c r="A103" s="49" t="s">
        <v>643</v>
      </c>
      <c r="B103" s="49" t="s">
        <v>873</v>
      </c>
      <c r="C103" s="51" t="s">
        <v>232</v>
      </c>
      <c r="D103" s="59" t="s">
        <v>0</v>
      </c>
      <c r="E103" s="7" t="s">
        <v>167</v>
      </c>
      <c r="F103" s="49" t="s">
        <v>262</v>
      </c>
      <c r="G103" s="49" t="s">
        <v>299</v>
      </c>
      <c r="H103" s="49" t="s">
        <v>300</v>
      </c>
      <c r="I103" s="51" t="s">
        <v>213</v>
      </c>
      <c r="J103" s="49" t="s">
        <v>969</v>
      </c>
      <c r="K103" s="49" t="s">
        <v>916</v>
      </c>
      <c r="L103" s="51" t="s">
        <v>310</v>
      </c>
      <c r="M103" s="51" t="s">
        <v>496</v>
      </c>
      <c r="N103" s="52" t="s">
        <v>235</v>
      </c>
      <c r="O103" s="52" t="s">
        <v>232</v>
      </c>
      <c r="P103" s="57" t="s">
        <v>253</v>
      </c>
      <c r="Q103" s="49" t="s">
        <v>298</v>
      </c>
      <c r="R103" s="51">
        <v>4</v>
      </c>
      <c r="S103" s="55" t="s">
        <v>975</v>
      </c>
      <c r="T103" s="19">
        <v>69501658</v>
      </c>
      <c r="U103" s="19">
        <f>T103-259026</f>
        <v>69242632</v>
      </c>
      <c r="V103" s="19">
        <v>10361244101</v>
      </c>
      <c r="W103" s="58">
        <f>32123053</f>
        <v>32123053</v>
      </c>
      <c r="AD103" s="6"/>
      <c r="AE103" s="6"/>
      <c r="AF103" s="6"/>
      <c r="AG103" s="6"/>
      <c r="AH103" s="6"/>
      <c r="AMI103" s="7"/>
      <c r="AMJ103" s="7"/>
      <c r="AMK103" s="7"/>
      <c r="AML103" s="7"/>
      <c r="AMM103" s="7"/>
    </row>
    <row r="104" spans="1:1027" x14ac:dyDescent="0.2">
      <c r="A104" s="49"/>
      <c r="B104" s="49" t="s">
        <v>873</v>
      </c>
      <c r="C104" s="51"/>
      <c r="D104" s="59"/>
      <c r="E104" s="7" t="s">
        <v>168</v>
      </c>
      <c r="F104" s="49"/>
      <c r="G104" s="49"/>
      <c r="H104" s="49"/>
      <c r="I104" s="51"/>
      <c r="J104" s="49" t="s">
        <v>210</v>
      </c>
      <c r="K104" s="49"/>
      <c r="L104" s="51"/>
      <c r="M104" s="51"/>
      <c r="N104" s="52"/>
      <c r="O104" s="52"/>
      <c r="P104" s="57"/>
      <c r="Q104" s="49"/>
      <c r="R104" s="51"/>
      <c r="S104" s="49"/>
      <c r="T104" s="19">
        <v>69501658</v>
      </c>
      <c r="U104" s="19">
        <f>T104-259026</f>
        <v>69242632</v>
      </c>
      <c r="V104" s="19">
        <v>10382211591</v>
      </c>
      <c r="W104" s="58"/>
      <c r="AD104" s="6"/>
      <c r="AE104" s="6"/>
      <c r="AF104" s="6"/>
      <c r="AG104" s="6"/>
      <c r="AH104" s="6"/>
      <c r="AMI104" s="7"/>
      <c r="AMJ104" s="7"/>
      <c r="AMK104" s="7"/>
      <c r="AML104" s="7"/>
      <c r="AMM104" s="7"/>
    </row>
    <row r="105" spans="1:1027" x14ac:dyDescent="0.2">
      <c r="A105" s="49" t="s">
        <v>643</v>
      </c>
      <c r="B105" s="49" t="s">
        <v>873</v>
      </c>
      <c r="C105" s="51" t="s">
        <v>232</v>
      </c>
      <c r="D105" s="59" t="s">
        <v>0</v>
      </c>
      <c r="E105" s="7" t="s">
        <v>169</v>
      </c>
      <c r="F105" s="49" t="s">
        <v>262</v>
      </c>
      <c r="G105" s="49" t="s">
        <v>308</v>
      </c>
      <c r="H105" s="49" t="s">
        <v>309</v>
      </c>
      <c r="I105" s="51" t="s">
        <v>214</v>
      </c>
      <c r="J105" s="49" t="s">
        <v>969</v>
      </c>
      <c r="K105" s="49" t="s">
        <v>916</v>
      </c>
      <c r="L105" s="51" t="s">
        <v>310</v>
      </c>
      <c r="M105" s="51" t="s">
        <v>496</v>
      </c>
      <c r="N105" s="52" t="s">
        <v>235</v>
      </c>
      <c r="O105" s="52" t="s">
        <v>232</v>
      </c>
      <c r="P105" s="57" t="s">
        <v>253</v>
      </c>
      <c r="Q105" s="49" t="s">
        <v>307</v>
      </c>
      <c r="R105" s="51">
        <v>5</v>
      </c>
      <c r="S105" s="55" t="s">
        <v>975</v>
      </c>
      <c r="T105" s="19">
        <v>67372971</v>
      </c>
      <c r="U105" s="19">
        <f>T105-248213</f>
        <v>67124758</v>
      </c>
      <c r="V105" s="19">
        <v>9989607392</v>
      </c>
      <c r="W105" s="58">
        <f>26787493</f>
        <v>26787493</v>
      </c>
      <c r="AD105" s="6"/>
      <c r="AE105" s="6"/>
      <c r="AF105" s="6"/>
      <c r="AG105" s="6"/>
      <c r="AH105" s="6"/>
      <c r="AMI105" s="7"/>
      <c r="AMJ105" s="7"/>
      <c r="AMK105" s="7"/>
      <c r="AML105" s="7"/>
      <c r="AMM105" s="7"/>
    </row>
    <row r="106" spans="1:1027" x14ac:dyDescent="0.2">
      <c r="A106" s="49"/>
      <c r="B106" s="49" t="s">
        <v>873</v>
      </c>
      <c r="C106" s="51"/>
      <c r="D106" s="59"/>
      <c r="E106" s="7" t="s">
        <v>170</v>
      </c>
      <c r="F106" s="49"/>
      <c r="G106" s="49"/>
      <c r="H106" s="49"/>
      <c r="I106" s="51"/>
      <c r="J106" s="49" t="s">
        <v>210</v>
      </c>
      <c r="K106" s="49"/>
      <c r="L106" s="51"/>
      <c r="M106" s="51"/>
      <c r="N106" s="52"/>
      <c r="O106" s="52"/>
      <c r="P106" s="57"/>
      <c r="Q106" s="49"/>
      <c r="R106" s="51"/>
      <c r="S106" s="49"/>
      <c r="T106" s="19">
        <v>67372971</v>
      </c>
      <c r="U106" s="19">
        <f>T106-248213</f>
        <v>67124758</v>
      </c>
      <c r="V106" s="19">
        <v>10013751489</v>
      </c>
      <c r="W106" s="58"/>
      <c r="AD106" s="6"/>
      <c r="AE106" s="6"/>
      <c r="AF106" s="6"/>
      <c r="AG106" s="6"/>
      <c r="AH106" s="6"/>
      <c r="AMI106" s="7"/>
      <c r="AMJ106" s="7"/>
      <c r="AMK106" s="7"/>
      <c r="AML106" s="7"/>
      <c r="AMM106" s="7"/>
    </row>
    <row r="107" spans="1:1027" s="26" customFormat="1" ht="15" customHeight="1" x14ac:dyDescent="0.2">
      <c r="A107" s="49" t="s">
        <v>643</v>
      </c>
      <c r="B107" s="49"/>
      <c r="C107" s="49"/>
      <c r="D107" s="50" t="s">
        <v>638</v>
      </c>
      <c r="E107" s="26" t="s">
        <v>504</v>
      </c>
      <c r="F107" s="49" t="s">
        <v>790</v>
      </c>
      <c r="G107" s="49" t="s">
        <v>794</v>
      </c>
      <c r="H107" s="49" t="s">
        <v>795</v>
      </c>
      <c r="I107" s="49" t="s">
        <v>716</v>
      </c>
      <c r="J107" s="49" t="s">
        <v>967</v>
      </c>
      <c r="K107" s="49" t="s">
        <v>920</v>
      </c>
      <c r="L107" s="49" t="s">
        <v>714</v>
      </c>
      <c r="M107" s="49" t="s">
        <v>946</v>
      </c>
      <c r="N107" s="49" t="s">
        <v>235</v>
      </c>
      <c r="O107" s="49" t="s">
        <v>231</v>
      </c>
      <c r="P107" s="54" t="s">
        <v>791</v>
      </c>
      <c r="Q107" s="49" t="s">
        <v>715</v>
      </c>
      <c r="R107" s="51">
        <v>1</v>
      </c>
      <c r="S107" s="55" t="s">
        <v>975</v>
      </c>
      <c r="T107" s="27">
        <v>20733009</v>
      </c>
      <c r="U107" s="27">
        <f>T107-635834</f>
        <v>20097175</v>
      </c>
      <c r="V107" s="27">
        <v>2591626125</v>
      </c>
      <c r="W107" s="58">
        <f>4305322</f>
        <v>4305322</v>
      </c>
    </row>
    <row r="108" spans="1:1027" s="26" customFormat="1" x14ac:dyDescent="0.2">
      <c r="A108" s="49"/>
      <c r="B108" s="49"/>
      <c r="C108" s="49"/>
      <c r="D108" s="50"/>
      <c r="E108" s="26" t="s">
        <v>505</v>
      </c>
      <c r="F108" s="49"/>
      <c r="G108" s="49"/>
      <c r="H108" s="49"/>
      <c r="I108" s="49"/>
      <c r="J108" s="49"/>
      <c r="K108" s="49"/>
      <c r="L108" s="49"/>
      <c r="M108" s="49"/>
      <c r="N108" s="49" t="s">
        <v>235</v>
      </c>
      <c r="O108" s="49" t="s">
        <v>231</v>
      </c>
      <c r="P108" s="54"/>
      <c r="Q108" s="49"/>
      <c r="R108" s="51"/>
      <c r="S108" s="49"/>
      <c r="T108" s="27">
        <v>20733009</v>
      </c>
      <c r="U108" s="27">
        <f>T108-635834</f>
        <v>20097175</v>
      </c>
      <c r="V108" s="27">
        <v>2591626125</v>
      </c>
      <c r="W108" s="58"/>
    </row>
    <row r="109" spans="1:1027" s="26" customFormat="1" ht="15" customHeight="1" x14ac:dyDescent="0.2">
      <c r="A109" s="49" t="s">
        <v>643</v>
      </c>
      <c r="B109" s="49"/>
      <c r="C109" s="49"/>
      <c r="D109" s="50" t="s">
        <v>638</v>
      </c>
      <c r="E109" s="26" t="s">
        <v>506</v>
      </c>
      <c r="F109" s="49" t="s">
        <v>790</v>
      </c>
      <c r="G109" s="49" t="s">
        <v>793</v>
      </c>
      <c r="H109" s="49" t="s">
        <v>792</v>
      </c>
      <c r="I109" s="49" t="s">
        <v>718</v>
      </c>
      <c r="J109" s="49" t="s">
        <v>967</v>
      </c>
      <c r="K109" s="49" t="s">
        <v>920</v>
      </c>
      <c r="L109" s="49" t="s">
        <v>714</v>
      </c>
      <c r="M109" s="54" t="s">
        <v>946</v>
      </c>
      <c r="N109" s="49" t="s">
        <v>235</v>
      </c>
      <c r="O109" s="49" t="s">
        <v>231</v>
      </c>
      <c r="P109" s="54" t="s">
        <v>791</v>
      </c>
      <c r="Q109" s="49" t="s">
        <v>717</v>
      </c>
      <c r="R109" s="51">
        <v>2</v>
      </c>
      <c r="S109" s="55" t="s">
        <v>975</v>
      </c>
      <c r="T109" s="27">
        <v>23664589</v>
      </c>
      <c r="U109" s="27">
        <f>T109-761894-83564</f>
        <v>22819131</v>
      </c>
      <c r="V109" s="27">
        <v>2958073625</v>
      </c>
      <c r="W109" s="58">
        <f>5191337</f>
        <v>5191337</v>
      </c>
    </row>
    <row r="110" spans="1:1027" s="26" customFormat="1" x14ac:dyDescent="0.2">
      <c r="A110" s="49"/>
      <c r="B110" s="49"/>
      <c r="C110" s="49"/>
      <c r="D110" s="50"/>
      <c r="E110" s="26" t="s">
        <v>507</v>
      </c>
      <c r="F110" s="49"/>
      <c r="G110" s="49"/>
      <c r="H110" s="49"/>
      <c r="I110" s="49"/>
      <c r="J110" s="49"/>
      <c r="K110" s="49"/>
      <c r="L110" s="49"/>
      <c r="M110" s="54"/>
      <c r="N110" s="49" t="s">
        <v>235</v>
      </c>
      <c r="O110" s="49" t="s">
        <v>231</v>
      </c>
      <c r="P110" s="54"/>
      <c r="Q110" s="49"/>
      <c r="R110" s="51"/>
      <c r="S110" s="49"/>
      <c r="T110" s="27">
        <v>23664589</v>
      </c>
      <c r="U110" s="27">
        <f>T110-761894-83564</f>
        <v>22819131</v>
      </c>
      <c r="V110" s="27">
        <v>2958073625</v>
      </c>
      <c r="W110" s="58"/>
    </row>
    <row r="111" spans="1:1027" s="26" customFormat="1" ht="15" customHeight="1" x14ac:dyDescent="0.2">
      <c r="A111" s="49" t="s">
        <v>643</v>
      </c>
      <c r="B111" s="49"/>
      <c r="C111" s="49"/>
      <c r="D111" s="50" t="s">
        <v>638</v>
      </c>
      <c r="E111" s="26" t="s">
        <v>508</v>
      </c>
      <c r="F111" s="49" t="s">
        <v>790</v>
      </c>
      <c r="G111" s="49" t="s">
        <v>789</v>
      </c>
      <c r="H111" s="49" t="s">
        <v>788</v>
      </c>
      <c r="I111" s="49" t="s">
        <v>720</v>
      </c>
      <c r="J111" s="49" t="s">
        <v>967</v>
      </c>
      <c r="K111" s="49" t="s">
        <v>920</v>
      </c>
      <c r="L111" s="49" t="s">
        <v>714</v>
      </c>
      <c r="M111" s="54" t="s">
        <v>946</v>
      </c>
      <c r="N111" s="49" t="s">
        <v>235</v>
      </c>
      <c r="O111" s="49" t="s">
        <v>231</v>
      </c>
      <c r="P111" s="54" t="s">
        <v>791</v>
      </c>
      <c r="Q111" s="49" t="s">
        <v>719</v>
      </c>
      <c r="R111" s="51">
        <v>3</v>
      </c>
      <c r="S111" s="55" t="s">
        <v>975</v>
      </c>
      <c r="T111" s="27">
        <v>22776115</v>
      </c>
      <c r="U111" s="27">
        <v>21954488</v>
      </c>
      <c r="V111" s="27">
        <v>2847014375</v>
      </c>
      <c r="W111" s="58">
        <f>4787482</f>
        <v>4787482</v>
      </c>
    </row>
    <row r="112" spans="1:1027" s="26" customFormat="1" x14ac:dyDescent="0.2">
      <c r="A112" s="49"/>
      <c r="B112" s="49"/>
      <c r="C112" s="49"/>
      <c r="D112" s="50"/>
      <c r="E112" s="26" t="s">
        <v>509</v>
      </c>
      <c r="F112" s="49"/>
      <c r="G112" s="49"/>
      <c r="H112" s="49"/>
      <c r="I112" s="49"/>
      <c r="J112" s="49"/>
      <c r="K112" s="49"/>
      <c r="L112" s="49"/>
      <c r="M112" s="54"/>
      <c r="N112" s="49" t="s">
        <v>235</v>
      </c>
      <c r="O112" s="49" t="s">
        <v>231</v>
      </c>
      <c r="P112" s="54"/>
      <c r="Q112" s="49"/>
      <c r="R112" s="51"/>
      <c r="S112" s="49"/>
      <c r="T112" s="27">
        <v>22776115</v>
      </c>
      <c r="U112" s="27">
        <v>21954488</v>
      </c>
      <c r="V112" s="27">
        <v>2847014375</v>
      </c>
      <c r="W112" s="58"/>
    </row>
    <row r="113" spans="1:23" s="26" customFormat="1" ht="15" customHeight="1" x14ac:dyDescent="0.2">
      <c r="A113" s="49" t="s">
        <v>643</v>
      </c>
      <c r="B113" s="49"/>
      <c r="C113" s="49"/>
      <c r="D113" s="50" t="s">
        <v>638</v>
      </c>
      <c r="E113" s="26" t="s">
        <v>510</v>
      </c>
      <c r="F113" s="49" t="s">
        <v>790</v>
      </c>
      <c r="G113" s="49" t="s">
        <v>801</v>
      </c>
      <c r="H113" s="49" t="s">
        <v>802</v>
      </c>
      <c r="I113" s="49" t="s">
        <v>708</v>
      </c>
      <c r="J113" s="49" t="s">
        <v>967</v>
      </c>
      <c r="K113" s="49" t="s">
        <v>920</v>
      </c>
      <c r="L113" s="49" t="s">
        <v>709</v>
      </c>
      <c r="M113" s="54" t="s">
        <v>946</v>
      </c>
      <c r="N113" s="49" t="s">
        <v>235</v>
      </c>
      <c r="O113" s="49" t="s">
        <v>232</v>
      </c>
      <c r="P113" s="54" t="s">
        <v>800</v>
      </c>
      <c r="Q113" s="54" t="s">
        <v>707</v>
      </c>
      <c r="R113" s="51">
        <v>1</v>
      </c>
      <c r="S113" s="55" t="s">
        <v>975</v>
      </c>
      <c r="T113" s="27">
        <v>19221472</v>
      </c>
      <c r="U113" s="27">
        <v>18425653</v>
      </c>
      <c r="V113" s="27">
        <v>2402684000</v>
      </c>
      <c r="W113" s="58">
        <f>2245050</f>
        <v>2245050</v>
      </c>
    </row>
    <row r="114" spans="1:23" s="26" customFormat="1" x14ac:dyDescent="0.2">
      <c r="A114" s="49"/>
      <c r="B114" s="49"/>
      <c r="C114" s="49"/>
      <c r="D114" s="50"/>
      <c r="E114" s="26" t="s">
        <v>511</v>
      </c>
      <c r="F114" s="49"/>
      <c r="G114" s="49"/>
      <c r="H114" s="49"/>
      <c r="I114" s="49"/>
      <c r="J114" s="49"/>
      <c r="K114" s="49"/>
      <c r="L114" s="49"/>
      <c r="M114" s="54"/>
      <c r="N114" s="49" t="s">
        <v>235</v>
      </c>
      <c r="O114" s="49" t="s">
        <v>232</v>
      </c>
      <c r="P114" s="54"/>
      <c r="Q114" s="54"/>
      <c r="R114" s="51"/>
      <c r="S114" s="49"/>
      <c r="T114" s="27">
        <v>19221472</v>
      </c>
      <c r="U114" s="27">
        <v>18425653</v>
      </c>
      <c r="V114" s="27">
        <v>2402684000</v>
      </c>
      <c r="W114" s="58"/>
    </row>
    <row r="115" spans="1:23" s="26" customFormat="1" ht="15" customHeight="1" x14ac:dyDescent="0.2">
      <c r="A115" s="49" t="s">
        <v>643</v>
      </c>
      <c r="B115" s="49"/>
      <c r="C115" s="49"/>
      <c r="D115" s="50" t="s">
        <v>638</v>
      </c>
      <c r="E115" s="26" t="s">
        <v>512</v>
      </c>
      <c r="F115" s="49" t="s">
        <v>790</v>
      </c>
      <c r="G115" s="49" t="s">
        <v>798</v>
      </c>
      <c r="H115" s="49" t="s">
        <v>799</v>
      </c>
      <c r="I115" s="49" t="s">
        <v>711</v>
      </c>
      <c r="J115" s="49" t="s">
        <v>967</v>
      </c>
      <c r="K115" s="49" t="s">
        <v>920</v>
      </c>
      <c r="L115" s="49" t="s">
        <v>709</v>
      </c>
      <c r="M115" s="54" t="s">
        <v>946</v>
      </c>
      <c r="N115" s="49" t="s">
        <v>235</v>
      </c>
      <c r="O115" s="49" t="s">
        <v>232</v>
      </c>
      <c r="P115" s="54" t="s">
        <v>800</v>
      </c>
      <c r="Q115" s="54" t="s">
        <v>710</v>
      </c>
      <c r="R115" s="51">
        <v>2</v>
      </c>
      <c r="S115" s="55" t="s">
        <v>975</v>
      </c>
      <c r="T115" s="27">
        <v>22489040</v>
      </c>
      <c r="U115" s="27">
        <v>21755355</v>
      </c>
      <c r="V115" s="27">
        <v>2811130000</v>
      </c>
      <c r="W115" s="58">
        <f>2819774</f>
        <v>2819774</v>
      </c>
    </row>
    <row r="116" spans="1:23" s="26" customFormat="1" x14ac:dyDescent="0.2">
      <c r="A116" s="49"/>
      <c r="B116" s="49"/>
      <c r="C116" s="49"/>
      <c r="D116" s="50"/>
      <c r="E116" s="26" t="s">
        <v>513</v>
      </c>
      <c r="F116" s="49"/>
      <c r="G116" s="49"/>
      <c r="H116" s="49"/>
      <c r="I116" s="49"/>
      <c r="J116" s="49"/>
      <c r="K116" s="49"/>
      <c r="L116" s="49"/>
      <c r="M116" s="54"/>
      <c r="N116" s="49" t="s">
        <v>235</v>
      </c>
      <c r="O116" s="49" t="s">
        <v>232</v>
      </c>
      <c r="P116" s="54"/>
      <c r="Q116" s="54"/>
      <c r="R116" s="51"/>
      <c r="S116" s="49"/>
      <c r="T116" s="27">
        <v>22489040</v>
      </c>
      <c r="U116" s="27">
        <v>21755355</v>
      </c>
      <c r="V116" s="27">
        <v>2811130000</v>
      </c>
      <c r="W116" s="58"/>
    </row>
    <row r="117" spans="1:23" s="26" customFormat="1" ht="15" customHeight="1" x14ac:dyDescent="0.2">
      <c r="A117" s="49" t="s">
        <v>643</v>
      </c>
      <c r="B117" s="49"/>
      <c r="C117" s="49"/>
      <c r="D117" s="50" t="s">
        <v>638</v>
      </c>
      <c r="E117" s="26" t="s">
        <v>514</v>
      </c>
      <c r="F117" s="49" t="s">
        <v>790</v>
      </c>
      <c r="G117" s="49" t="s">
        <v>797</v>
      </c>
      <c r="H117" s="49" t="s">
        <v>796</v>
      </c>
      <c r="I117" s="49" t="s">
        <v>713</v>
      </c>
      <c r="J117" s="49" t="s">
        <v>967</v>
      </c>
      <c r="K117" s="49" t="s">
        <v>920</v>
      </c>
      <c r="L117" s="49" t="s">
        <v>709</v>
      </c>
      <c r="M117" s="54" t="s">
        <v>946</v>
      </c>
      <c r="N117" s="49" t="s">
        <v>235</v>
      </c>
      <c r="O117" s="49" t="s">
        <v>232</v>
      </c>
      <c r="P117" s="54" t="s">
        <v>800</v>
      </c>
      <c r="Q117" s="54" t="s">
        <v>712</v>
      </c>
      <c r="R117" s="51">
        <v>3</v>
      </c>
      <c r="S117" s="55" t="s">
        <v>975</v>
      </c>
      <c r="T117" s="27">
        <v>26141466</v>
      </c>
      <c r="U117" s="27">
        <v>25065617</v>
      </c>
      <c r="V117" s="27">
        <v>3267683250</v>
      </c>
      <c r="W117" s="58">
        <f>2704531</f>
        <v>2704531</v>
      </c>
    </row>
    <row r="118" spans="1:23" s="26" customFormat="1" x14ac:dyDescent="0.2">
      <c r="A118" s="49"/>
      <c r="B118" s="49"/>
      <c r="C118" s="49"/>
      <c r="D118" s="50"/>
      <c r="E118" s="26" t="s">
        <v>515</v>
      </c>
      <c r="F118" s="49"/>
      <c r="G118" s="49"/>
      <c r="H118" s="49"/>
      <c r="I118" s="49"/>
      <c r="J118" s="49"/>
      <c r="K118" s="49"/>
      <c r="L118" s="49"/>
      <c r="M118" s="54"/>
      <c r="N118" s="49" t="s">
        <v>235</v>
      </c>
      <c r="O118" s="49" t="s">
        <v>232</v>
      </c>
      <c r="P118" s="54"/>
      <c r="Q118" s="54"/>
      <c r="R118" s="51"/>
      <c r="S118" s="49"/>
      <c r="T118" s="27">
        <v>26141466</v>
      </c>
      <c r="U118" s="27">
        <v>25065617</v>
      </c>
      <c r="V118" s="27">
        <v>3267683250</v>
      </c>
      <c r="W118" s="58"/>
    </row>
    <row r="119" spans="1:23" s="26" customFormat="1" x14ac:dyDescent="0.2">
      <c r="A119" s="51" t="s">
        <v>735</v>
      </c>
      <c r="B119" s="49"/>
      <c r="C119" s="49"/>
      <c r="D119" s="50" t="s">
        <v>638</v>
      </c>
      <c r="E119" s="26" t="s">
        <v>516</v>
      </c>
      <c r="F119" s="49" t="s">
        <v>805</v>
      </c>
      <c r="G119" s="49" t="s">
        <v>804</v>
      </c>
      <c r="H119" s="49" t="s">
        <v>806</v>
      </c>
      <c r="I119" s="49" t="s">
        <v>721</v>
      </c>
      <c r="J119" s="49" t="s">
        <v>970</v>
      </c>
      <c r="K119" s="49" t="s">
        <v>930</v>
      </c>
      <c r="L119" s="49" t="s">
        <v>803</v>
      </c>
      <c r="M119" s="49" t="s">
        <v>787</v>
      </c>
      <c r="N119" s="49" t="s">
        <v>233</v>
      </c>
      <c r="O119" s="49" t="s">
        <v>236</v>
      </c>
      <c r="P119" s="49" t="s">
        <v>807</v>
      </c>
      <c r="Q119" s="49" t="s">
        <v>502</v>
      </c>
      <c r="R119" s="51">
        <v>1</v>
      </c>
      <c r="S119" s="55" t="s">
        <v>975</v>
      </c>
      <c r="T119" s="27">
        <v>22398647</v>
      </c>
      <c r="U119" s="27">
        <f>T119-12063</f>
        <v>22386584</v>
      </c>
      <c r="V119" s="27">
        <v>3159994339</v>
      </c>
      <c r="W119" s="58">
        <f>2922176</f>
        <v>2922176</v>
      </c>
    </row>
    <row r="120" spans="1:23" s="26" customFormat="1" x14ac:dyDescent="0.2">
      <c r="A120" s="51"/>
      <c r="B120" s="49"/>
      <c r="C120" s="49"/>
      <c r="D120" s="50"/>
      <c r="E120" s="26" t="s">
        <v>517</v>
      </c>
      <c r="F120" s="49"/>
      <c r="G120" s="49"/>
      <c r="H120" s="49"/>
      <c r="I120" s="49"/>
      <c r="J120" s="49"/>
      <c r="K120" s="49"/>
      <c r="L120" s="49"/>
      <c r="M120" s="49"/>
      <c r="N120" s="49" t="s">
        <v>233</v>
      </c>
      <c r="O120" s="49" t="s">
        <v>236</v>
      </c>
      <c r="P120" s="49"/>
      <c r="Q120" s="49"/>
      <c r="R120" s="51"/>
      <c r="S120" s="49"/>
      <c r="T120" s="27">
        <v>22398647</v>
      </c>
      <c r="U120" s="27">
        <f>T120-12063</f>
        <v>22386584</v>
      </c>
      <c r="V120" s="27">
        <v>3121918742</v>
      </c>
      <c r="W120" s="58"/>
    </row>
    <row r="121" spans="1:23" s="26" customFormat="1" x14ac:dyDescent="0.2">
      <c r="A121" s="51" t="s">
        <v>735</v>
      </c>
      <c r="B121" s="49"/>
      <c r="C121" s="49"/>
      <c r="D121" s="50" t="s">
        <v>638</v>
      </c>
      <c r="E121" s="26" t="s">
        <v>518</v>
      </c>
      <c r="F121" s="49" t="s">
        <v>805</v>
      </c>
      <c r="G121" s="49" t="s">
        <v>804</v>
      </c>
      <c r="H121" s="49" t="s">
        <v>806</v>
      </c>
      <c r="I121" s="49" t="s">
        <v>722</v>
      </c>
      <c r="J121" s="49" t="s">
        <v>970</v>
      </c>
      <c r="K121" s="49" t="s">
        <v>930</v>
      </c>
      <c r="L121" s="49" t="s">
        <v>803</v>
      </c>
      <c r="M121" s="49" t="s">
        <v>787</v>
      </c>
      <c r="N121" s="49" t="s">
        <v>233</v>
      </c>
      <c r="O121" s="49" t="s">
        <v>236</v>
      </c>
      <c r="P121" s="49" t="s">
        <v>807</v>
      </c>
      <c r="Q121" s="49" t="s">
        <v>502</v>
      </c>
      <c r="R121" s="51">
        <v>2</v>
      </c>
      <c r="S121" s="55" t="s">
        <v>975</v>
      </c>
      <c r="T121" s="27">
        <v>22336639</v>
      </c>
      <c r="U121" s="27">
        <f>T121-9136</f>
        <v>22327503</v>
      </c>
      <c r="V121" s="27">
        <v>3177175067</v>
      </c>
      <c r="W121" s="58">
        <f>3909571</f>
        <v>3909571</v>
      </c>
    </row>
    <row r="122" spans="1:23" s="26" customFormat="1" x14ac:dyDescent="0.2">
      <c r="A122" s="51"/>
      <c r="B122" s="49"/>
      <c r="C122" s="49"/>
      <c r="D122" s="50"/>
      <c r="E122" s="26" t="s">
        <v>519</v>
      </c>
      <c r="F122" s="49"/>
      <c r="G122" s="49"/>
      <c r="H122" s="49"/>
      <c r="I122" s="49"/>
      <c r="J122" s="49"/>
      <c r="K122" s="49"/>
      <c r="L122" s="49"/>
      <c r="M122" s="49"/>
      <c r="N122" s="49" t="s">
        <v>233</v>
      </c>
      <c r="O122" s="49" t="s">
        <v>236</v>
      </c>
      <c r="P122" s="49"/>
      <c r="Q122" s="49"/>
      <c r="R122" s="51"/>
      <c r="S122" s="49"/>
      <c r="T122" s="27">
        <v>22336639</v>
      </c>
      <c r="U122" s="27">
        <f>T122-9136</f>
        <v>22327503</v>
      </c>
      <c r="V122" s="27">
        <v>3140215853</v>
      </c>
      <c r="W122" s="58"/>
    </row>
    <row r="123" spans="1:23" s="26" customFormat="1" x14ac:dyDescent="0.2">
      <c r="A123" s="49" t="s">
        <v>643</v>
      </c>
      <c r="B123" s="49"/>
      <c r="C123" s="49"/>
      <c r="D123" s="50" t="s">
        <v>338</v>
      </c>
      <c r="E123" s="26" t="s">
        <v>520</v>
      </c>
      <c r="F123" s="49" t="s">
        <v>262</v>
      </c>
      <c r="G123" s="49" t="s">
        <v>340</v>
      </c>
      <c r="H123" s="49" t="s">
        <v>341</v>
      </c>
      <c r="I123" s="49" t="s">
        <v>342</v>
      </c>
      <c r="J123" s="49" t="s">
        <v>969</v>
      </c>
      <c r="K123" s="49" t="s">
        <v>916</v>
      </c>
      <c r="L123" s="49" t="s">
        <v>339</v>
      </c>
      <c r="M123" s="49" t="s">
        <v>945</v>
      </c>
      <c r="N123" s="49" t="s">
        <v>235</v>
      </c>
      <c r="O123" s="49" t="s">
        <v>231</v>
      </c>
      <c r="P123" s="49" t="s">
        <v>336</v>
      </c>
      <c r="Q123" s="55" t="s">
        <v>977</v>
      </c>
      <c r="R123" s="51">
        <v>1</v>
      </c>
      <c r="S123" s="55" t="s">
        <v>975</v>
      </c>
      <c r="T123" s="27">
        <v>62871443</v>
      </c>
      <c r="U123" s="27">
        <f>T123-1552900</f>
        <v>61318543</v>
      </c>
      <c r="V123" s="27">
        <v>9325194167</v>
      </c>
      <c r="W123" s="58">
        <f>32479343</f>
        <v>32479343</v>
      </c>
    </row>
    <row r="124" spans="1:23" s="26" customFormat="1" x14ac:dyDescent="0.2">
      <c r="A124" s="49"/>
      <c r="B124" s="49"/>
      <c r="C124" s="49"/>
      <c r="D124" s="50"/>
      <c r="E124" s="26" t="s">
        <v>521</v>
      </c>
      <c r="F124" s="49"/>
      <c r="G124" s="49"/>
      <c r="H124" s="49"/>
      <c r="I124" s="49"/>
      <c r="J124" s="49" t="s">
        <v>210</v>
      </c>
      <c r="K124" s="49"/>
      <c r="L124" s="49"/>
      <c r="M124" s="49"/>
      <c r="N124" s="49" t="s">
        <v>235</v>
      </c>
      <c r="O124" s="49" t="s">
        <v>231</v>
      </c>
      <c r="P124" s="49"/>
      <c r="Q124" s="49"/>
      <c r="R124" s="51"/>
      <c r="S124" s="49"/>
      <c r="T124" s="27">
        <v>62871443</v>
      </c>
      <c r="U124" s="27">
        <f>T124-1552900</f>
        <v>61318543</v>
      </c>
      <c r="V124" s="27">
        <v>9297682222</v>
      </c>
      <c r="W124" s="58"/>
    </row>
    <row r="125" spans="1:23" s="26" customFormat="1" x14ac:dyDescent="0.2">
      <c r="A125" s="49" t="s">
        <v>643</v>
      </c>
      <c r="B125" s="49"/>
      <c r="C125" s="49"/>
      <c r="D125" s="50" t="s">
        <v>338</v>
      </c>
      <c r="E125" s="26" t="s">
        <v>522</v>
      </c>
      <c r="F125" s="49" t="s">
        <v>262</v>
      </c>
      <c r="G125" s="49" t="s">
        <v>343</v>
      </c>
      <c r="H125" s="49" t="s">
        <v>344</v>
      </c>
      <c r="I125" s="49" t="s">
        <v>345</v>
      </c>
      <c r="J125" s="49" t="s">
        <v>969</v>
      </c>
      <c r="K125" s="49" t="s">
        <v>916</v>
      </c>
      <c r="L125" s="49" t="s">
        <v>339</v>
      </c>
      <c r="M125" s="49" t="s">
        <v>945</v>
      </c>
      <c r="N125" s="49" t="s">
        <v>235</v>
      </c>
      <c r="O125" s="49" t="s">
        <v>231</v>
      </c>
      <c r="P125" s="49" t="s">
        <v>336</v>
      </c>
      <c r="Q125" s="55" t="s">
        <v>978</v>
      </c>
      <c r="R125" s="51">
        <v>2</v>
      </c>
      <c r="S125" s="55" t="s">
        <v>975</v>
      </c>
      <c r="T125" s="27">
        <v>66701334</v>
      </c>
      <c r="U125" s="27">
        <f>T125-1409199</f>
        <v>65292135</v>
      </c>
      <c r="V125" s="27">
        <v>9840637014</v>
      </c>
      <c r="W125" s="58">
        <f>34314465</f>
        <v>34314465</v>
      </c>
    </row>
    <row r="126" spans="1:23" s="26" customFormat="1" x14ac:dyDescent="0.2">
      <c r="A126" s="49"/>
      <c r="B126" s="49"/>
      <c r="C126" s="49"/>
      <c r="D126" s="50"/>
      <c r="E126" s="26" t="s">
        <v>523</v>
      </c>
      <c r="F126" s="49"/>
      <c r="G126" s="49"/>
      <c r="H126" s="49"/>
      <c r="I126" s="49"/>
      <c r="J126" s="49" t="s">
        <v>210</v>
      </c>
      <c r="K126" s="49"/>
      <c r="L126" s="49"/>
      <c r="M126" s="49"/>
      <c r="N126" s="49" t="s">
        <v>235</v>
      </c>
      <c r="O126" s="49" t="s">
        <v>231</v>
      </c>
      <c r="P126" s="49"/>
      <c r="Q126" s="49"/>
      <c r="R126" s="51"/>
      <c r="S126" s="49"/>
      <c r="T126" s="27">
        <v>66701334</v>
      </c>
      <c r="U126" s="27">
        <f>T126-1409199</f>
        <v>65292135</v>
      </c>
      <c r="V126" s="27">
        <v>9814168801</v>
      </c>
      <c r="W126" s="58"/>
    </row>
    <row r="127" spans="1:23" s="26" customFormat="1" x14ac:dyDescent="0.2">
      <c r="A127" s="49" t="s">
        <v>643</v>
      </c>
      <c r="B127" s="49"/>
      <c r="C127" s="49"/>
      <c r="D127" s="50" t="s">
        <v>338</v>
      </c>
      <c r="E127" s="26" t="s">
        <v>524</v>
      </c>
      <c r="F127" s="49" t="s">
        <v>262</v>
      </c>
      <c r="G127" s="49" t="s">
        <v>346</v>
      </c>
      <c r="H127" s="49" t="s">
        <v>347</v>
      </c>
      <c r="I127" s="49" t="s">
        <v>348</v>
      </c>
      <c r="J127" s="49" t="s">
        <v>969</v>
      </c>
      <c r="K127" s="49" t="s">
        <v>916</v>
      </c>
      <c r="L127" s="49" t="s">
        <v>339</v>
      </c>
      <c r="M127" s="49" t="s">
        <v>945</v>
      </c>
      <c r="N127" s="49" t="s">
        <v>235</v>
      </c>
      <c r="O127" s="49" t="s">
        <v>231</v>
      </c>
      <c r="P127" s="49" t="s">
        <v>336</v>
      </c>
      <c r="Q127" s="55" t="s">
        <v>979</v>
      </c>
      <c r="R127" s="51">
        <v>3</v>
      </c>
      <c r="S127" s="55" t="s">
        <v>975</v>
      </c>
      <c r="T127" s="27">
        <v>55439137</v>
      </c>
      <c r="U127" s="28">
        <f>T127-1128466</f>
        <v>54310671</v>
      </c>
      <c r="V127" s="27">
        <v>8218077970</v>
      </c>
      <c r="W127" s="58">
        <f>28550018</f>
        <v>28550018</v>
      </c>
    </row>
    <row r="128" spans="1:23" s="26" customFormat="1" x14ac:dyDescent="0.2">
      <c r="A128" s="49"/>
      <c r="B128" s="49"/>
      <c r="C128" s="49"/>
      <c r="D128" s="50"/>
      <c r="E128" s="26" t="s">
        <v>525</v>
      </c>
      <c r="F128" s="49"/>
      <c r="G128" s="49"/>
      <c r="H128" s="49"/>
      <c r="I128" s="49"/>
      <c r="J128" s="49" t="s">
        <v>210</v>
      </c>
      <c r="K128" s="49"/>
      <c r="L128" s="49"/>
      <c r="M128" s="49"/>
      <c r="N128" s="49" t="s">
        <v>235</v>
      </c>
      <c r="O128" s="49" t="s">
        <v>231</v>
      </c>
      <c r="P128" s="49"/>
      <c r="Q128" s="49"/>
      <c r="R128" s="51"/>
      <c r="S128" s="49"/>
      <c r="T128" s="27">
        <v>55439137</v>
      </c>
      <c r="U128" s="28">
        <f>T128-1128466</f>
        <v>54310671</v>
      </c>
      <c r="V128" s="27">
        <v>8195331491</v>
      </c>
      <c r="W128" s="58"/>
    </row>
    <row r="129" spans="1:23" s="26" customFormat="1" x14ac:dyDescent="0.2">
      <c r="A129" s="49" t="s">
        <v>643</v>
      </c>
      <c r="B129" s="49"/>
      <c r="C129" s="49"/>
      <c r="D129" s="50" t="s">
        <v>338</v>
      </c>
      <c r="E129" s="26" t="s">
        <v>526</v>
      </c>
      <c r="F129" s="49" t="s">
        <v>262</v>
      </c>
      <c r="G129" s="49" t="s">
        <v>363</v>
      </c>
      <c r="H129" s="49" t="s">
        <v>364</v>
      </c>
      <c r="I129" s="49" t="s">
        <v>365</v>
      </c>
      <c r="J129" s="49" t="s">
        <v>969</v>
      </c>
      <c r="K129" s="49" t="s">
        <v>916</v>
      </c>
      <c r="L129" s="49" t="s">
        <v>362</v>
      </c>
      <c r="M129" s="49" t="s">
        <v>945</v>
      </c>
      <c r="N129" s="49" t="s">
        <v>235</v>
      </c>
      <c r="O129" s="49" t="s">
        <v>232</v>
      </c>
      <c r="P129" s="49" t="s">
        <v>337</v>
      </c>
      <c r="Q129" s="55" t="s">
        <v>980</v>
      </c>
      <c r="R129" s="51">
        <v>1</v>
      </c>
      <c r="S129" s="55" t="s">
        <v>975</v>
      </c>
      <c r="T129" s="27">
        <v>80673740</v>
      </c>
      <c r="U129" s="27">
        <f>T129-1885202</f>
        <v>78788538</v>
      </c>
      <c r="V129" s="27">
        <v>11952715815</v>
      </c>
      <c r="W129" s="58">
        <f>38381453</f>
        <v>38381453</v>
      </c>
    </row>
    <row r="130" spans="1:23" s="26" customFormat="1" x14ac:dyDescent="0.2">
      <c r="A130" s="49"/>
      <c r="B130" s="49"/>
      <c r="C130" s="49"/>
      <c r="D130" s="50"/>
      <c r="E130" s="26" t="s">
        <v>527</v>
      </c>
      <c r="F130" s="49"/>
      <c r="G130" s="49"/>
      <c r="H130" s="49"/>
      <c r="I130" s="49"/>
      <c r="J130" s="49" t="s">
        <v>210</v>
      </c>
      <c r="K130" s="49"/>
      <c r="L130" s="49"/>
      <c r="M130" s="49"/>
      <c r="N130" s="49" t="s">
        <v>235</v>
      </c>
      <c r="O130" s="49" t="s">
        <v>232</v>
      </c>
      <c r="P130" s="49" t="s">
        <v>337</v>
      </c>
      <c r="Q130" s="49"/>
      <c r="R130" s="51"/>
      <c r="S130" s="49"/>
      <c r="T130" s="27">
        <v>80673740</v>
      </c>
      <c r="U130" s="27">
        <f>T130-1885202</f>
        <v>78788538</v>
      </c>
      <c r="V130" s="27">
        <v>11918906514</v>
      </c>
      <c r="W130" s="58"/>
    </row>
    <row r="131" spans="1:23" s="26" customFormat="1" x14ac:dyDescent="0.2">
      <c r="A131" s="49" t="s">
        <v>643</v>
      </c>
      <c r="B131" s="49"/>
      <c r="C131" s="49"/>
      <c r="D131" s="50" t="s">
        <v>338</v>
      </c>
      <c r="E131" s="26" t="s">
        <v>528</v>
      </c>
      <c r="F131" s="49" t="s">
        <v>262</v>
      </c>
      <c r="G131" s="49" t="s">
        <v>366</v>
      </c>
      <c r="H131" s="49" t="s">
        <v>367</v>
      </c>
      <c r="I131" s="49" t="s">
        <v>368</v>
      </c>
      <c r="J131" s="49" t="s">
        <v>969</v>
      </c>
      <c r="K131" s="49" t="s">
        <v>916</v>
      </c>
      <c r="L131" s="49" t="s">
        <v>362</v>
      </c>
      <c r="M131" s="49" t="s">
        <v>945</v>
      </c>
      <c r="N131" s="49" t="s">
        <v>235</v>
      </c>
      <c r="O131" s="49" t="s">
        <v>232</v>
      </c>
      <c r="P131" s="49" t="s">
        <v>337</v>
      </c>
      <c r="Q131" s="55" t="s">
        <v>981</v>
      </c>
      <c r="R131" s="51">
        <v>2</v>
      </c>
      <c r="S131" s="55" t="s">
        <v>975</v>
      </c>
      <c r="T131" s="27">
        <v>67510008</v>
      </c>
      <c r="U131" s="27">
        <f>T131-1397343</f>
        <v>66112665</v>
      </c>
      <c r="V131" s="27">
        <v>9987469839</v>
      </c>
      <c r="W131" s="58">
        <f>33907566</f>
        <v>33907566</v>
      </c>
    </row>
    <row r="132" spans="1:23" s="26" customFormat="1" x14ac:dyDescent="0.2">
      <c r="A132" s="49"/>
      <c r="B132" s="49"/>
      <c r="C132" s="49"/>
      <c r="D132" s="50"/>
      <c r="E132" s="26" t="s">
        <v>529</v>
      </c>
      <c r="F132" s="49"/>
      <c r="G132" s="49"/>
      <c r="H132" s="49"/>
      <c r="I132" s="49"/>
      <c r="J132" s="49" t="s">
        <v>210</v>
      </c>
      <c r="K132" s="49"/>
      <c r="L132" s="49"/>
      <c r="M132" s="49"/>
      <c r="N132" s="49" t="s">
        <v>235</v>
      </c>
      <c r="O132" s="49" t="s">
        <v>232</v>
      </c>
      <c r="P132" s="49" t="s">
        <v>337</v>
      </c>
      <c r="Q132" s="49"/>
      <c r="R132" s="51"/>
      <c r="S132" s="49"/>
      <c r="T132" s="27">
        <v>67510008</v>
      </c>
      <c r="U132" s="27">
        <f>T132-1397343</f>
        <v>66112665</v>
      </c>
      <c r="V132" s="27">
        <v>9966267833</v>
      </c>
      <c r="W132" s="58"/>
    </row>
    <row r="133" spans="1:23" s="26" customFormat="1" x14ac:dyDescent="0.2">
      <c r="A133" s="49" t="s">
        <v>643</v>
      </c>
      <c r="B133" s="49"/>
      <c r="C133" s="49"/>
      <c r="D133" s="50" t="s">
        <v>338</v>
      </c>
      <c r="E133" s="26" t="s">
        <v>530</v>
      </c>
      <c r="F133" s="49" t="s">
        <v>262</v>
      </c>
      <c r="G133" s="49" t="s">
        <v>369</v>
      </c>
      <c r="H133" s="49" t="s">
        <v>370</v>
      </c>
      <c r="I133" s="49" t="s">
        <v>371</v>
      </c>
      <c r="J133" s="49" t="s">
        <v>969</v>
      </c>
      <c r="K133" s="49" t="s">
        <v>916</v>
      </c>
      <c r="L133" s="49" t="s">
        <v>362</v>
      </c>
      <c r="M133" s="49" t="s">
        <v>945</v>
      </c>
      <c r="N133" s="49" t="s">
        <v>235</v>
      </c>
      <c r="O133" s="49" t="s">
        <v>232</v>
      </c>
      <c r="P133" s="49" t="s">
        <v>337</v>
      </c>
      <c r="Q133" s="55" t="s">
        <v>982</v>
      </c>
      <c r="R133" s="51">
        <v>3</v>
      </c>
      <c r="S133" s="55" t="s">
        <v>975</v>
      </c>
      <c r="T133" s="27">
        <v>64263959</v>
      </c>
      <c r="U133" s="27">
        <f>T133-1657326</f>
        <v>62606633</v>
      </c>
      <c r="V133" s="27">
        <v>9536601577</v>
      </c>
      <c r="W133" s="58">
        <f>32451505</f>
        <v>32451505</v>
      </c>
    </row>
    <row r="134" spans="1:23" s="26" customFormat="1" x14ac:dyDescent="0.2">
      <c r="A134" s="49"/>
      <c r="B134" s="49"/>
      <c r="C134" s="49"/>
      <c r="D134" s="50"/>
      <c r="E134" s="26" t="s">
        <v>531</v>
      </c>
      <c r="F134" s="49"/>
      <c r="G134" s="49"/>
      <c r="H134" s="49"/>
      <c r="I134" s="49"/>
      <c r="J134" s="49" t="s">
        <v>210</v>
      </c>
      <c r="K134" s="49"/>
      <c r="L134" s="49"/>
      <c r="M134" s="49"/>
      <c r="N134" s="49" t="s">
        <v>235</v>
      </c>
      <c r="O134" s="49" t="s">
        <v>232</v>
      </c>
      <c r="P134" s="49" t="s">
        <v>337</v>
      </c>
      <c r="Q134" s="49"/>
      <c r="R134" s="51"/>
      <c r="S134" s="49"/>
      <c r="T134" s="27">
        <v>64263959</v>
      </c>
      <c r="U134" s="27">
        <f>T134-1657326</f>
        <v>62606633</v>
      </c>
      <c r="V134" s="27">
        <v>9506399483</v>
      </c>
      <c r="W134" s="58"/>
    </row>
    <row r="135" spans="1:23" s="26" customFormat="1" x14ac:dyDescent="0.2">
      <c r="A135" s="51" t="s">
        <v>735</v>
      </c>
      <c r="B135" s="49"/>
      <c r="C135" s="49"/>
      <c r="D135" s="50" t="s">
        <v>338</v>
      </c>
      <c r="E135" s="26" t="s">
        <v>532</v>
      </c>
      <c r="F135" s="49" t="s">
        <v>262</v>
      </c>
      <c r="G135" s="49" t="s">
        <v>351</v>
      </c>
      <c r="H135" s="49" t="s">
        <v>352</v>
      </c>
      <c r="I135" s="49" t="s">
        <v>353</v>
      </c>
      <c r="J135" s="49" t="s">
        <v>969</v>
      </c>
      <c r="K135" s="49" t="s">
        <v>916</v>
      </c>
      <c r="L135" s="49" t="s">
        <v>349</v>
      </c>
      <c r="M135" s="49" t="s">
        <v>945</v>
      </c>
      <c r="N135" s="49" t="s">
        <v>233</v>
      </c>
      <c r="O135" s="49" t="s">
        <v>236</v>
      </c>
      <c r="P135" s="49" t="s">
        <v>335</v>
      </c>
      <c r="Q135" s="49" t="s">
        <v>350</v>
      </c>
      <c r="R135" s="51">
        <v>1</v>
      </c>
      <c r="S135" s="55" t="s">
        <v>975</v>
      </c>
      <c r="T135" s="27">
        <v>47416381</v>
      </c>
      <c r="U135" s="27">
        <f>T135-1777814</f>
        <v>45638567</v>
      </c>
      <c r="V135" s="27">
        <v>7027016687</v>
      </c>
      <c r="W135" s="58">
        <f>23793329</f>
        <v>23793329</v>
      </c>
    </row>
    <row r="136" spans="1:23" s="26" customFormat="1" x14ac:dyDescent="0.2">
      <c r="A136" s="51"/>
      <c r="B136" s="49"/>
      <c r="C136" s="49"/>
      <c r="D136" s="50"/>
      <c r="E136" s="26" t="s">
        <v>533</v>
      </c>
      <c r="F136" s="49"/>
      <c r="G136" s="49"/>
      <c r="H136" s="49"/>
      <c r="I136" s="49"/>
      <c r="J136" s="49" t="s">
        <v>210</v>
      </c>
      <c r="K136" s="49"/>
      <c r="L136" s="49"/>
      <c r="M136" s="49"/>
      <c r="N136" s="49" t="s">
        <v>233</v>
      </c>
      <c r="O136" s="49" t="s">
        <v>236</v>
      </c>
      <c r="P136" s="49" t="s">
        <v>335</v>
      </c>
      <c r="Q136" s="49"/>
      <c r="R136" s="51"/>
      <c r="S136" s="49"/>
      <c r="T136" s="27">
        <v>47416381</v>
      </c>
      <c r="U136" s="27">
        <f>T136-1777814</f>
        <v>45638567</v>
      </c>
      <c r="V136" s="27">
        <v>7003744650</v>
      </c>
      <c r="W136" s="58"/>
    </row>
    <row r="137" spans="1:23" s="26" customFormat="1" x14ac:dyDescent="0.2">
      <c r="A137" s="51" t="s">
        <v>735</v>
      </c>
      <c r="B137" s="49"/>
      <c r="C137" s="49"/>
      <c r="D137" s="50" t="s">
        <v>338</v>
      </c>
      <c r="E137" s="26" t="s">
        <v>534</v>
      </c>
      <c r="F137" s="49" t="s">
        <v>262</v>
      </c>
      <c r="G137" s="49" t="s">
        <v>355</v>
      </c>
      <c r="H137" s="49" t="s">
        <v>356</v>
      </c>
      <c r="I137" s="49" t="s">
        <v>357</v>
      </c>
      <c r="J137" s="49" t="s">
        <v>969</v>
      </c>
      <c r="K137" s="49" t="s">
        <v>916</v>
      </c>
      <c r="L137" s="49" t="s">
        <v>349</v>
      </c>
      <c r="M137" s="49" t="s">
        <v>945</v>
      </c>
      <c r="N137" s="49" t="s">
        <v>233</v>
      </c>
      <c r="O137" s="49" t="s">
        <v>236</v>
      </c>
      <c r="P137" s="49" t="s">
        <v>335</v>
      </c>
      <c r="Q137" s="49" t="s">
        <v>354</v>
      </c>
      <c r="R137" s="51">
        <v>2</v>
      </c>
      <c r="S137" s="55" t="s">
        <v>975</v>
      </c>
      <c r="T137" s="27">
        <v>42386540</v>
      </c>
      <c r="U137" s="27">
        <f>T137-1225634</f>
        <v>41160906</v>
      </c>
      <c r="V137" s="27">
        <v>6265167174</v>
      </c>
      <c r="W137" s="58">
        <f>21617286</f>
        <v>21617286</v>
      </c>
    </row>
    <row r="138" spans="1:23" s="26" customFormat="1" x14ac:dyDescent="0.2">
      <c r="A138" s="51"/>
      <c r="B138" s="49"/>
      <c r="C138" s="49"/>
      <c r="D138" s="50"/>
      <c r="E138" s="26" t="s">
        <v>535</v>
      </c>
      <c r="F138" s="49"/>
      <c r="G138" s="49"/>
      <c r="H138" s="49"/>
      <c r="I138" s="49"/>
      <c r="J138" s="49" t="s">
        <v>210</v>
      </c>
      <c r="K138" s="49"/>
      <c r="L138" s="49"/>
      <c r="M138" s="49"/>
      <c r="N138" s="49" t="s">
        <v>233</v>
      </c>
      <c r="O138" s="49" t="s">
        <v>236</v>
      </c>
      <c r="P138" s="49" t="s">
        <v>335</v>
      </c>
      <c r="Q138" s="49"/>
      <c r="R138" s="51"/>
      <c r="S138" s="49"/>
      <c r="T138" s="27">
        <v>42386540</v>
      </c>
      <c r="U138" s="27">
        <f>T138-1225634</f>
        <v>41160906</v>
      </c>
      <c r="V138" s="27">
        <v>6244934920</v>
      </c>
      <c r="W138" s="58"/>
    </row>
    <row r="139" spans="1:23" s="26" customFormat="1" x14ac:dyDescent="0.2">
      <c r="A139" s="51" t="s">
        <v>735</v>
      </c>
      <c r="B139" s="49"/>
      <c r="C139" s="49"/>
      <c r="D139" s="50" t="s">
        <v>338</v>
      </c>
      <c r="E139" s="26" t="s">
        <v>536</v>
      </c>
      <c r="F139" s="49" t="s">
        <v>262</v>
      </c>
      <c r="G139" s="49" t="s">
        <v>359</v>
      </c>
      <c r="H139" s="49" t="s">
        <v>360</v>
      </c>
      <c r="I139" s="49" t="s">
        <v>361</v>
      </c>
      <c r="J139" s="49" t="s">
        <v>969</v>
      </c>
      <c r="K139" s="49" t="s">
        <v>916</v>
      </c>
      <c r="L139" s="49" t="s">
        <v>349</v>
      </c>
      <c r="M139" s="49" t="s">
        <v>945</v>
      </c>
      <c r="N139" s="49" t="s">
        <v>233</v>
      </c>
      <c r="O139" s="49" t="s">
        <v>236</v>
      </c>
      <c r="P139" s="49" t="s">
        <v>335</v>
      </c>
      <c r="Q139" s="49" t="s">
        <v>358</v>
      </c>
      <c r="R139" s="51">
        <v>3</v>
      </c>
      <c r="S139" s="55" t="s">
        <v>975</v>
      </c>
      <c r="T139" s="27">
        <v>51971685</v>
      </c>
      <c r="U139" s="27">
        <f>T139-2009138</f>
        <v>49962547</v>
      </c>
      <c r="V139" s="27">
        <v>7719879492</v>
      </c>
      <c r="W139" s="58">
        <f>25873468</f>
        <v>25873468</v>
      </c>
    </row>
    <row r="140" spans="1:23" s="26" customFormat="1" ht="14" customHeight="1" x14ac:dyDescent="0.2">
      <c r="A140" s="51"/>
      <c r="B140" s="49"/>
      <c r="C140" s="49"/>
      <c r="D140" s="50"/>
      <c r="E140" s="26" t="s">
        <v>537</v>
      </c>
      <c r="F140" s="49"/>
      <c r="G140" s="49"/>
      <c r="H140" s="49"/>
      <c r="I140" s="49"/>
      <c r="J140" s="49" t="s">
        <v>210</v>
      </c>
      <c r="K140" s="49"/>
      <c r="L140" s="49"/>
      <c r="M140" s="49"/>
      <c r="N140" s="49" t="s">
        <v>233</v>
      </c>
      <c r="O140" s="49" t="s">
        <v>236</v>
      </c>
      <c r="P140" s="49" t="s">
        <v>335</v>
      </c>
      <c r="Q140" s="49"/>
      <c r="R140" s="51"/>
      <c r="S140" s="49"/>
      <c r="T140" s="27">
        <v>51971685</v>
      </c>
      <c r="U140" s="27">
        <f>T140-2009138</f>
        <v>49962547</v>
      </c>
      <c r="V140" s="27">
        <v>7692672351</v>
      </c>
      <c r="W140" s="58"/>
    </row>
    <row r="141" spans="1:23" s="26" customFormat="1" x14ac:dyDescent="0.2">
      <c r="A141" s="49" t="s">
        <v>643</v>
      </c>
      <c r="B141" s="49"/>
      <c r="C141" s="49"/>
      <c r="D141" s="50" t="s">
        <v>372</v>
      </c>
      <c r="E141" s="26" t="s">
        <v>538</v>
      </c>
      <c r="F141" s="49" t="s">
        <v>262</v>
      </c>
      <c r="G141" s="49" t="s">
        <v>385</v>
      </c>
      <c r="H141" s="49" t="s">
        <v>386</v>
      </c>
      <c r="I141" s="49" t="s">
        <v>387</v>
      </c>
      <c r="J141" s="49" t="s">
        <v>969</v>
      </c>
      <c r="K141" s="49" t="s">
        <v>916</v>
      </c>
      <c r="L141" s="49" t="s">
        <v>382</v>
      </c>
      <c r="M141" s="54" t="s">
        <v>943</v>
      </c>
      <c r="N141" s="49" t="s">
        <v>235</v>
      </c>
      <c r="O141" s="49" t="s">
        <v>502</v>
      </c>
      <c r="P141" s="49" t="s">
        <v>384</v>
      </c>
      <c r="Q141" s="49" t="s">
        <v>383</v>
      </c>
      <c r="R141" s="51">
        <v>1</v>
      </c>
      <c r="S141" s="55" t="s">
        <v>975</v>
      </c>
      <c r="T141" s="27">
        <v>82653741</v>
      </c>
      <c r="U141" s="27">
        <f>T141-387648</f>
        <v>82266093</v>
      </c>
      <c r="V141" s="27">
        <v>12304165908</v>
      </c>
      <c r="W141" s="58">
        <f>45329903</f>
        <v>45329903</v>
      </c>
    </row>
    <row r="142" spans="1:23" s="26" customFormat="1" x14ac:dyDescent="0.2">
      <c r="A142" s="49"/>
      <c r="B142" s="49"/>
      <c r="C142" s="49"/>
      <c r="D142" s="50"/>
      <c r="E142" s="26" t="s">
        <v>539</v>
      </c>
      <c r="F142" s="49" t="s">
        <v>262</v>
      </c>
      <c r="G142" s="49"/>
      <c r="H142" s="49"/>
      <c r="I142" s="49"/>
      <c r="J142" s="49" t="s">
        <v>210</v>
      </c>
      <c r="K142" s="49"/>
      <c r="L142" s="49"/>
      <c r="M142" s="54"/>
      <c r="N142" s="49" t="s">
        <v>235</v>
      </c>
      <c r="O142" s="49" t="s">
        <v>502</v>
      </c>
      <c r="P142" s="49" t="s">
        <v>384</v>
      </c>
      <c r="Q142" s="49"/>
      <c r="R142" s="51"/>
      <c r="S142" s="49"/>
      <c r="T142" s="27">
        <v>82653741</v>
      </c>
      <c r="U142" s="27">
        <f>T142-387648</f>
        <v>82266093</v>
      </c>
      <c r="V142" s="27">
        <v>12305781462</v>
      </c>
      <c r="W142" s="58"/>
    </row>
    <row r="143" spans="1:23" s="26" customFormat="1" x14ac:dyDescent="0.2">
      <c r="A143" s="49" t="s">
        <v>643</v>
      </c>
      <c r="B143" s="49"/>
      <c r="C143" s="49"/>
      <c r="D143" s="50" t="s">
        <v>372</v>
      </c>
      <c r="E143" s="26" t="s">
        <v>540</v>
      </c>
      <c r="F143" s="49" t="s">
        <v>262</v>
      </c>
      <c r="G143" s="49" t="s">
        <v>389</v>
      </c>
      <c r="H143" s="49" t="s">
        <v>390</v>
      </c>
      <c r="I143" s="49" t="s">
        <v>391</v>
      </c>
      <c r="J143" s="49" t="s">
        <v>969</v>
      </c>
      <c r="K143" s="49" t="s">
        <v>916</v>
      </c>
      <c r="L143" s="49" t="s">
        <v>382</v>
      </c>
      <c r="M143" s="54" t="s">
        <v>943</v>
      </c>
      <c r="N143" s="49" t="s">
        <v>235</v>
      </c>
      <c r="O143" s="49" t="s">
        <v>502</v>
      </c>
      <c r="P143" s="49" t="s">
        <v>384</v>
      </c>
      <c r="Q143" s="49" t="s">
        <v>388</v>
      </c>
      <c r="R143" s="51">
        <v>2</v>
      </c>
      <c r="S143" s="55" t="s">
        <v>975</v>
      </c>
      <c r="T143" s="27">
        <v>59326475</v>
      </c>
      <c r="U143" s="27">
        <f>T143-257386</f>
        <v>59069089</v>
      </c>
      <c r="V143" s="27">
        <v>8845346751</v>
      </c>
      <c r="W143" s="58">
        <f>35898249</f>
        <v>35898249</v>
      </c>
    </row>
    <row r="144" spans="1:23" s="26" customFormat="1" x14ac:dyDescent="0.2">
      <c r="A144" s="49"/>
      <c r="B144" s="49"/>
      <c r="C144" s="49"/>
      <c r="D144" s="50"/>
      <c r="E144" s="26" t="s">
        <v>541</v>
      </c>
      <c r="F144" s="49" t="s">
        <v>262</v>
      </c>
      <c r="G144" s="49"/>
      <c r="H144" s="49"/>
      <c r="I144" s="49"/>
      <c r="J144" s="49" t="s">
        <v>210</v>
      </c>
      <c r="K144" s="49"/>
      <c r="L144" s="49"/>
      <c r="M144" s="54"/>
      <c r="N144" s="49" t="s">
        <v>235</v>
      </c>
      <c r="O144" s="49" t="s">
        <v>502</v>
      </c>
      <c r="P144" s="49" t="s">
        <v>384</v>
      </c>
      <c r="Q144" s="49"/>
      <c r="R144" s="51"/>
      <c r="S144" s="49"/>
      <c r="T144" s="27">
        <v>59326475</v>
      </c>
      <c r="U144" s="27">
        <f>T144-257386</f>
        <v>59069089</v>
      </c>
      <c r="V144" s="27">
        <v>8839129034</v>
      </c>
      <c r="W144" s="58"/>
    </row>
    <row r="145" spans="1:23" s="26" customFormat="1" x14ac:dyDescent="0.2">
      <c r="A145" s="49" t="s">
        <v>643</v>
      </c>
      <c r="B145" s="49"/>
      <c r="C145" s="49"/>
      <c r="D145" s="50" t="s">
        <v>372</v>
      </c>
      <c r="E145" s="26" t="s">
        <v>542</v>
      </c>
      <c r="F145" s="49" t="s">
        <v>262</v>
      </c>
      <c r="G145" s="49" t="s">
        <v>393</v>
      </c>
      <c r="H145" s="49" t="s">
        <v>394</v>
      </c>
      <c r="I145" s="49" t="s">
        <v>395</v>
      </c>
      <c r="J145" s="49" t="s">
        <v>969</v>
      </c>
      <c r="K145" s="49" t="s">
        <v>916</v>
      </c>
      <c r="L145" s="49" t="s">
        <v>382</v>
      </c>
      <c r="M145" s="54" t="s">
        <v>943</v>
      </c>
      <c r="N145" s="49" t="s">
        <v>235</v>
      </c>
      <c r="O145" s="49" t="s">
        <v>502</v>
      </c>
      <c r="P145" s="49" t="s">
        <v>384</v>
      </c>
      <c r="Q145" s="49" t="s">
        <v>392</v>
      </c>
      <c r="R145" s="51">
        <v>3</v>
      </c>
      <c r="S145" s="55" t="s">
        <v>975</v>
      </c>
      <c r="T145" s="27">
        <v>73928798</v>
      </c>
      <c r="U145" s="28">
        <f>T145-349573</f>
        <v>73579225</v>
      </c>
      <c r="V145" s="27">
        <v>11015885629</v>
      </c>
      <c r="W145" s="58">
        <f>41755653</f>
        <v>41755653</v>
      </c>
    </row>
    <row r="146" spans="1:23" s="26" customFormat="1" x14ac:dyDescent="0.2">
      <c r="A146" s="49"/>
      <c r="B146" s="49"/>
      <c r="C146" s="49"/>
      <c r="D146" s="50"/>
      <c r="E146" s="26" t="s">
        <v>543</v>
      </c>
      <c r="F146" s="49" t="s">
        <v>262</v>
      </c>
      <c r="G146" s="49"/>
      <c r="H146" s="49"/>
      <c r="I146" s="49"/>
      <c r="J146" s="49" t="s">
        <v>210</v>
      </c>
      <c r="K146" s="49"/>
      <c r="L146" s="49"/>
      <c r="M146" s="54"/>
      <c r="N146" s="49" t="s">
        <v>235</v>
      </c>
      <c r="O146" s="49" t="s">
        <v>502</v>
      </c>
      <c r="P146" s="49" t="s">
        <v>384</v>
      </c>
      <c r="Q146" s="49"/>
      <c r="R146" s="51"/>
      <c r="S146" s="49"/>
      <c r="T146" s="27">
        <v>73928798</v>
      </c>
      <c r="U146" s="28">
        <f>T146-349573</f>
        <v>73579225</v>
      </c>
      <c r="V146" s="27">
        <v>11014864557</v>
      </c>
      <c r="W146" s="58"/>
    </row>
    <row r="147" spans="1:23" s="26" customFormat="1" x14ac:dyDescent="0.2">
      <c r="A147" s="49" t="s">
        <v>735</v>
      </c>
      <c r="B147" s="49"/>
      <c r="C147" s="49"/>
      <c r="D147" s="50" t="s">
        <v>372</v>
      </c>
      <c r="E147" s="26" t="s">
        <v>544</v>
      </c>
      <c r="F147" s="49" t="s">
        <v>262</v>
      </c>
      <c r="G147" s="49" t="s">
        <v>379</v>
      </c>
      <c r="H147" s="49" t="s">
        <v>380</v>
      </c>
      <c r="I147" s="49" t="s">
        <v>381</v>
      </c>
      <c r="J147" s="49" t="s">
        <v>969</v>
      </c>
      <c r="K147" s="49" t="s">
        <v>916</v>
      </c>
      <c r="L147" s="49" t="s">
        <v>373</v>
      </c>
      <c r="M147" s="49" t="s">
        <v>944</v>
      </c>
      <c r="N147" s="49" t="s">
        <v>233</v>
      </c>
      <c r="O147" s="49" t="s">
        <v>236</v>
      </c>
      <c r="P147" s="49" t="s">
        <v>335</v>
      </c>
      <c r="Q147" s="49" t="s">
        <v>378</v>
      </c>
      <c r="R147" s="51">
        <v>1</v>
      </c>
      <c r="S147" s="55" t="s">
        <v>975</v>
      </c>
      <c r="T147" s="27">
        <v>65045127</v>
      </c>
      <c r="U147" s="27">
        <f>T147-286281</f>
        <v>64758846</v>
      </c>
      <c r="V147" s="27">
        <v>9686818322</v>
      </c>
      <c r="W147" s="58">
        <f>36457254</f>
        <v>36457254</v>
      </c>
    </row>
    <row r="148" spans="1:23" s="26" customFormat="1" x14ac:dyDescent="0.2">
      <c r="A148" s="49"/>
      <c r="B148" s="49"/>
      <c r="C148" s="49"/>
      <c r="D148" s="50"/>
      <c r="E148" s="26" t="s">
        <v>545</v>
      </c>
      <c r="F148" s="49" t="s">
        <v>262</v>
      </c>
      <c r="G148" s="49"/>
      <c r="H148" s="49"/>
      <c r="I148" s="49"/>
      <c r="J148" s="49" t="s">
        <v>210</v>
      </c>
      <c r="K148" s="49"/>
      <c r="L148" s="49"/>
      <c r="M148" s="49"/>
      <c r="N148" s="49" t="s">
        <v>233</v>
      </c>
      <c r="O148" s="49" t="s">
        <v>236</v>
      </c>
      <c r="P148" s="49" t="s">
        <v>335</v>
      </c>
      <c r="Q148" s="49"/>
      <c r="R148" s="51"/>
      <c r="S148" s="49"/>
      <c r="T148" s="27">
        <v>65045127</v>
      </c>
      <c r="U148" s="27">
        <f>T148-286281</f>
        <v>64758846</v>
      </c>
      <c r="V148" s="27">
        <v>9688221102</v>
      </c>
      <c r="W148" s="58"/>
    </row>
    <row r="149" spans="1:23" s="26" customFormat="1" x14ac:dyDescent="0.2">
      <c r="A149" s="49" t="s">
        <v>735</v>
      </c>
      <c r="B149" s="49"/>
      <c r="C149" s="49"/>
      <c r="D149" s="50" t="s">
        <v>372</v>
      </c>
      <c r="E149" s="26" t="s">
        <v>546</v>
      </c>
      <c r="F149" s="49" t="s">
        <v>262</v>
      </c>
      <c r="G149" s="49" t="s">
        <v>375</v>
      </c>
      <c r="H149" s="49" t="s">
        <v>376</v>
      </c>
      <c r="I149" s="49" t="s">
        <v>377</v>
      </c>
      <c r="J149" s="49" t="s">
        <v>969</v>
      </c>
      <c r="K149" s="49" t="s">
        <v>916</v>
      </c>
      <c r="L149" s="49" t="s">
        <v>373</v>
      </c>
      <c r="M149" s="49" t="s">
        <v>944</v>
      </c>
      <c r="N149" s="49" t="s">
        <v>233</v>
      </c>
      <c r="O149" s="49" t="s">
        <v>236</v>
      </c>
      <c r="P149" s="49" t="s">
        <v>335</v>
      </c>
      <c r="Q149" s="49" t="s">
        <v>374</v>
      </c>
      <c r="R149" s="51">
        <v>2</v>
      </c>
      <c r="S149" s="55" t="s">
        <v>975</v>
      </c>
      <c r="T149" s="27">
        <v>26037955</v>
      </c>
      <c r="U149" s="27">
        <f>T149-142283</f>
        <v>25895672</v>
      </c>
      <c r="V149" s="27">
        <v>3848131453</v>
      </c>
      <c r="W149" s="58">
        <f>13413779</f>
        <v>13413779</v>
      </c>
    </row>
    <row r="150" spans="1:23" s="26" customFormat="1" x14ac:dyDescent="0.2">
      <c r="A150" s="49"/>
      <c r="B150" s="49"/>
      <c r="C150" s="49"/>
      <c r="D150" s="50"/>
      <c r="E150" s="26" t="s">
        <v>547</v>
      </c>
      <c r="F150" s="49" t="s">
        <v>262</v>
      </c>
      <c r="G150" s="49"/>
      <c r="H150" s="49"/>
      <c r="I150" s="49"/>
      <c r="J150" s="49" t="s">
        <v>210</v>
      </c>
      <c r="K150" s="49"/>
      <c r="L150" s="49"/>
      <c r="M150" s="49"/>
      <c r="N150" s="49" t="s">
        <v>233</v>
      </c>
      <c r="O150" s="49" t="s">
        <v>236</v>
      </c>
      <c r="P150" s="49" t="s">
        <v>335</v>
      </c>
      <c r="Q150" s="49"/>
      <c r="R150" s="51"/>
      <c r="S150" s="49"/>
      <c r="T150" s="27">
        <v>26037955</v>
      </c>
      <c r="U150" s="27">
        <f>T150-142283</f>
        <v>25895672</v>
      </c>
      <c r="V150" s="27">
        <v>3858598729</v>
      </c>
      <c r="W150" s="58"/>
    </row>
    <row r="151" spans="1:23" s="26" customFormat="1" x14ac:dyDescent="0.2">
      <c r="A151" s="16" t="s">
        <v>643</v>
      </c>
      <c r="B151" s="23"/>
      <c r="C151" s="23"/>
      <c r="D151" s="46" t="s">
        <v>396</v>
      </c>
      <c r="E151" s="26" t="s">
        <v>548</v>
      </c>
      <c r="F151" s="2" t="s">
        <v>650</v>
      </c>
      <c r="G151" s="2" t="s">
        <v>651</v>
      </c>
      <c r="H151" s="2" t="s">
        <v>659</v>
      </c>
      <c r="I151" s="2" t="s">
        <v>646</v>
      </c>
      <c r="J151" s="29" t="s">
        <v>971</v>
      </c>
      <c r="K151" s="29" t="s">
        <v>919</v>
      </c>
      <c r="L151" s="23" t="s">
        <v>642</v>
      </c>
      <c r="M151" s="23" t="s">
        <v>947</v>
      </c>
      <c r="N151" s="23" t="s">
        <v>235</v>
      </c>
      <c r="O151" s="23" t="s">
        <v>231</v>
      </c>
      <c r="P151" s="23" t="s">
        <v>663</v>
      </c>
      <c r="Q151" s="30" t="s">
        <v>655</v>
      </c>
      <c r="R151" s="23">
        <v>1</v>
      </c>
      <c r="S151" s="44" t="s">
        <v>975</v>
      </c>
      <c r="T151" s="27">
        <v>70663653</v>
      </c>
      <c r="U151" s="27">
        <f>T151-309869-61803</f>
        <v>70291981</v>
      </c>
      <c r="V151" s="27">
        <v>10599547950</v>
      </c>
      <c r="W151" s="41">
        <v>16096246</v>
      </c>
    </row>
    <row r="152" spans="1:23" s="26" customFormat="1" x14ac:dyDescent="0.2">
      <c r="A152" s="16" t="s">
        <v>643</v>
      </c>
      <c r="B152" s="23"/>
      <c r="C152" s="23"/>
      <c r="D152" s="46" t="s">
        <v>396</v>
      </c>
      <c r="E152" s="26" t="s">
        <v>549</v>
      </c>
      <c r="F152" s="2" t="s">
        <v>650</v>
      </c>
      <c r="G152" s="2" t="s">
        <v>652</v>
      </c>
      <c r="H152" s="2" t="s">
        <v>660</v>
      </c>
      <c r="I152" s="2" t="s">
        <v>647</v>
      </c>
      <c r="J152" s="29" t="s">
        <v>971</v>
      </c>
      <c r="K152" s="29" t="s">
        <v>919</v>
      </c>
      <c r="L152" s="23" t="s">
        <v>642</v>
      </c>
      <c r="M152" s="23" t="s">
        <v>947</v>
      </c>
      <c r="N152" s="23" t="s">
        <v>235</v>
      </c>
      <c r="O152" s="23" t="s">
        <v>231</v>
      </c>
      <c r="P152" s="23" t="s">
        <v>663</v>
      </c>
      <c r="Q152" s="30" t="s">
        <v>656</v>
      </c>
      <c r="R152" s="23">
        <v>2</v>
      </c>
      <c r="S152" s="44" t="s">
        <v>975</v>
      </c>
      <c r="T152" s="27">
        <v>65314538</v>
      </c>
      <c r="U152" s="27">
        <f>T152-240544-59065</f>
        <v>65014929</v>
      </c>
      <c r="V152" s="27">
        <v>9797180700</v>
      </c>
      <c r="W152" s="41">
        <v>14019003</v>
      </c>
    </row>
    <row r="153" spans="1:23" s="26" customFormat="1" x14ac:dyDescent="0.2">
      <c r="A153" s="16" t="s">
        <v>643</v>
      </c>
      <c r="B153" s="23"/>
      <c r="C153" s="23"/>
      <c r="D153" s="46" t="s">
        <v>396</v>
      </c>
      <c r="E153" s="26" t="s">
        <v>550</v>
      </c>
      <c r="F153" s="2" t="s">
        <v>650</v>
      </c>
      <c r="G153" s="2" t="s">
        <v>653</v>
      </c>
      <c r="H153" s="2" t="s">
        <v>661</v>
      </c>
      <c r="I153" s="2" t="s">
        <v>648</v>
      </c>
      <c r="J153" s="29" t="s">
        <v>971</v>
      </c>
      <c r="K153" s="29" t="s">
        <v>919</v>
      </c>
      <c r="L153" s="23" t="s">
        <v>645</v>
      </c>
      <c r="M153" s="23" t="s">
        <v>947</v>
      </c>
      <c r="N153" s="23" t="s">
        <v>235</v>
      </c>
      <c r="O153" s="23" t="s">
        <v>232</v>
      </c>
      <c r="P153" s="23" t="s">
        <v>664</v>
      </c>
      <c r="Q153" s="30" t="s">
        <v>657</v>
      </c>
      <c r="R153" s="23">
        <v>1</v>
      </c>
      <c r="S153" s="44" t="s">
        <v>975</v>
      </c>
      <c r="T153" s="27">
        <v>66183670</v>
      </c>
      <c r="U153" s="27">
        <f>T153-201569-40484</f>
        <v>65941617</v>
      </c>
      <c r="V153" s="27">
        <v>9927550500</v>
      </c>
      <c r="W153" s="41">
        <v>14433902</v>
      </c>
    </row>
    <row r="154" spans="1:23" s="26" customFormat="1" x14ac:dyDescent="0.2">
      <c r="A154" s="16" t="s">
        <v>643</v>
      </c>
      <c r="B154" s="23"/>
      <c r="C154" s="23"/>
      <c r="D154" s="46" t="s">
        <v>396</v>
      </c>
      <c r="E154" s="26" t="s">
        <v>551</v>
      </c>
      <c r="F154" s="2" t="s">
        <v>650</v>
      </c>
      <c r="G154" s="2" t="s">
        <v>654</v>
      </c>
      <c r="H154" s="2" t="s">
        <v>662</v>
      </c>
      <c r="I154" s="2" t="s">
        <v>649</v>
      </c>
      <c r="J154" s="29" t="s">
        <v>971</v>
      </c>
      <c r="K154" s="29" t="s">
        <v>919</v>
      </c>
      <c r="L154" s="23" t="s">
        <v>645</v>
      </c>
      <c r="M154" s="23" t="s">
        <v>947</v>
      </c>
      <c r="N154" s="23" t="s">
        <v>235</v>
      </c>
      <c r="O154" s="23" t="s">
        <v>232</v>
      </c>
      <c r="P154" s="23" t="s">
        <v>664</v>
      </c>
      <c r="Q154" s="30" t="s">
        <v>658</v>
      </c>
      <c r="R154" s="23">
        <v>2</v>
      </c>
      <c r="S154" s="44" t="s">
        <v>975</v>
      </c>
      <c r="T154" s="27">
        <v>82759406</v>
      </c>
      <c r="U154" s="27">
        <f>T154-267275-47345</f>
        <v>82444786</v>
      </c>
      <c r="V154" s="27">
        <v>12413910900</v>
      </c>
      <c r="W154" s="41">
        <v>20271839</v>
      </c>
    </row>
    <row r="155" spans="1:23" s="26" customFormat="1" x14ac:dyDescent="0.2">
      <c r="A155" s="49" t="s">
        <v>735</v>
      </c>
      <c r="B155" s="49"/>
      <c r="C155" s="49"/>
      <c r="D155" s="50" t="s">
        <v>396</v>
      </c>
      <c r="E155" s="26" t="s">
        <v>552</v>
      </c>
      <c r="F155" s="49" t="s">
        <v>262</v>
      </c>
      <c r="G155" s="49" t="s">
        <v>400</v>
      </c>
      <c r="H155" s="49" t="s">
        <v>401</v>
      </c>
      <c r="I155" s="49" t="s">
        <v>402</v>
      </c>
      <c r="J155" s="49" t="s">
        <v>969</v>
      </c>
      <c r="K155" s="49" t="s">
        <v>916</v>
      </c>
      <c r="L155" s="49" t="s">
        <v>397</v>
      </c>
      <c r="M155" s="49" t="s">
        <v>948</v>
      </c>
      <c r="N155" s="49" t="s">
        <v>233</v>
      </c>
      <c r="O155" s="49" t="s">
        <v>236</v>
      </c>
      <c r="P155" s="49" t="s">
        <v>399</v>
      </c>
      <c r="Q155" s="49" t="s">
        <v>398</v>
      </c>
      <c r="R155" s="51">
        <v>1</v>
      </c>
      <c r="S155" s="55" t="s">
        <v>975</v>
      </c>
      <c r="T155" s="27">
        <v>41180580</v>
      </c>
      <c r="U155" s="27">
        <f>T155-264565</f>
        <v>40916015</v>
      </c>
      <c r="V155" s="27">
        <v>6096150308</v>
      </c>
      <c r="W155" s="58">
        <f>7639011</f>
        <v>7639011</v>
      </c>
    </row>
    <row r="156" spans="1:23" s="26" customFormat="1" x14ac:dyDescent="0.2">
      <c r="A156" s="49"/>
      <c r="B156" s="49"/>
      <c r="C156" s="49"/>
      <c r="D156" s="50"/>
      <c r="E156" s="26" t="s">
        <v>553</v>
      </c>
      <c r="F156" s="49" t="s">
        <v>262</v>
      </c>
      <c r="G156" s="49"/>
      <c r="H156" s="49"/>
      <c r="I156" s="49"/>
      <c r="J156" s="49" t="s">
        <v>210</v>
      </c>
      <c r="K156" s="49"/>
      <c r="L156" s="49"/>
      <c r="M156" s="49"/>
      <c r="N156" s="49" t="s">
        <v>233</v>
      </c>
      <c r="O156" s="49" t="s">
        <v>236</v>
      </c>
      <c r="P156" s="49" t="s">
        <v>399</v>
      </c>
      <c r="Q156" s="49"/>
      <c r="R156" s="51"/>
      <c r="S156" s="49"/>
      <c r="T156" s="27">
        <v>41180580</v>
      </c>
      <c r="U156" s="27">
        <f>T156-264565</f>
        <v>40916015</v>
      </c>
      <c r="V156" s="27">
        <v>6114805444</v>
      </c>
      <c r="W156" s="58"/>
    </row>
    <row r="157" spans="1:23" s="26" customFormat="1" x14ac:dyDescent="0.2">
      <c r="A157" s="49" t="s">
        <v>735</v>
      </c>
      <c r="B157" s="49"/>
      <c r="C157" s="49"/>
      <c r="D157" s="50" t="s">
        <v>396</v>
      </c>
      <c r="E157" s="26" t="s">
        <v>554</v>
      </c>
      <c r="F157" s="49" t="s">
        <v>262</v>
      </c>
      <c r="G157" s="49" t="s">
        <v>405</v>
      </c>
      <c r="H157" s="49" t="s">
        <v>406</v>
      </c>
      <c r="I157" s="49" t="s">
        <v>407</v>
      </c>
      <c r="J157" s="49" t="s">
        <v>969</v>
      </c>
      <c r="K157" s="49" t="s">
        <v>916</v>
      </c>
      <c r="L157" s="49" t="s">
        <v>403</v>
      </c>
      <c r="M157" s="49" t="s">
        <v>948</v>
      </c>
      <c r="N157" s="49" t="s">
        <v>233</v>
      </c>
      <c r="O157" s="49" t="s">
        <v>236</v>
      </c>
      <c r="P157" s="49" t="s">
        <v>399</v>
      </c>
      <c r="Q157" s="49" t="s">
        <v>404</v>
      </c>
      <c r="R157" s="51">
        <v>2</v>
      </c>
      <c r="S157" s="55" t="s">
        <v>975</v>
      </c>
      <c r="T157" s="27">
        <v>35239970</v>
      </c>
      <c r="U157" s="27">
        <f>T157-224576</f>
        <v>35015394</v>
      </c>
      <c r="V157" s="27">
        <v>5213923934</v>
      </c>
      <c r="W157" s="58">
        <f>7291028</f>
        <v>7291028</v>
      </c>
    </row>
    <row r="158" spans="1:23" s="26" customFormat="1" x14ac:dyDescent="0.2">
      <c r="A158" s="49"/>
      <c r="B158" s="49"/>
      <c r="C158" s="49"/>
      <c r="D158" s="50"/>
      <c r="E158" s="26" t="s">
        <v>555</v>
      </c>
      <c r="F158" s="49" t="s">
        <v>262</v>
      </c>
      <c r="G158" s="49"/>
      <c r="H158" s="49"/>
      <c r="I158" s="49"/>
      <c r="J158" s="49" t="s">
        <v>210</v>
      </c>
      <c r="K158" s="49"/>
      <c r="L158" s="49"/>
      <c r="M158" s="49"/>
      <c r="N158" s="49" t="s">
        <v>233</v>
      </c>
      <c r="O158" s="49" t="s">
        <v>236</v>
      </c>
      <c r="P158" s="49" t="s">
        <v>399</v>
      </c>
      <c r="Q158" s="49"/>
      <c r="R158" s="51"/>
      <c r="S158" s="49"/>
      <c r="T158" s="27">
        <v>35239970</v>
      </c>
      <c r="U158" s="27">
        <f>T158-224576</f>
        <v>35015394</v>
      </c>
      <c r="V158" s="27">
        <v>5229260067</v>
      </c>
      <c r="W158" s="58"/>
    </row>
    <row r="159" spans="1:23" s="26" customFormat="1" x14ac:dyDescent="0.2">
      <c r="A159" s="49" t="s">
        <v>735</v>
      </c>
      <c r="B159" s="49"/>
      <c r="C159" s="49"/>
      <c r="D159" s="50" t="s">
        <v>396</v>
      </c>
      <c r="E159" s="26" t="s">
        <v>556</v>
      </c>
      <c r="F159" s="49" t="s">
        <v>262</v>
      </c>
      <c r="G159" s="49" t="s">
        <v>410</v>
      </c>
      <c r="H159" s="49" t="s">
        <v>411</v>
      </c>
      <c r="I159" s="49" t="s">
        <v>412</v>
      </c>
      <c r="J159" s="49" t="s">
        <v>969</v>
      </c>
      <c r="K159" s="49" t="s">
        <v>916</v>
      </c>
      <c r="L159" s="49" t="s">
        <v>408</v>
      </c>
      <c r="M159" s="49" t="s">
        <v>948</v>
      </c>
      <c r="N159" s="49" t="s">
        <v>233</v>
      </c>
      <c r="O159" s="49" t="s">
        <v>236</v>
      </c>
      <c r="P159" s="49" t="s">
        <v>399</v>
      </c>
      <c r="Q159" s="49" t="s">
        <v>409</v>
      </c>
      <c r="R159" s="51">
        <v>3</v>
      </c>
      <c r="S159" s="55" t="s">
        <v>975</v>
      </c>
      <c r="T159" s="27">
        <v>53669600</v>
      </c>
      <c r="U159" s="28">
        <f>T159-284310</f>
        <v>53385290</v>
      </c>
      <c r="V159" s="27">
        <v>8002265271</v>
      </c>
      <c r="W159" s="58">
        <f>9489307</f>
        <v>9489307</v>
      </c>
    </row>
    <row r="160" spans="1:23" s="26" customFormat="1" x14ac:dyDescent="0.2">
      <c r="A160" s="49"/>
      <c r="B160" s="49"/>
      <c r="C160" s="49"/>
      <c r="D160" s="50"/>
      <c r="E160" s="26" t="s">
        <v>557</v>
      </c>
      <c r="F160" s="49" t="s">
        <v>262</v>
      </c>
      <c r="G160" s="49"/>
      <c r="H160" s="49"/>
      <c r="I160" s="49"/>
      <c r="J160" s="49" t="s">
        <v>210</v>
      </c>
      <c r="K160" s="49"/>
      <c r="L160" s="49"/>
      <c r="M160" s="49"/>
      <c r="N160" s="49" t="s">
        <v>233</v>
      </c>
      <c r="O160" s="49" t="s">
        <v>236</v>
      </c>
      <c r="P160" s="49" t="s">
        <v>399</v>
      </c>
      <c r="Q160" s="49"/>
      <c r="R160" s="51"/>
      <c r="S160" s="49"/>
      <c r="T160" s="27">
        <v>53669600</v>
      </c>
      <c r="U160" s="28">
        <f>T160-284310</f>
        <v>53385290</v>
      </c>
      <c r="V160" s="27">
        <v>8000357197</v>
      </c>
      <c r="W160" s="58"/>
    </row>
    <row r="161" spans="1:23" s="26" customFormat="1" x14ac:dyDescent="0.2">
      <c r="A161" s="49" t="s">
        <v>735</v>
      </c>
      <c r="B161" s="49"/>
      <c r="C161" s="49"/>
      <c r="D161" s="49" t="s">
        <v>639</v>
      </c>
      <c r="E161" s="26" t="s">
        <v>562</v>
      </c>
      <c r="F161" s="49" t="s">
        <v>674</v>
      </c>
      <c r="G161" s="49" t="s">
        <v>680</v>
      </c>
      <c r="H161" s="49" t="s">
        <v>679</v>
      </c>
      <c r="I161" s="49" t="s">
        <v>667</v>
      </c>
      <c r="J161" s="56" t="s">
        <v>972</v>
      </c>
      <c r="K161" s="56" t="s">
        <v>927</v>
      </c>
      <c r="L161" s="49" t="s">
        <v>705</v>
      </c>
      <c r="M161" s="49"/>
      <c r="N161" s="49" t="s">
        <v>233</v>
      </c>
      <c r="O161" s="49" t="s">
        <v>236</v>
      </c>
      <c r="P161" s="49" t="s">
        <v>693</v>
      </c>
      <c r="Q161" s="49" t="s">
        <v>704</v>
      </c>
      <c r="R161" s="51">
        <v>1</v>
      </c>
      <c r="S161" s="55" t="s">
        <v>975</v>
      </c>
      <c r="T161" s="27">
        <v>55703073</v>
      </c>
      <c r="U161" s="28">
        <f>T161-843071</f>
        <v>54860002</v>
      </c>
      <c r="V161" s="27">
        <v>7572825448</v>
      </c>
      <c r="W161" s="58">
        <v>8808325</v>
      </c>
    </row>
    <row r="162" spans="1:23" s="26" customFormat="1" x14ac:dyDescent="0.2">
      <c r="A162" s="49"/>
      <c r="B162" s="49"/>
      <c r="C162" s="49"/>
      <c r="D162" s="49"/>
      <c r="E162" s="26" t="s">
        <v>563</v>
      </c>
      <c r="F162" s="49" t="s">
        <v>674</v>
      </c>
      <c r="G162" s="49"/>
      <c r="H162" s="49"/>
      <c r="I162" s="49" t="s">
        <v>667</v>
      </c>
      <c r="J162" s="56"/>
      <c r="K162" s="56"/>
      <c r="L162" s="49" t="s">
        <v>706</v>
      </c>
      <c r="M162" s="49"/>
      <c r="N162" s="49" t="s">
        <v>233</v>
      </c>
      <c r="O162" s="49" t="s">
        <v>236</v>
      </c>
      <c r="P162" s="49" t="s">
        <v>693</v>
      </c>
      <c r="Q162" s="49"/>
      <c r="R162" s="51"/>
      <c r="S162" s="49"/>
      <c r="T162" s="27">
        <v>55703073</v>
      </c>
      <c r="U162" s="28">
        <f>T162-843071</f>
        <v>54860002</v>
      </c>
      <c r="V162" s="27">
        <v>7315255338</v>
      </c>
      <c r="W162" s="58"/>
    </row>
    <row r="163" spans="1:23" s="26" customFormat="1" x14ac:dyDescent="0.2">
      <c r="A163" s="49" t="s">
        <v>735</v>
      </c>
      <c r="B163" s="49"/>
      <c r="C163" s="49"/>
      <c r="D163" s="49" t="s">
        <v>639</v>
      </c>
      <c r="E163" s="26" t="s">
        <v>560</v>
      </c>
      <c r="F163" s="49" t="s">
        <v>674</v>
      </c>
      <c r="G163" s="49" t="s">
        <v>678</v>
      </c>
      <c r="H163" s="49" t="s">
        <v>677</v>
      </c>
      <c r="I163" s="49" t="s">
        <v>666</v>
      </c>
      <c r="J163" s="56" t="s">
        <v>972</v>
      </c>
      <c r="K163" s="56" t="s">
        <v>927</v>
      </c>
      <c r="L163" s="49" t="s">
        <v>705</v>
      </c>
      <c r="M163" s="49"/>
      <c r="N163" s="49" t="s">
        <v>233</v>
      </c>
      <c r="O163" s="49" t="s">
        <v>236</v>
      </c>
      <c r="P163" s="49" t="s">
        <v>693</v>
      </c>
      <c r="Q163" s="49" t="s">
        <v>703</v>
      </c>
      <c r="R163" s="51">
        <v>2</v>
      </c>
      <c r="S163" s="55" t="s">
        <v>975</v>
      </c>
      <c r="T163" s="27">
        <v>43138164</v>
      </c>
      <c r="U163" s="27">
        <f>T163-457213</f>
        <v>42680951</v>
      </c>
      <c r="V163" s="27">
        <v>5878886477</v>
      </c>
      <c r="W163" s="58">
        <v>6274175</v>
      </c>
    </row>
    <row r="164" spans="1:23" s="26" customFormat="1" x14ac:dyDescent="0.2">
      <c r="A164" s="49"/>
      <c r="B164" s="49"/>
      <c r="C164" s="49"/>
      <c r="D164" s="49"/>
      <c r="E164" s="26" t="s">
        <v>561</v>
      </c>
      <c r="F164" s="49" t="s">
        <v>674</v>
      </c>
      <c r="G164" s="49"/>
      <c r="H164" s="49"/>
      <c r="I164" s="49" t="s">
        <v>666</v>
      </c>
      <c r="J164" s="56"/>
      <c r="K164" s="56"/>
      <c r="L164" s="49" t="s">
        <v>706</v>
      </c>
      <c r="M164" s="49"/>
      <c r="N164" s="49" t="s">
        <v>233</v>
      </c>
      <c r="O164" s="49" t="s">
        <v>236</v>
      </c>
      <c r="P164" s="49" t="s">
        <v>693</v>
      </c>
      <c r="Q164" s="49"/>
      <c r="R164" s="51"/>
      <c r="S164" s="49"/>
      <c r="T164" s="27">
        <v>43138164</v>
      </c>
      <c r="U164" s="27">
        <f>T164-457213</f>
        <v>42680951</v>
      </c>
      <c r="V164" s="27">
        <v>5778378502</v>
      </c>
      <c r="W164" s="58"/>
    </row>
    <row r="165" spans="1:23" s="26" customFormat="1" x14ac:dyDescent="0.2">
      <c r="A165" s="49" t="s">
        <v>735</v>
      </c>
      <c r="B165" s="49"/>
      <c r="C165" s="49"/>
      <c r="D165" s="49" t="s">
        <v>639</v>
      </c>
      <c r="E165" s="26" t="s">
        <v>558</v>
      </c>
      <c r="F165" s="49" t="s">
        <v>674</v>
      </c>
      <c r="G165" s="49" t="s">
        <v>675</v>
      </c>
      <c r="H165" s="49" t="s">
        <v>676</v>
      </c>
      <c r="I165" s="49" t="s">
        <v>665</v>
      </c>
      <c r="J165" s="56" t="s">
        <v>972</v>
      </c>
      <c r="K165" s="56" t="s">
        <v>927</v>
      </c>
      <c r="L165" s="49" t="s">
        <v>705</v>
      </c>
      <c r="M165" s="49"/>
      <c r="N165" s="49" t="s">
        <v>233</v>
      </c>
      <c r="O165" s="49" t="s">
        <v>236</v>
      </c>
      <c r="P165" s="49" t="s">
        <v>693</v>
      </c>
      <c r="Q165" s="49" t="s">
        <v>702</v>
      </c>
      <c r="R165" s="51">
        <v>3</v>
      </c>
      <c r="S165" s="55" t="s">
        <v>975</v>
      </c>
      <c r="T165" s="27">
        <v>52173591</v>
      </c>
      <c r="U165" s="27">
        <f>T165-866182</f>
        <v>51307409</v>
      </c>
      <c r="V165" s="27">
        <v>6791411607</v>
      </c>
      <c r="W165" s="58">
        <v>7116272</v>
      </c>
    </row>
    <row r="166" spans="1:23" s="26" customFormat="1" x14ac:dyDescent="0.2">
      <c r="A166" s="49"/>
      <c r="B166" s="49"/>
      <c r="C166" s="49"/>
      <c r="D166" s="49"/>
      <c r="E166" s="26" t="s">
        <v>559</v>
      </c>
      <c r="F166" s="49" t="s">
        <v>674</v>
      </c>
      <c r="G166" s="49"/>
      <c r="H166" s="49"/>
      <c r="I166" s="49" t="s">
        <v>665</v>
      </c>
      <c r="J166" s="56"/>
      <c r="K166" s="56"/>
      <c r="L166" s="49" t="s">
        <v>706</v>
      </c>
      <c r="M166" s="49"/>
      <c r="N166" s="49" t="s">
        <v>233</v>
      </c>
      <c r="O166" s="49" t="s">
        <v>236</v>
      </c>
      <c r="P166" s="49" t="s">
        <v>693</v>
      </c>
      <c r="Q166" s="49"/>
      <c r="R166" s="51"/>
      <c r="S166" s="49"/>
      <c r="T166" s="27">
        <v>52173591</v>
      </c>
      <c r="U166" s="27">
        <f>T166-866182</f>
        <v>51307409</v>
      </c>
      <c r="V166" s="27">
        <v>6780243906</v>
      </c>
      <c r="W166" s="58"/>
    </row>
    <row r="167" spans="1:23" s="26" customFormat="1" x14ac:dyDescent="0.2">
      <c r="A167" s="49" t="s">
        <v>643</v>
      </c>
      <c r="B167" s="49"/>
      <c r="C167" s="49"/>
      <c r="D167" s="49" t="s">
        <v>639</v>
      </c>
      <c r="E167" s="26" t="s">
        <v>568</v>
      </c>
      <c r="F167" s="49" t="s">
        <v>674</v>
      </c>
      <c r="G167" s="49" t="s">
        <v>686</v>
      </c>
      <c r="H167" s="49" t="s">
        <v>685</v>
      </c>
      <c r="I167" s="49" t="s">
        <v>670</v>
      </c>
      <c r="J167" s="56" t="s">
        <v>972</v>
      </c>
      <c r="K167" s="56" t="s">
        <v>927</v>
      </c>
      <c r="L167" s="49" t="s">
        <v>705</v>
      </c>
      <c r="M167" s="49"/>
      <c r="N167" s="49" t="s">
        <v>235</v>
      </c>
      <c r="O167" s="49" t="s">
        <v>232</v>
      </c>
      <c r="P167" s="49" t="s">
        <v>694</v>
      </c>
      <c r="Q167" s="49" t="s">
        <v>701</v>
      </c>
      <c r="R167" s="51">
        <v>1</v>
      </c>
      <c r="S167" s="55" t="s">
        <v>975</v>
      </c>
      <c r="T167" s="27">
        <v>50812544</v>
      </c>
      <c r="U167" s="27">
        <f>T167-502759</f>
        <v>50309785</v>
      </c>
      <c r="V167" s="27">
        <v>6918589100</v>
      </c>
      <c r="W167" s="58">
        <v>5907367</v>
      </c>
    </row>
    <row r="168" spans="1:23" s="26" customFormat="1" x14ac:dyDescent="0.2">
      <c r="A168" s="49"/>
      <c r="B168" s="49"/>
      <c r="C168" s="49"/>
      <c r="D168" s="49"/>
      <c r="E168" s="26" t="s">
        <v>569</v>
      </c>
      <c r="F168" s="49" t="s">
        <v>674</v>
      </c>
      <c r="G168" s="49"/>
      <c r="H168" s="49"/>
      <c r="I168" s="49" t="s">
        <v>670</v>
      </c>
      <c r="J168" s="56"/>
      <c r="K168" s="56"/>
      <c r="L168" s="49" t="s">
        <v>706</v>
      </c>
      <c r="M168" s="49"/>
      <c r="N168" s="49" t="s">
        <v>235</v>
      </c>
      <c r="O168" s="49" t="s">
        <v>232</v>
      </c>
      <c r="P168" s="49" t="s">
        <v>694</v>
      </c>
      <c r="Q168" s="49"/>
      <c r="R168" s="51"/>
      <c r="S168" s="49"/>
      <c r="T168" s="27">
        <v>50812544</v>
      </c>
      <c r="U168" s="27">
        <f>T168-502759</f>
        <v>50309785</v>
      </c>
      <c r="V168" s="27">
        <v>6818355817</v>
      </c>
      <c r="W168" s="58"/>
    </row>
    <row r="169" spans="1:23" s="26" customFormat="1" x14ac:dyDescent="0.2">
      <c r="A169" s="49" t="s">
        <v>643</v>
      </c>
      <c r="B169" s="49"/>
      <c r="C169" s="49"/>
      <c r="D169" s="49" t="s">
        <v>639</v>
      </c>
      <c r="E169" s="26" t="s">
        <v>566</v>
      </c>
      <c r="F169" s="49" t="s">
        <v>674</v>
      </c>
      <c r="G169" s="49" t="s">
        <v>684</v>
      </c>
      <c r="H169" s="49" t="s">
        <v>683</v>
      </c>
      <c r="I169" s="49" t="s">
        <v>669</v>
      </c>
      <c r="J169" s="56" t="s">
        <v>972</v>
      </c>
      <c r="K169" s="56" t="s">
        <v>927</v>
      </c>
      <c r="L169" s="49" t="s">
        <v>705</v>
      </c>
      <c r="M169" s="49"/>
      <c r="N169" s="49" t="s">
        <v>235</v>
      </c>
      <c r="O169" s="49" t="s">
        <v>232</v>
      </c>
      <c r="P169" s="49" t="s">
        <v>694</v>
      </c>
      <c r="Q169" s="49" t="s">
        <v>700</v>
      </c>
      <c r="R169" s="51">
        <v>2</v>
      </c>
      <c r="S169" s="55" t="s">
        <v>975</v>
      </c>
      <c r="T169" s="27">
        <v>57905795</v>
      </c>
      <c r="U169" s="27">
        <f>T169-498665</f>
        <v>57407130</v>
      </c>
      <c r="V169" s="27">
        <v>7897301629</v>
      </c>
      <c r="W169" s="58">
        <v>7154295</v>
      </c>
    </row>
    <row r="170" spans="1:23" s="26" customFormat="1" x14ac:dyDescent="0.2">
      <c r="A170" s="49"/>
      <c r="B170" s="49"/>
      <c r="C170" s="49"/>
      <c r="D170" s="49"/>
      <c r="E170" s="26" t="s">
        <v>567</v>
      </c>
      <c r="F170" s="49" t="s">
        <v>674</v>
      </c>
      <c r="G170" s="49"/>
      <c r="H170" s="49"/>
      <c r="I170" s="49" t="s">
        <v>669</v>
      </c>
      <c r="J170" s="56"/>
      <c r="K170" s="56"/>
      <c r="L170" s="49" t="s">
        <v>706</v>
      </c>
      <c r="M170" s="49"/>
      <c r="N170" s="49" t="s">
        <v>235</v>
      </c>
      <c r="O170" s="49" t="s">
        <v>232</v>
      </c>
      <c r="P170" s="49" t="s">
        <v>694</v>
      </c>
      <c r="Q170" s="49"/>
      <c r="R170" s="51"/>
      <c r="S170" s="49"/>
      <c r="T170" s="27">
        <v>57905795</v>
      </c>
      <c r="U170" s="27">
        <f>T170-498665</f>
        <v>57407130</v>
      </c>
      <c r="V170" s="27">
        <v>7815405506</v>
      </c>
      <c r="W170" s="58"/>
    </row>
    <row r="171" spans="1:23" s="26" customFormat="1" x14ac:dyDescent="0.2">
      <c r="A171" s="49" t="s">
        <v>643</v>
      </c>
      <c r="B171" s="49"/>
      <c r="C171" s="49"/>
      <c r="D171" s="49" t="s">
        <v>639</v>
      </c>
      <c r="E171" s="26" t="s">
        <v>564</v>
      </c>
      <c r="F171" s="49" t="s">
        <v>674</v>
      </c>
      <c r="G171" s="49" t="s">
        <v>682</v>
      </c>
      <c r="H171" s="49" t="s">
        <v>681</v>
      </c>
      <c r="I171" s="49" t="s">
        <v>668</v>
      </c>
      <c r="J171" s="56" t="s">
        <v>972</v>
      </c>
      <c r="K171" s="56" t="s">
        <v>927</v>
      </c>
      <c r="L171" s="49" t="s">
        <v>705</v>
      </c>
      <c r="M171" s="49"/>
      <c r="N171" s="49" t="s">
        <v>235</v>
      </c>
      <c r="O171" s="49" t="s">
        <v>232</v>
      </c>
      <c r="P171" s="49" t="s">
        <v>694</v>
      </c>
      <c r="Q171" s="49" t="s">
        <v>699</v>
      </c>
      <c r="R171" s="51">
        <v>3</v>
      </c>
      <c r="S171" s="55" t="s">
        <v>975</v>
      </c>
      <c r="T171" s="27">
        <v>41187955</v>
      </c>
      <c r="U171" s="27">
        <f>T171-627639</f>
        <v>40560316</v>
      </c>
      <c r="V171" s="27">
        <v>5367910670</v>
      </c>
      <c r="W171" s="58">
        <v>3954838</v>
      </c>
    </row>
    <row r="172" spans="1:23" s="26" customFormat="1" x14ac:dyDescent="0.2">
      <c r="A172" s="49"/>
      <c r="B172" s="49"/>
      <c r="C172" s="49"/>
      <c r="D172" s="49"/>
      <c r="E172" s="26" t="s">
        <v>565</v>
      </c>
      <c r="F172" s="49" t="s">
        <v>674</v>
      </c>
      <c r="G172" s="49"/>
      <c r="H172" s="49"/>
      <c r="I172" s="49" t="s">
        <v>668</v>
      </c>
      <c r="J172" s="56"/>
      <c r="K172" s="56"/>
      <c r="L172" s="49" t="s">
        <v>706</v>
      </c>
      <c r="M172" s="49"/>
      <c r="N172" s="49" t="s">
        <v>235</v>
      </c>
      <c r="O172" s="49" t="s">
        <v>232</v>
      </c>
      <c r="P172" s="49" t="s">
        <v>694</v>
      </c>
      <c r="Q172" s="49"/>
      <c r="R172" s="51"/>
      <c r="S172" s="49"/>
      <c r="T172" s="27">
        <v>41187955</v>
      </c>
      <c r="U172" s="27">
        <f>T172-627639</f>
        <v>40560316</v>
      </c>
      <c r="V172" s="27">
        <v>5391153608</v>
      </c>
      <c r="W172" s="58"/>
    </row>
    <row r="173" spans="1:23" s="26" customFormat="1" x14ac:dyDescent="0.2">
      <c r="A173" s="49" t="s">
        <v>643</v>
      </c>
      <c r="B173" s="49"/>
      <c r="C173" s="49"/>
      <c r="D173" s="49" t="s">
        <v>639</v>
      </c>
      <c r="E173" s="26" t="s">
        <v>572</v>
      </c>
      <c r="F173" s="49" t="s">
        <v>674</v>
      </c>
      <c r="G173" s="49" t="s">
        <v>690</v>
      </c>
      <c r="H173" s="49" t="s">
        <v>689</v>
      </c>
      <c r="I173" s="49" t="s">
        <v>672</v>
      </c>
      <c r="J173" s="56" t="s">
        <v>972</v>
      </c>
      <c r="K173" s="56" t="s">
        <v>927</v>
      </c>
      <c r="L173" s="49" t="s">
        <v>705</v>
      </c>
      <c r="M173" s="49"/>
      <c r="N173" s="49" t="s">
        <v>235</v>
      </c>
      <c r="O173" s="49" t="s">
        <v>231</v>
      </c>
      <c r="P173" s="49" t="s">
        <v>695</v>
      </c>
      <c r="Q173" s="49" t="s">
        <v>698</v>
      </c>
      <c r="R173" s="51">
        <v>1</v>
      </c>
      <c r="S173" s="55" t="s">
        <v>975</v>
      </c>
      <c r="T173" s="27">
        <v>53034134</v>
      </c>
      <c r="U173" s="27">
        <f>T173-644293</f>
        <v>52389841</v>
      </c>
      <c r="V173" s="27">
        <v>7212025266</v>
      </c>
      <c r="W173" s="58">
        <v>4632199</v>
      </c>
    </row>
    <row r="174" spans="1:23" s="26" customFormat="1" x14ac:dyDescent="0.2">
      <c r="A174" s="49"/>
      <c r="B174" s="49"/>
      <c r="C174" s="49"/>
      <c r="D174" s="49"/>
      <c r="E174" s="26" t="s">
        <v>573</v>
      </c>
      <c r="F174" s="49" t="s">
        <v>674</v>
      </c>
      <c r="G174" s="49"/>
      <c r="H174" s="49"/>
      <c r="I174" s="49" t="s">
        <v>672</v>
      </c>
      <c r="J174" s="56"/>
      <c r="K174" s="56"/>
      <c r="L174" s="49" t="s">
        <v>706</v>
      </c>
      <c r="M174" s="49"/>
      <c r="N174" s="49" t="s">
        <v>235</v>
      </c>
      <c r="O174" s="49" t="s">
        <v>231</v>
      </c>
      <c r="P174" s="49" t="s">
        <v>695</v>
      </c>
      <c r="Q174" s="49"/>
      <c r="R174" s="51"/>
      <c r="S174" s="49"/>
      <c r="T174" s="27">
        <v>53034134</v>
      </c>
      <c r="U174" s="27">
        <f>T174-644293</f>
        <v>52389841</v>
      </c>
      <c r="V174" s="27">
        <v>7052627722</v>
      </c>
      <c r="W174" s="58"/>
    </row>
    <row r="175" spans="1:23" s="26" customFormat="1" x14ac:dyDescent="0.2">
      <c r="A175" s="49" t="s">
        <v>643</v>
      </c>
      <c r="B175" s="49"/>
      <c r="C175" s="49"/>
      <c r="D175" s="49" t="s">
        <v>639</v>
      </c>
      <c r="E175" s="26" t="s">
        <v>570</v>
      </c>
      <c r="F175" s="49" t="s">
        <v>674</v>
      </c>
      <c r="G175" s="49" t="s">
        <v>688</v>
      </c>
      <c r="H175" s="49" t="s">
        <v>687</v>
      </c>
      <c r="I175" s="49" t="s">
        <v>671</v>
      </c>
      <c r="J175" s="56" t="s">
        <v>972</v>
      </c>
      <c r="K175" s="56" t="s">
        <v>927</v>
      </c>
      <c r="L175" s="49" t="s">
        <v>705</v>
      </c>
      <c r="M175" s="49"/>
      <c r="N175" s="49" t="s">
        <v>235</v>
      </c>
      <c r="O175" s="49" t="s">
        <v>231</v>
      </c>
      <c r="P175" s="49" t="s">
        <v>695</v>
      </c>
      <c r="Q175" s="49" t="s">
        <v>697</v>
      </c>
      <c r="R175" s="51">
        <v>2</v>
      </c>
      <c r="S175" s="55" t="s">
        <v>975</v>
      </c>
      <c r="T175" s="27">
        <v>42142885</v>
      </c>
      <c r="U175" s="27">
        <f>T175-413651</f>
        <v>41729234</v>
      </c>
      <c r="V175" s="27">
        <v>5747854795</v>
      </c>
      <c r="W175" s="58">
        <v>3611228</v>
      </c>
    </row>
    <row r="176" spans="1:23" s="26" customFormat="1" x14ac:dyDescent="0.2">
      <c r="A176" s="49"/>
      <c r="B176" s="49"/>
      <c r="C176" s="49"/>
      <c r="D176" s="49"/>
      <c r="E176" s="26" t="s">
        <v>571</v>
      </c>
      <c r="F176" s="49" t="s">
        <v>674</v>
      </c>
      <c r="G176" s="49"/>
      <c r="H176" s="49"/>
      <c r="I176" s="49" t="s">
        <v>671</v>
      </c>
      <c r="J176" s="56"/>
      <c r="K176" s="56"/>
      <c r="L176" s="49" t="s">
        <v>706</v>
      </c>
      <c r="M176" s="49"/>
      <c r="N176" s="49" t="s">
        <v>235</v>
      </c>
      <c r="O176" s="49" t="s">
        <v>231</v>
      </c>
      <c r="P176" s="49" t="s">
        <v>695</v>
      </c>
      <c r="Q176" s="49"/>
      <c r="R176" s="51"/>
      <c r="S176" s="49"/>
      <c r="T176" s="27">
        <v>42142885</v>
      </c>
      <c r="U176" s="27">
        <f>T176-413651</f>
        <v>41729234</v>
      </c>
      <c r="V176" s="27">
        <v>5638494436</v>
      </c>
      <c r="W176" s="58"/>
    </row>
    <row r="177" spans="1:23" s="26" customFormat="1" x14ac:dyDescent="0.2">
      <c r="A177" s="49" t="s">
        <v>643</v>
      </c>
      <c r="B177" s="49"/>
      <c r="C177" s="49"/>
      <c r="D177" s="49" t="s">
        <v>639</v>
      </c>
      <c r="E177" s="26" t="s">
        <v>574</v>
      </c>
      <c r="F177" s="49" t="s">
        <v>674</v>
      </c>
      <c r="G177" s="49" t="s">
        <v>692</v>
      </c>
      <c r="H177" s="49" t="s">
        <v>691</v>
      </c>
      <c r="I177" s="49" t="s">
        <v>673</v>
      </c>
      <c r="J177" s="56" t="s">
        <v>972</v>
      </c>
      <c r="K177" s="56" t="s">
        <v>927</v>
      </c>
      <c r="L177" s="49" t="s">
        <v>705</v>
      </c>
      <c r="M177" s="49"/>
      <c r="N177" s="49" t="s">
        <v>235</v>
      </c>
      <c r="O177" s="49" t="s">
        <v>231</v>
      </c>
      <c r="P177" s="49" t="s">
        <v>695</v>
      </c>
      <c r="Q177" s="49" t="s">
        <v>696</v>
      </c>
      <c r="R177" s="51">
        <v>3</v>
      </c>
      <c r="S177" s="55" t="s">
        <v>975</v>
      </c>
      <c r="T177" s="27">
        <v>23939873</v>
      </c>
      <c r="U177" s="27">
        <f>T177-385928</f>
        <v>23553945</v>
      </c>
      <c r="V177" s="27">
        <v>3116669244</v>
      </c>
      <c r="W177" s="58">
        <v>1496484</v>
      </c>
    </row>
    <row r="178" spans="1:23" s="26" customFormat="1" x14ac:dyDescent="0.2">
      <c r="A178" s="49"/>
      <c r="B178" s="49"/>
      <c r="C178" s="49"/>
      <c r="D178" s="49"/>
      <c r="E178" s="26" t="s">
        <v>575</v>
      </c>
      <c r="F178" s="49" t="s">
        <v>674</v>
      </c>
      <c r="G178" s="49"/>
      <c r="H178" s="49"/>
      <c r="I178" s="49" t="s">
        <v>673</v>
      </c>
      <c r="J178" s="56"/>
      <c r="K178" s="56"/>
      <c r="L178" s="49" t="s">
        <v>706</v>
      </c>
      <c r="M178" s="49"/>
      <c r="N178" s="49" t="s">
        <v>235</v>
      </c>
      <c r="O178" s="49" t="s">
        <v>231</v>
      </c>
      <c r="P178" s="49" t="s">
        <v>695</v>
      </c>
      <c r="Q178" s="49"/>
      <c r="R178" s="51"/>
      <c r="S178" s="49"/>
      <c r="T178" s="27">
        <v>23939873</v>
      </c>
      <c r="U178" s="27">
        <f>T178-385928</f>
        <v>23553945</v>
      </c>
      <c r="V178" s="27">
        <v>3121829708</v>
      </c>
      <c r="W178" s="58"/>
    </row>
    <row r="179" spans="1:23" s="26" customFormat="1" x14ac:dyDescent="0.2">
      <c r="A179" s="49" t="s">
        <v>643</v>
      </c>
      <c r="B179" s="49"/>
      <c r="C179" s="49"/>
      <c r="D179" s="50" t="s">
        <v>413</v>
      </c>
      <c r="E179" s="26" t="s">
        <v>576</v>
      </c>
      <c r="F179" s="49" t="s">
        <v>262</v>
      </c>
      <c r="G179" s="49" t="s">
        <v>784</v>
      </c>
      <c r="H179" s="49" t="s">
        <v>785</v>
      </c>
      <c r="I179" s="49" t="s">
        <v>783</v>
      </c>
      <c r="J179" s="49" t="s">
        <v>969</v>
      </c>
      <c r="K179" s="49" t="s">
        <v>916</v>
      </c>
      <c r="L179" s="49" t="s">
        <v>782</v>
      </c>
      <c r="M179" s="49" t="s">
        <v>949</v>
      </c>
      <c r="N179" s="49" t="s">
        <v>235</v>
      </c>
      <c r="O179" s="49" t="s">
        <v>231</v>
      </c>
      <c r="P179" s="49" t="s">
        <v>336</v>
      </c>
      <c r="Q179" s="49" t="s">
        <v>786</v>
      </c>
      <c r="R179" s="51">
        <v>1</v>
      </c>
      <c r="S179" s="55" t="s">
        <v>975</v>
      </c>
      <c r="T179" s="27">
        <v>63581549</v>
      </c>
      <c r="U179" s="27">
        <f>T179-1251512</f>
        <v>62330037</v>
      </c>
      <c r="V179" s="27">
        <v>9448514557</v>
      </c>
      <c r="W179" s="58">
        <f>34398543</f>
        <v>34398543</v>
      </c>
    </row>
    <row r="180" spans="1:23" s="26" customFormat="1" x14ac:dyDescent="0.2">
      <c r="A180" s="49"/>
      <c r="B180" s="49"/>
      <c r="C180" s="49"/>
      <c r="D180" s="50"/>
      <c r="E180" s="26" t="s">
        <v>577</v>
      </c>
      <c r="F180" s="49"/>
      <c r="G180" s="49"/>
      <c r="H180" s="49"/>
      <c r="I180" s="49"/>
      <c r="J180" s="49" t="s">
        <v>210</v>
      </c>
      <c r="K180" s="49"/>
      <c r="L180" s="49"/>
      <c r="M180" s="49"/>
      <c r="N180" s="49" t="s">
        <v>235</v>
      </c>
      <c r="O180" s="49" t="s">
        <v>231</v>
      </c>
      <c r="P180" s="49"/>
      <c r="Q180" s="49"/>
      <c r="R180" s="51"/>
      <c r="S180" s="49"/>
      <c r="T180" s="27">
        <v>63581549</v>
      </c>
      <c r="U180" s="27">
        <f>T180-1251512</f>
        <v>62330037</v>
      </c>
      <c r="V180" s="27">
        <v>9418680697</v>
      </c>
      <c r="W180" s="58"/>
    </row>
    <row r="181" spans="1:23" s="26" customFormat="1" x14ac:dyDescent="0.2">
      <c r="A181" s="49" t="s">
        <v>643</v>
      </c>
      <c r="B181" s="49"/>
      <c r="C181" s="49"/>
      <c r="D181" s="50" t="s">
        <v>413</v>
      </c>
      <c r="E181" s="26" t="s">
        <v>578</v>
      </c>
      <c r="F181" s="49" t="s">
        <v>262</v>
      </c>
      <c r="G181" s="49" t="s">
        <v>425</v>
      </c>
      <c r="H181" s="49" t="s">
        <v>426</v>
      </c>
      <c r="I181" s="49" t="s">
        <v>427</v>
      </c>
      <c r="J181" s="49" t="s">
        <v>969</v>
      </c>
      <c r="K181" s="49" t="s">
        <v>916</v>
      </c>
      <c r="L181" s="49" t="s">
        <v>809</v>
      </c>
      <c r="M181" s="49" t="s">
        <v>950</v>
      </c>
      <c r="N181" s="49" t="s">
        <v>235</v>
      </c>
      <c r="O181" s="49" t="s">
        <v>231</v>
      </c>
      <c r="P181" s="49" t="s">
        <v>336</v>
      </c>
      <c r="Q181" s="49" t="s">
        <v>424</v>
      </c>
      <c r="R181" s="51">
        <v>2</v>
      </c>
      <c r="S181" s="55" t="s">
        <v>975</v>
      </c>
      <c r="T181" s="27">
        <v>75254251</v>
      </c>
      <c r="U181" s="27">
        <f>T181-293843</f>
        <v>74960408</v>
      </c>
      <c r="V181" s="27">
        <v>11178747382</v>
      </c>
      <c r="W181" s="58">
        <f>37920150</f>
        <v>37920150</v>
      </c>
    </row>
    <row r="182" spans="1:23" s="26" customFormat="1" x14ac:dyDescent="0.2">
      <c r="A182" s="49"/>
      <c r="B182" s="49"/>
      <c r="C182" s="49"/>
      <c r="D182" s="50"/>
      <c r="E182" s="26" t="s">
        <v>579</v>
      </c>
      <c r="F182" s="49"/>
      <c r="G182" s="49"/>
      <c r="H182" s="49"/>
      <c r="I182" s="49"/>
      <c r="J182" s="49" t="s">
        <v>210</v>
      </c>
      <c r="K182" s="49"/>
      <c r="L182" s="49"/>
      <c r="M182" s="49"/>
      <c r="N182" s="49" t="s">
        <v>235</v>
      </c>
      <c r="O182" s="49" t="s">
        <v>231</v>
      </c>
      <c r="P182" s="49"/>
      <c r="Q182" s="49"/>
      <c r="R182" s="51"/>
      <c r="S182" s="49"/>
      <c r="T182" s="27">
        <v>75254251</v>
      </c>
      <c r="U182" s="27">
        <f>T182-293843</f>
        <v>74960408</v>
      </c>
      <c r="V182" s="27">
        <v>11218151941</v>
      </c>
      <c r="W182" s="58"/>
    </row>
    <row r="183" spans="1:23" s="26" customFormat="1" x14ac:dyDescent="0.2">
      <c r="A183" s="49" t="s">
        <v>643</v>
      </c>
      <c r="B183" s="49"/>
      <c r="C183" s="49"/>
      <c r="D183" s="50" t="s">
        <v>413</v>
      </c>
      <c r="E183" s="26" t="s">
        <v>580</v>
      </c>
      <c r="F183" s="49" t="s">
        <v>262</v>
      </c>
      <c r="G183" s="49" t="s">
        <v>421</v>
      </c>
      <c r="H183" s="49" t="s">
        <v>422</v>
      </c>
      <c r="I183" s="49" t="s">
        <v>423</v>
      </c>
      <c r="J183" s="49" t="s">
        <v>969</v>
      </c>
      <c r="K183" s="49" t="s">
        <v>916</v>
      </c>
      <c r="L183" s="49" t="s">
        <v>419</v>
      </c>
      <c r="M183" s="49" t="s">
        <v>951</v>
      </c>
      <c r="N183" s="49" t="s">
        <v>235</v>
      </c>
      <c r="O183" s="49" t="s">
        <v>231</v>
      </c>
      <c r="P183" s="49" t="s">
        <v>336</v>
      </c>
      <c r="Q183" s="49" t="s">
        <v>420</v>
      </c>
      <c r="R183" s="51">
        <v>3</v>
      </c>
      <c r="S183" s="55" t="s">
        <v>975</v>
      </c>
      <c r="T183" s="27">
        <v>81060969</v>
      </c>
      <c r="U183" s="27">
        <f>T183-316072</f>
        <v>80744897</v>
      </c>
      <c r="V183" s="27">
        <v>12067716762</v>
      </c>
      <c r="W183" s="58">
        <f>44159498</f>
        <v>44159498</v>
      </c>
    </row>
    <row r="184" spans="1:23" s="26" customFormat="1" x14ac:dyDescent="0.2">
      <c r="A184" s="49"/>
      <c r="B184" s="49"/>
      <c r="C184" s="49"/>
      <c r="D184" s="50"/>
      <c r="E184" s="26" t="s">
        <v>581</v>
      </c>
      <c r="F184" s="49"/>
      <c r="G184" s="49"/>
      <c r="H184" s="49"/>
      <c r="I184" s="49"/>
      <c r="J184" s="49" t="s">
        <v>210</v>
      </c>
      <c r="K184" s="49"/>
      <c r="L184" s="49"/>
      <c r="M184" s="49"/>
      <c r="N184" s="49" t="s">
        <v>235</v>
      </c>
      <c r="O184" s="49" t="s">
        <v>231</v>
      </c>
      <c r="P184" s="49"/>
      <c r="Q184" s="49"/>
      <c r="R184" s="51"/>
      <c r="S184" s="49"/>
      <c r="T184" s="27">
        <v>81060969</v>
      </c>
      <c r="U184" s="27">
        <f>T184-316072</f>
        <v>80744897</v>
      </c>
      <c r="V184" s="27">
        <v>12104013737</v>
      </c>
      <c r="W184" s="58"/>
    </row>
    <row r="185" spans="1:23" s="26" customFormat="1" x14ac:dyDescent="0.2">
      <c r="A185" s="49" t="s">
        <v>643</v>
      </c>
      <c r="B185" s="49"/>
      <c r="C185" s="49"/>
      <c r="D185" s="50" t="s">
        <v>413</v>
      </c>
      <c r="E185" s="26" t="s">
        <v>582</v>
      </c>
      <c r="F185" s="49" t="s">
        <v>262</v>
      </c>
      <c r="G185" s="49" t="s">
        <v>416</v>
      </c>
      <c r="H185" s="49" t="s">
        <v>417</v>
      </c>
      <c r="I185" s="49" t="s">
        <v>418</v>
      </c>
      <c r="J185" s="49" t="s">
        <v>969</v>
      </c>
      <c r="K185" s="49" t="s">
        <v>916</v>
      </c>
      <c r="L185" s="49" t="s">
        <v>414</v>
      </c>
      <c r="M185" s="49" t="s">
        <v>951</v>
      </c>
      <c r="N185" s="49" t="s">
        <v>235</v>
      </c>
      <c r="O185" s="49" t="s">
        <v>231</v>
      </c>
      <c r="P185" s="49" t="s">
        <v>336</v>
      </c>
      <c r="Q185" s="49" t="s">
        <v>415</v>
      </c>
      <c r="R185" s="51">
        <v>4</v>
      </c>
      <c r="S185" s="55" t="s">
        <v>975</v>
      </c>
      <c r="T185" s="27">
        <v>87704377</v>
      </c>
      <c r="U185" s="27">
        <f>T185-430926</f>
        <v>87273451</v>
      </c>
      <c r="V185" s="27">
        <v>13029409399</v>
      </c>
      <c r="W185" s="58">
        <f>48329204</f>
        <v>48329204</v>
      </c>
    </row>
    <row r="186" spans="1:23" s="26" customFormat="1" x14ac:dyDescent="0.2">
      <c r="A186" s="49"/>
      <c r="B186" s="49"/>
      <c r="C186" s="49"/>
      <c r="D186" s="50"/>
      <c r="E186" s="26" t="s">
        <v>583</v>
      </c>
      <c r="F186" s="49"/>
      <c r="G186" s="49"/>
      <c r="H186" s="49"/>
      <c r="I186" s="49"/>
      <c r="J186" s="49" t="s">
        <v>210</v>
      </c>
      <c r="K186" s="49"/>
      <c r="L186" s="49"/>
      <c r="M186" s="49"/>
      <c r="N186" s="49" t="s">
        <v>235</v>
      </c>
      <c r="O186" s="49" t="s">
        <v>231</v>
      </c>
      <c r="P186" s="49"/>
      <c r="Q186" s="49"/>
      <c r="R186" s="51"/>
      <c r="S186" s="49"/>
      <c r="T186" s="27">
        <v>87704377</v>
      </c>
      <c r="U186" s="27">
        <f>T186-430926</f>
        <v>87273451</v>
      </c>
      <c r="V186" s="27">
        <v>13041438614</v>
      </c>
      <c r="W186" s="58"/>
    </row>
    <row r="187" spans="1:23" s="26" customFormat="1" x14ac:dyDescent="0.2">
      <c r="A187" s="49" t="s">
        <v>643</v>
      </c>
      <c r="B187" s="49"/>
      <c r="C187" s="49"/>
      <c r="D187" s="50" t="s">
        <v>413</v>
      </c>
      <c r="E187" s="32" t="s">
        <v>584</v>
      </c>
      <c r="F187" s="49" t="s">
        <v>262</v>
      </c>
      <c r="G187" s="49" t="s">
        <v>812</v>
      </c>
      <c r="H187" s="49" t="s">
        <v>808</v>
      </c>
      <c r="I187" s="49" t="s">
        <v>811</v>
      </c>
      <c r="J187" s="49" t="s">
        <v>969</v>
      </c>
      <c r="K187" s="49" t="s">
        <v>916</v>
      </c>
      <c r="L187" s="49" t="s">
        <v>813</v>
      </c>
      <c r="M187" s="49" t="s">
        <v>810</v>
      </c>
      <c r="N187" s="49" t="s">
        <v>235</v>
      </c>
      <c r="O187" s="49" t="s">
        <v>232</v>
      </c>
      <c r="P187" s="49" t="s">
        <v>337</v>
      </c>
      <c r="Q187" s="49" t="s">
        <v>814</v>
      </c>
      <c r="R187" s="51">
        <v>1</v>
      </c>
      <c r="S187" s="55" t="s">
        <v>975</v>
      </c>
      <c r="T187" s="27">
        <v>54174618</v>
      </c>
      <c r="U187" s="27">
        <f>T187-234154</f>
        <v>53940464</v>
      </c>
      <c r="V187" s="27">
        <v>7812285278</v>
      </c>
      <c r="W187" s="58">
        <f>30377736</f>
        <v>30377736</v>
      </c>
    </row>
    <row r="188" spans="1:23" s="26" customFormat="1" x14ac:dyDescent="0.2">
      <c r="A188" s="49"/>
      <c r="B188" s="49"/>
      <c r="C188" s="49"/>
      <c r="D188" s="50"/>
      <c r="E188" s="32" t="s">
        <v>585</v>
      </c>
      <c r="F188" s="49"/>
      <c r="G188" s="49"/>
      <c r="H188" s="49"/>
      <c r="I188" s="49"/>
      <c r="J188" s="49" t="s">
        <v>210</v>
      </c>
      <c r="K188" s="49"/>
      <c r="L188" s="49"/>
      <c r="M188" s="49"/>
      <c r="N188" s="49" t="s">
        <v>235</v>
      </c>
      <c r="O188" s="49" t="s">
        <v>232</v>
      </c>
      <c r="P188" s="49"/>
      <c r="Q188" s="49"/>
      <c r="R188" s="51"/>
      <c r="S188" s="49"/>
      <c r="T188" s="27">
        <v>54174618</v>
      </c>
      <c r="U188" s="27">
        <f>T188-234154</f>
        <v>53940464</v>
      </c>
      <c r="V188" s="27">
        <v>7802513016</v>
      </c>
      <c r="W188" s="58"/>
    </row>
    <row r="189" spans="1:23" s="26" customFormat="1" x14ac:dyDescent="0.2">
      <c r="A189" s="49" t="s">
        <v>643</v>
      </c>
      <c r="B189" s="49"/>
      <c r="C189" s="49"/>
      <c r="D189" s="50" t="s">
        <v>413</v>
      </c>
      <c r="E189" s="26" t="s">
        <v>586</v>
      </c>
      <c r="F189" s="49" t="s">
        <v>262</v>
      </c>
      <c r="G189" s="49" t="s">
        <v>430</v>
      </c>
      <c r="H189" s="49" t="s">
        <v>431</v>
      </c>
      <c r="I189" s="49" t="s">
        <v>432</v>
      </c>
      <c r="J189" s="49" t="s">
        <v>969</v>
      </c>
      <c r="K189" s="49" t="s">
        <v>916</v>
      </c>
      <c r="L189" s="49" t="s">
        <v>428</v>
      </c>
      <c r="M189" s="49" t="s">
        <v>950</v>
      </c>
      <c r="N189" s="49" t="s">
        <v>235</v>
      </c>
      <c r="O189" s="49" t="s">
        <v>232</v>
      </c>
      <c r="P189" s="49" t="s">
        <v>337</v>
      </c>
      <c r="Q189" s="49" t="s">
        <v>429</v>
      </c>
      <c r="R189" s="51">
        <v>2</v>
      </c>
      <c r="S189" s="55" t="s">
        <v>975</v>
      </c>
      <c r="T189" s="27">
        <v>47453879</v>
      </c>
      <c r="U189" s="27">
        <f>T189-186108</f>
        <v>47267771</v>
      </c>
      <c r="V189" s="27">
        <v>7089571560</v>
      </c>
      <c r="W189" s="58">
        <f>25208416</f>
        <v>25208416</v>
      </c>
    </row>
    <row r="190" spans="1:23" s="26" customFormat="1" x14ac:dyDescent="0.2">
      <c r="A190" s="49"/>
      <c r="B190" s="49"/>
      <c r="C190" s="49"/>
      <c r="D190" s="50"/>
      <c r="E190" s="26" t="s">
        <v>587</v>
      </c>
      <c r="F190" s="49"/>
      <c r="G190" s="49"/>
      <c r="H190" s="49"/>
      <c r="I190" s="49"/>
      <c r="J190" s="49" t="s">
        <v>210</v>
      </c>
      <c r="K190" s="49"/>
      <c r="L190" s="49"/>
      <c r="M190" s="49"/>
      <c r="N190" s="49" t="s">
        <v>235</v>
      </c>
      <c r="O190" s="49" t="s">
        <v>232</v>
      </c>
      <c r="P190" s="49"/>
      <c r="Q190" s="49"/>
      <c r="R190" s="51"/>
      <c r="S190" s="49"/>
      <c r="T190" s="27">
        <v>47453879</v>
      </c>
      <c r="U190" s="27">
        <f>T190-186108</f>
        <v>47267771</v>
      </c>
      <c r="V190" s="27">
        <v>7101404744</v>
      </c>
      <c r="W190" s="58"/>
    </row>
    <row r="191" spans="1:23" s="26" customFormat="1" x14ac:dyDescent="0.2">
      <c r="A191" s="49" t="s">
        <v>643</v>
      </c>
      <c r="B191" s="49"/>
      <c r="C191" s="49"/>
      <c r="D191" s="50" t="s">
        <v>413</v>
      </c>
      <c r="E191" s="26" t="s">
        <v>588</v>
      </c>
      <c r="F191" s="49" t="s">
        <v>262</v>
      </c>
      <c r="G191" s="49" t="s">
        <v>434</v>
      </c>
      <c r="H191" s="49" t="s">
        <v>435</v>
      </c>
      <c r="I191" s="49" t="s">
        <v>436</v>
      </c>
      <c r="J191" s="49" t="s">
        <v>969</v>
      </c>
      <c r="K191" s="49" t="s">
        <v>916</v>
      </c>
      <c r="L191" s="49" t="s">
        <v>433</v>
      </c>
      <c r="M191" s="49" t="s">
        <v>949</v>
      </c>
      <c r="N191" s="49" t="s">
        <v>235</v>
      </c>
      <c r="O191" s="49" t="s">
        <v>232</v>
      </c>
      <c r="P191" s="49" t="s">
        <v>337</v>
      </c>
      <c r="Q191" s="49" t="s">
        <v>429</v>
      </c>
      <c r="R191" s="51">
        <v>3</v>
      </c>
      <c r="S191" s="55" t="s">
        <v>975</v>
      </c>
      <c r="T191" s="27">
        <v>66754729</v>
      </c>
      <c r="U191" s="27">
        <f>T191-324602</f>
        <v>66430127</v>
      </c>
      <c r="V191" s="27">
        <v>9934567077</v>
      </c>
      <c r="W191" s="58">
        <f>31820224</f>
        <v>31820224</v>
      </c>
    </row>
    <row r="192" spans="1:23" s="26" customFormat="1" ht="16" customHeight="1" x14ac:dyDescent="0.2">
      <c r="A192" s="49"/>
      <c r="B192" s="49"/>
      <c r="C192" s="49"/>
      <c r="D192" s="50"/>
      <c r="E192" s="26" t="s">
        <v>589</v>
      </c>
      <c r="F192" s="49"/>
      <c r="G192" s="49"/>
      <c r="H192" s="49"/>
      <c r="I192" s="49"/>
      <c r="J192" s="49" t="s">
        <v>210</v>
      </c>
      <c r="K192" s="49"/>
      <c r="L192" s="49"/>
      <c r="M192" s="49"/>
      <c r="N192" s="49" t="s">
        <v>235</v>
      </c>
      <c r="O192" s="49" t="s">
        <v>232</v>
      </c>
      <c r="P192" s="49"/>
      <c r="Q192" s="49"/>
      <c r="R192" s="51"/>
      <c r="S192" s="49"/>
      <c r="T192" s="27">
        <v>66754729</v>
      </c>
      <c r="U192" s="27">
        <f>T192-324602</f>
        <v>66430127</v>
      </c>
      <c r="V192" s="27">
        <v>9934055643</v>
      </c>
      <c r="W192" s="58"/>
    </row>
    <row r="193" spans="1:24" s="26" customFormat="1" x14ac:dyDescent="0.2">
      <c r="A193" s="49" t="s">
        <v>735</v>
      </c>
      <c r="B193" s="49"/>
      <c r="C193" s="49"/>
      <c r="D193" s="50" t="s">
        <v>413</v>
      </c>
      <c r="E193" s="32" t="s">
        <v>590</v>
      </c>
      <c r="F193" s="49" t="s">
        <v>731</v>
      </c>
      <c r="G193" s="49" t="s">
        <v>730</v>
      </c>
      <c r="H193" s="49" t="s">
        <v>729</v>
      </c>
      <c r="I193" s="49" t="s">
        <v>725</v>
      </c>
      <c r="J193" s="49" t="s">
        <v>973</v>
      </c>
      <c r="K193" s="49" t="s">
        <v>918</v>
      </c>
      <c r="L193" s="49" t="s">
        <v>723</v>
      </c>
      <c r="M193" s="49"/>
      <c r="N193" s="49" t="s">
        <v>233</v>
      </c>
      <c r="O193" s="49" t="s">
        <v>236</v>
      </c>
      <c r="P193" s="49" t="s">
        <v>728</v>
      </c>
      <c r="Q193" s="49" t="s">
        <v>724</v>
      </c>
      <c r="R193" s="49">
        <v>1</v>
      </c>
      <c r="S193" s="55" t="s">
        <v>975</v>
      </c>
      <c r="T193" s="33">
        <v>5040438</v>
      </c>
      <c r="U193" s="33">
        <f>T193-150772</f>
        <v>4889666</v>
      </c>
      <c r="V193" s="33">
        <v>630054750</v>
      </c>
      <c r="W193" s="61">
        <f>1760739</f>
        <v>1760739</v>
      </c>
      <c r="X193" s="32"/>
    </row>
    <row r="194" spans="1:24" s="26" customFormat="1" x14ac:dyDescent="0.2">
      <c r="A194" s="49"/>
      <c r="B194" s="49"/>
      <c r="C194" s="49"/>
      <c r="D194" s="50"/>
      <c r="E194" s="26" t="s">
        <v>591</v>
      </c>
      <c r="F194" s="49"/>
      <c r="G194" s="49"/>
      <c r="H194" s="49"/>
      <c r="I194" s="49"/>
      <c r="J194" s="49"/>
      <c r="K194" s="49"/>
      <c r="L194" s="49"/>
      <c r="M194" s="49"/>
      <c r="N194" s="49" t="s">
        <v>233</v>
      </c>
      <c r="O194" s="49" t="s">
        <v>236</v>
      </c>
      <c r="P194" s="49" t="s">
        <v>728</v>
      </c>
      <c r="Q194" s="49"/>
      <c r="R194" s="49"/>
      <c r="S194" s="49"/>
      <c r="T194" s="27">
        <v>5040438</v>
      </c>
      <c r="U194" s="27">
        <f>T194-150772</f>
        <v>4889666</v>
      </c>
      <c r="V194" s="27">
        <v>630054750</v>
      </c>
      <c r="W194" s="58"/>
    </row>
    <row r="195" spans="1:24" s="26" customFormat="1" x14ac:dyDescent="0.2">
      <c r="A195" s="49" t="s">
        <v>735</v>
      </c>
      <c r="B195" s="49"/>
      <c r="C195" s="49"/>
      <c r="D195" s="50" t="s">
        <v>413</v>
      </c>
      <c r="E195" s="26" t="s">
        <v>592</v>
      </c>
      <c r="F195" s="49" t="s">
        <v>731</v>
      </c>
      <c r="G195" s="49" t="s">
        <v>733</v>
      </c>
      <c r="H195" s="49" t="s">
        <v>732</v>
      </c>
      <c r="I195" s="49" t="s">
        <v>727</v>
      </c>
      <c r="J195" s="49" t="s">
        <v>973</v>
      </c>
      <c r="K195" s="49" t="s">
        <v>918</v>
      </c>
      <c r="L195" s="49" t="s">
        <v>723</v>
      </c>
      <c r="M195" s="49"/>
      <c r="N195" s="49" t="s">
        <v>233</v>
      </c>
      <c r="O195" s="49" t="s">
        <v>236</v>
      </c>
      <c r="P195" s="49" t="s">
        <v>728</v>
      </c>
      <c r="Q195" s="49" t="s">
        <v>726</v>
      </c>
      <c r="R195" s="49">
        <v>2</v>
      </c>
      <c r="S195" s="55" t="s">
        <v>975</v>
      </c>
      <c r="T195" s="27">
        <v>26326992</v>
      </c>
      <c r="U195" s="27">
        <f>T195-886215</f>
        <v>25440777</v>
      </c>
      <c r="V195" s="27">
        <v>3290874000</v>
      </c>
      <c r="W195" s="58">
        <f>8879556</f>
        <v>8879556</v>
      </c>
    </row>
    <row r="196" spans="1:24" s="26" customFormat="1" x14ac:dyDescent="0.2">
      <c r="A196" s="49"/>
      <c r="B196" s="49"/>
      <c r="C196" s="49"/>
      <c r="D196" s="50"/>
      <c r="E196" s="26" t="s">
        <v>593</v>
      </c>
      <c r="F196" s="49"/>
      <c r="G196" s="49"/>
      <c r="H196" s="49"/>
      <c r="I196" s="49"/>
      <c r="J196" s="49"/>
      <c r="K196" s="49"/>
      <c r="L196" s="49"/>
      <c r="M196" s="49"/>
      <c r="N196" s="49" t="s">
        <v>233</v>
      </c>
      <c r="O196" s="49" t="s">
        <v>236</v>
      </c>
      <c r="P196" s="49" t="s">
        <v>728</v>
      </c>
      <c r="Q196" s="49"/>
      <c r="R196" s="49"/>
      <c r="S196" s="49"/>
      <c r="T196" s="27">
        <v>26326992</v>
      </c>
      <c r="U196" s="27">
        <f>T196-886215</f>
        <v>25440777</v>
      </c>
      <c r="V196" s="27">
        <v>3290874000</v>
      </c>
      <c r="W196" s="58"/>
    </row>
    <row r="197" spans="1:24" s="26" customFormat="1" x14ac:dyDescent="0.2">
      <c r="A197" s="49" t="s">
        <v>735</v>
      </c>
      <c r="B197" s="49"/>
      <c r="C197" s="49"/>
      <c r="D197" s="50" t="s">
        <v>413</v>
      </c>
      <c r="E197" s="26" t="s">
        <v>594</v>
      </c>
      <c r="F197" s="49" t="s">
        <v>262</v>
      </c>
      <c r="G197" s="49" t="s">
        <v>439</v>
      </c>
      <c r="H197" s="49" t="s">
        <v>440</v>
      </c>
      <c r="I197" s="49" t="s">
        <v>441</v>
      </c>
      <c r="J197" s="49" t="s">
        <v>969</v>
      </c>
      <c r="K197" s="49" t="s">
        <v>916</v>
      </c>
      <c r="L197" s="49" t="s">
        <v>437</v>
      </c>
      <c r="M197" s="49" t="s">
        <v>952</v>
      </c>
      <c r="N197" s="49" t="s">
        <v>233</v>
      </c>
      <c r="O197" s="49" t="s">
        <v>236</v>
      </c>
      <c r="P197" s="49" t="s">
        <v>335</v>
      </c>
      <c r="Q197" s="49" t="s">
        <v>438</v>
      </c>
      <c r="R197" s="51">
        <v>3</v>
      </c>
      <c r="S197" s="55" t="s">
        <v>975</v>
      </c>
      <c r="T197" s="27">
        <v>61794974</v>
      </c>
      <c r="U197" s="27">
        <f>T197-254057</f>
        <v>61540917</v>
      </c>
      <c r="V197" s="27">
        <v>9188041524</v>
      </c>
      <c r="W197" s="58">
        <f>32284440</f>
        <v>32284440</v>
      </c>
    </row>
    <row r="198" spans="1:24" s="26" customFormat="1" x14ac:dyDescent="0.2">
      <c r="A198" s="49"/>
      <c r="B198" s="49"/>
      <c r="C198" s="49"/>
      <c r="D198" s="50"/>
      <c r="E198" s="26" t="s">
        <v>595</v>
      </c>
      <c r="F198" s="49"/>
      <c r="G198" s="49"/>
      <c r="H198" s="49"/>
      <c r="I198" s="49"/>
      <c r="J198" s="49" t="s">
        <v>210</v>
      </c>
      <c r="K198" s="49"/>
      <c r="L198" s="49"/>
      <c r="M198" s="49"/>
      <c r="N198" s="49" t="s">
        <v>233</v>
      </c>
      <c r="O198" s="49" t="s">
        <v>236</v>
      </c>
      <c r="P198" s="49"/>
      <c r="Q198" s="49"/>
      <c r="R198" s="51"/>
      <c r="S198" s="49"/>
      <c r="T198" s="27">
        <v>61794974</v>
      </c>
      <c r="U198" s="27">
        <f>T198-254057</f>
        <v>61540917</v>
      </c>
      <c r="V198" s="27">
        <v>9211623467</v>
      </c>
      <c r="W198" s="58"/>
    </row>
    <row r="199" spans="1:24" s="26" customFormat="1" x14ac:dyDescent="0.2">
      <c r="A199" s="49" t="s">
        <v>735</v>
      </c>
      <c r="B199" s="49"/>
      <c r="C199" s="49"/>
      <c r="D199" s="50" t="s">
        <v>413</v>
      </c>
      <c r="E199" s="26" t="s">
        <v>596</v>
      </c>
      <c r="F199" s="49" t="s">
        <v>262</v>
      </c>
      <c r="G199" s="49" t="s">
        <v>443</v>
      </c>
      <c r="H199" s="49" t="s">
        <v>444</v>
      </c>
      <c r="I199" s="49" t="s">
        <v>445</v>
      </c>
      <c r="J199" s="49" t="s">
        <v>969</v>
      </c>
      <c r="K199" s="49" t="s">
        <v>916</v>
      </c>
      <c r="L199" s="49" t="s">
        <v>437</v>
      </c>
      <c r="M199" s="49" t="s">
        <v>952</v>
      </c>
      <c r="N199" s="49" t="s">
        <v>233</v>
      </c>
      <c r="O199" s="49" t="s">
        <v>236</v>
      </c>
      <c r="P199" s="49" t="s">
        <v>335</v>
      </c>
      <c r="Q199" s="49" t="s">
        <v>442</v>
      </c>
      <c r="R199" s="51">
        <v>4</v>
      </c>
      <c r="S199" s="55" t="s">
        <v>975</v>
      </c>
      <c r="T199" s="34">
        <v>81538845</v>
      </c>
      <c r="U199" s="34">
        <f>T199-426025</f>
        <v>81112820</v>
      </c>
      <c r="V199" s="27">
        <v>12141967333</v>
      </c>
      <c r="W199" s="58">
        <f>42483137</f>
        <v>42483137</v>
      </c>
    </row>
    <row r="200" spans="1:24" s="26" customFormat="1" x14ac:dyDescent="0.2">
      <c r="A200" s="49"/>
      <c r="B200" s="49"/>
      <c r="C200" s="49"/>
      <c r="D200" s="50"/>
      <c r="E200" s="26" t="s">
        <v>597</v>
      </c>
      <c r="F200" s="49"/>
      <c r="G200" s="49"/>
      <c r="H200" s="49"/>
      <c r="I200" s="49"/>
      <c r="J200" s="49" t="s">
        <v>210</v>
      </c>
      <c r="K200" s="49"/>
      <c r="L200" s="49"/>
      <c r="M200" s="49"/>
      <c r="N200" s="49" t="s">
        <v>233</v>
      </c>
      <c r="O200" s="49" t="s">
        <v>236</v>
      </c>
      <c r="P200" s="49"/>
      <c r="Q200" s="49"/>
      <c r="R200" s="51"/>
      <c r="S200" s="49"/>
      <c r="T200" s="34">
        <v>81538845</v>
      </c>
      <c r="U200" s="34">
        <f>T200-426025</f>
        <v>81112820</v>
      </c>
      <c r="V200" s="27">
        <v>12149303178</v>
      </c>
      <c r="W200" s="58"/>
    </row>
    <row r="201" spans="1:24" s="26" customFormat="1" x14ac:dyDescent="0.2">
      <c r="A201" s="49" t="s">
        <v>735</v>
      </c>
      <c r="B201" s="49"/>
      <c r="C201" s="49"/>
      <c r="D201" s="50" t="s">
        <v>413</v>
      </c>
      <c r="E201" s="26" t="s">
        <v>598</v>
      </c>
      <c r="F201" s="49" t="s">
        <v>262</v>
      </c>
      <c r="G201" s="49" t="s">
        <v>447</v>
      </c>
      <c r="H201" s="49" t="s">
        <v>448</v>
      </c>
      <c r="I201" s="49" t="s">
        <v>449</v>
      </c>
      <c r="J201" s="49" t="s">
        <v>969</v>
      </c>
      <c r="K201" s="49" t="s">
        <v>916</v>
      </c>
      <c r="L201" s="49" t="s">
        <v>437</v>
      </c>
      <c r="M201" s="49" t="s">
        <v>952</v>
      </c>
      <c r="N201" s="49" t="s">
        <v>233</v>
      </c>
      <c r="O201" s="49" t="s">
        <v>236</v>
      </c>
      <c r="P201" s="49" t="s">
        <v>335</v>
      </c>
      <c r="Q201" s="49" t="s">
        <v>446</v>
      </c>
      <c r="R201" s="51">
        <v>5</v>
      </c>
      <c r="S201" s="55" t="s">
        <v>975</v>
      </c>
      <c r="T201" s="27">
        <v>62142863</v>
      </c>
      <c r="U201" s="27">
        <f>T201-425461</f>
        <v>61717402</v>
      </c>
      <c r="V201" s="27">
        <v>9199399298</v>
      </c>
      <c r="W201" s="58">
        <f>33273523</f>
        <v>33273523</v>
      </c>
    </row>
    <row r="202" spans="1:24" s="26" customFormat="1" x14ac:dyDescent="0.2">
      <c r="A202" s="49"/>
      <c r="B202" s="49"/>
      <c r="C202" s="49"/>
      <c r="D202" s="50"/>
      <c r="E202" s="26" t="s">
        <v>599</v>
      </c>
      <c r="F202" s="49"/>
      <c r="G202" s="49"/>
      <c r="H202" s="49"/>
      <c r="I202" s="49"/>
      <c r="J202" s="49" t="s">
        <v>210</v>
      </c>
      <c r="K202" s="49"/>
      <c r="L202" s="49"/>
      <c r="M202" s="49"/>
      <c r="N202" s="49" t="s">
        <v>233</v>
      </c>
      <c r="O202" s="49" t="s">
        <v>236</v>
      </c>
      <c r="P202" s="49"/>
      <c r="Q202" s="49"/>
      <c r="R202" s="51"/>
      <c r="S202" s="49"/>
      <c r="T202" s="27">
        <v>62142863</v>
      </c>
      <c r="U202" s="27">
        <f>T202-425461</f>
        <v>61717402</v>
      </c>
      <c r="V202" s="27">
        <v>9239836782</v>
      </c>
      <c r="W202" s="58"/>
    </row>
    <row r="203" spans="1:24" s="26" customFormat="1" x14ac:dyDescent="0.2">
      <c r="A203" s="49" t="s">
        <v>643</v>
      </c>
      <c r="B203" s="49"/>
      <c r="C203" s="49"/>
      <c r="D203" s="50" t="s">
        <v>640</v>
      </c>
      <c r="E203" s="26" t="s">
        <v>600</v>
      </c>
      <c r="F203" s="49" t="s">
        <v>758</v>
      </c>
      <c r="G203" s="49" t="s">
        <v>745</v>
      </c>
      <c r="H203" s="49" t="s">
        <v>760</v>
      </c>
      <c r="I203" s="49" t="s">
        <v>759</v>
      </c>
      <c r="J203" s="49" t="s">
        <v>974</v>
      </c>
      <c r="K203" s="49" t="s">
        <v>928</v>
      </c>
      <c r="L203" s="49" t="s">
        <v>502</v>
      </c>
      <c r="M203" s="49" t="s">
        <v>743</v>
      </c>
      <c r="N203" s="49" t="s">
        <v>235</v>
      </c>
      <c r="O203" s="49" t="s">
        <v>231</v>
      </c>
      <c r="P203" s="49" t="s">
        <v>757</v>
      </c>
      <c r="Q203" s="49" t="s">
        <v>744</v>
      </c>
      <c r="R203" s="51">
        <v>1</v>
      </c>
      <c r="S203" s="55" t="s">
        <v>975</v>
      </c>
      <c r="T203" s="35">
        <v>30088997</v>
      </c>
      <c r="U203" s="33">
        <f>T203-371206-2324</f>
        <v>29715467</v>
      </c>
      <c r="V203" s="27">
        <v>2272571961</v>
      </c>
      <c r="W203" s="58">
        <f>11752012</f>
        <v>11752012</v>
      </c>
    </row>
    <row r="204" spans="1:24" s="26" customFormat="1" x14ac:dyDescent="0.2">
      <c r="A204" s="49"/>
      <c r="B204" s="49"/>
      <c r="C204" s="49"/>
      <c r="D204" s="50"/>
      <c r="E204" s="26" t="s">
        <v>601</v>
      </c>
      <c r="F204" s="49"/>
      <c r="G204" s="49"/>
      <c r="H204" s="49"/>
      <c r="I204" s="49"/>
      <c r="J204" s="49"/>
      <c r="K204" s="49"/>
      <c r="L204" s="49"/>
      <c r="M204" s="49"/>
      <c r="N204" s="49" t="s">
        <v>235</v>
      </c>
      <c r="O204" s="49" t="s">
        <v>231</v>
      </c>
      <c r="P204" s="49"/>
      <c r="Q204" s="49"/>
      <c r="R204" s="51"/>
      <c r="S204" s="49"/>
      <c r="T204" s="35">
        <v>30088997</v>
      </c>
      <c r="U204" s="33">
        <f>T204-371206-2324</f>
        <v>29715467</v>
      </c>
      <c r="V204" s="27">
        <v>2272498190</v>
      </c>
      <c r="W204" s="58"/>
    </row>
    <row r="205" spans="1:24" s="26" customFormat="1" x14ac:dyDescent="0.2">
      <c r="A205" s="49" t="s">
        <v>643</v>
      </c>
      <c r="B205" s="49"/>
      <c r="C205" s="49"/>
      <c r="D205" s="50" t="s">
        <v>640</v>
      </c>
      <c r="E205" s="26" t="s">
        <v>602</v>
      </c>
      <c r="F205" s="49" t="s">
        <v>758</v>
      </c>
      <c r="G205" s="49" t="s">
        <v>747</v>
      </c>
      <c r="H205" s="49" t="s">
        <v>762</v>
      </c>
      <c r="I205" s="49" t="s">
        <v>761</v>
      </c>
      <c r="J205" s="49" t="s">
        <v>974</v>
      </c>
      <c r="K205" s="49" t="s">
        <v>928</v>
      </c>
      <c r="L205" s="49" t="s">
        <v>502</v>
      </c>
      <c r="M205" s="49" t="s">
        <v>743</v>
      </c>
      <c r="N205" s="49" t="s">
        <v>235</v>
      </c>
      <c r="O205" s="49" t="s">
        <v>231</v>
      </c>
      <c r="P205" s="49" t="s">
        <v>757</v>
      </c>
      <c r="Q205" s="49" t="s">
        <v>746</v>
      </c>
      <c r="R205" s="51">
        <v>2</v>
      </c>
      <c r="S205" s="55" t="s">
        <v>975</v>
      </c>
      <c r="T205" s="35">
        <v>34523221</v>
      </c>
      <c r="U205" s="33">
        <f>T205-337785-2584</f>
        <v>34182852</v>
      </c>
      <c r="V205" s="27">
        <v>2607133835</v>
      </c>
      <c r="W205" s="58">
        <f>14109105</f>
        <v>14109105</v>
      </c>
    </row>
    <row r="206" spans="1:24" s="26" customFormat="1" x14ac:dyDescent="0.2">
      <c r="A206" s="49"/>
      <c r="B206" s="49"/>
      <c r="C206" s="49"/>
      <c r="D206" s="50"/>
      <c r="E206" s="26" t="s">
        <v>603</v>
      </c>
      <c r="F206" s="49"/>
      <c r="G206" s="49"/>
      <c r="H206" s="49"/>
      <c r="I206" s="49"/>
      <c r="J206" s="49"/>
      <c r="K206" s="49"/>
      <c r="L206" s="49"/>
      <c r="M206" s="49"/>
      <c r="N206" s="49" t="s">
        <v>235</v>
      </c>
      <c r="O206" s="49" t="s">
        <v>231</v>
      </c>
      <c r="P206" s="49"/>
      <c r="Q206" s="49"/>
      <c r="R206" s="51"/>
      <c r="S206" s="49"/>
      <c r="T206" s="35">
        <v>34523221</v>
      </c>
      <c r="U206" s="33">
        <f>T206-337785-2584</f>
        <v>34182852</v>
      </c>
      <c r="V206" s="27">
        <v>2606801951</v>
      </c>
      <c r="W206" s="58"/>
    </row>
    <row r="207" spans="1:24" s="26" customFormat="1" x14ac:dyDescent="0.2">
      <c r="A207" s="49" t="s">
        <v>643</v>
      </c>
      <c r="B207" s="49"/>
      <c r="C207" s="49"/>
      <c r="D207" s="50" t="s">
        <v>640</v>
      </c>
      <c r="E207" s="26" t="s">
        <v>604</v>
      </c>
      <c r="F207" s="49" t="s">
        <v>758</v>
      </c>
      <c r="G207" s="49" t="s">
        <v>749</v>
      </c>
      <c r="H207" s="49" t="s">
        <v>764</v>
      </c>
      <c r="I207" s="49" t="s">
        <v>763</v>
      </c>
      <c r="J207" s="49" t="s">
        <v>974</v>
      </c>
      <c r="K207" s="49" t="s">
        <v>928</v>
      </c>
      <c r="L207" s="49" t="s">
        <v>502</v>
      </c>
      <c r="M207" s="49" t="s">
        <v>743</v>
      </c>
      <c r="N207" s="49" t="s">
        <v>235</v>
      </c>
      <c r="O207" s="49" t="s">
        <v>231</v>
      </c>
      <c r="P207" s="49" t="s">
        <v>757</v>
      </c>
      <c r="Q207" s="49" t="s">
        <v>748</v>
      </c>
      <c r="R207" s="51">
        <v>3</v>
      </c>
      <c r="S207" s="55" t="s">
        <v>975</v>
      </c>
      <c r="T207" s="35">
        <v>34449730</v>
      </c>
      <c r="U207" s="36">
        <f>T207-376563-3143</f>
        <v>34070024</v>
      </c>
      <c r="V207" s="27">
        <v>2601555271</v>
      </c>
      <c r="W207" s="58">
        <f>13276309</f>
        <v>13276309</v>
      </c>
    </row>
    <row r="208" spans="1:24" s="26" customFormat="1" x14ac:dyDescent="0.2">
      <c r="A208" s="49"/>
      <c r="B208" s="49"/>
      <c r="C208" s="49"/>
      <c r="D208" s="50"/>
      <c r="E208" s="26" t="s">
        <v>605</v>
      </c>
      <c r="F208" s="49"/>
      <c r="G208" s="49"/>
      <c r="H208" s="49"/>
      <c r="I208" s="49"/>
      <c r="J208" s="49"/>
      <c r="K208" s="49"/>
      <c r="L208" s="49"/>
      <c r="M208" s="49"/>
      <c r="N208" s="49" t="s">
        <v>235</v>
      </c>
      <c r="O208" s="49" t="s">
        <v>231</v>
      </c>
      <c r="P208" s="49"/>
      <c r="Q208" s="49"/>
      <c r="R208" s="51"/>
      <c r="S208" s="49"/>
      <c r="T208" s="35">
        <v>34449730</v>
      </c>
      <c r="U208" s="36">
        <f>T208-376563-3143</f>
        <v>34070024</v>
      </c>
      <c r="V208" s="27">
        <v>2601348801</v>
      </c>
      <c r="W208" s="58"/>
    </row>
    <row r="209" spans="1:23" s="26" customFormat="1" x14ac:dyDescent="0.2">
      <c r="A209" s="49" t="s">
        <v>643</v>
      </c>
      <c r="B209" s="49"/>
      <c r="C209" s="49"/>
      <c r="D209" s="50" t="s">
        <v>640</v>
      </c>
      <c r="E209" s="26" t="s">
        <v>606</v>
      </c>
      <c r="F209" s="49" t="s">
        <v>758</v>
      </c>
      <c r="G209" s="49" t="s">
        <v>751</v>
      </c>
      <c r="H209" s="49" t="s">
        <v>774</v>
      </c>
      <c r="I209" s="49" t="s">
        <v>773</v>
      </c>
      <c r="J209" s="49" t="s">
        <v>974</v>
      </c>
      <c r="K209" s="49" t="s">
        <v>928</v>
      </c>
      <c r="L209" s="49" t="s">
        <v>502</v>
      </c>
      <c r="M209" s="49" t="s">
        <v>743</v>
      </c>
      <c r="N209" s="49" t="s">
        <v>235</v>
      </c>
      <c r="O209" s="49" t="s">
        <v>232</v>
      </c>
      <c r="P209" s="49" t="s">
        <v>779</v>
      </c>
      <c r="Q209" s="49" t="s">
        <v>750</v>
      </c>
      <c r="R209" s="51">
        <v>1</v>
      </c>
      <c r="S209" s="55" t="s">
        <v>975</v>
      </c>
      <c r="T209" s="35">
        <v>31749229</v>
      </c>
      <c r="U209" s="33">
        <f>T209-406117-15548</f>
        <v>31327564</v>
      </c>
      <c r="V209" s="27">
        <v>2397728140</v>
      </c>
      <c r="W209" s="58">
        <f>12666585</f>
        <v>12666585</v>
      </c>
    </row>
    <row r="210" spans="1:23" s="26" customFormat="1" x14ac:dyDescent="0.2">
      <c r="A210" s="49"/>
      <c r="B210" s="49"/>
      <c r="C210" s="49"/>
      <c r="D210" s="50"/>
      <c r="E210" s="26" t="s">
        <v>607</v>
      </c>
      <c r="F210" s="49"/>
      <c r="G210" s="49"/>
      <c r="H210" s="49"/>
      <c r="I210" s="49"/>
      <c r="J210" s="49"/>
      <c r="K210" s="49"/>
      <c r="L210" s="49"/>
      <c r="M210" s="49"/>
      <c r="N210" s="49" t="s">
        <v>235</v>
      </c>
      <c r="O210" s="49" t="s">
        <v>232</v>
      </c>
      <c r="P210" s="49"/>
      <c r="Q210" s="49"/>
      <c r="R210" s="51"/>
      <c r="S210" s="49"/>
      <c r="T210" s="35">
        <v>31749229</v>
      </c>
      <c r="U210" s="33">
        <f>T210-406117-15548</f>
        <v>31327564</v>
      </c>
      <c r="V210" s="27">
        <v>2397634227</v>
      </c>
      <c r="W210" s="58"/>
    </row>
    <row r="211" spans="1:23" s="26" customFormat="1" x14ac:dyDescent="0.2">
      <c r="A211" s="49" t="s">
        <v>643</v>
      </c>
      <c r="B211" s="49"/>
      <c r="C211" s="49"/>
      <c r="D211" s="50" t="s">
        <v>640</v>
      </c>
      <c r="E211" s="26" t="s">
        <v>608</v>
      </c>
      <c r="F211" s="49" t="s">
        <v>758</v>
      </c>
      <c r="G211" s="49" t="s">
        <v>753</v>
      </c>
      <c r="H211" s="49" t="s">
        <v>776</v>
      </c>
      <c r="I211" s="49" t="s">
        <v>775</v>
      </c>
      <c r="J211" s="49" t="s">
        <v>974</v>
      </c>
      <c r="K211" s="49" t="s">
        <v>928</v>
      </c>
      <c r="L211" s="49" t="s">
        <v>502</v>
      </c>
      <c r="M211" s="49" t="s">
        <v>743</v>
      </c>
      <c r="N211" s="49" t="s">
        <v>235</v>
      </c>
      <c r="O211" s="49" t="s">
        <v>232</v>
      </c>
      <c r="P211" s="49" t="s">
        <v>779</v>
      </c>
      <c r="Q211" s="49" t="s">
        <v>752</v>
      </c>
      <c r="R211" s="51">
        <v>2</v>
      </c>
      <c r="S211" s="55" t="s">
        <v>975</v>
      </c>
      <c r="T211" s="35">
        <v>35489067</v>
      </c>
      <c r="U211" s="33">
        <f>T211-457685-2759</f>
        <v>35028623</v>
      </c>
      <c r="V211" s="27">
        <v>2679316649</v>
      </c>
      <c r="W211" s="58">
        <f>14331468</f>
        <v>14331468</v>
      </c>
    </row>
    <row r="212" spans="1:23" s="26" customFormat="1" x14ac:dyDescent="0.2">
      <c r="A212" s="49"/>
      <c r="B212" s="49"/>
      <c r="C212" s="49"/>
      <c r="D212" s="50"/>
      <c r="E212" s="26" t="s">
        <v>609</v>
      </c>
      <c r="F212" s="49"/>
      <c r="G212" s="49"/>
      <c r="H212" s="49"/>
      <c r="I212" s="49"/>
      <c r="J212" s="49"/>
      <c r="K212" s="49"/>
      <c r="L212" s="49"/>
      <c r="M212" s="49"/>
      <c r="N212" s="49" t="s">
        <v>235</v>
      </c>
      <c r="O212" s="49" t="s">
        <v>232</v>
      </c>
      <c r="P212" s="49"/>
      <c r="Q212" s="49"/>
      <c r="R212" s="51"/>
      <c r="S212" s="49"/>
      <c r="T212" s="35">
        <v>35489067</v>
      </c>
      <c r="U212" s="33">
        <f>T212-457685-2759</f>
        <v>35028623</v>
      </c>
      <c r="V212" s="27">
        <v>2653511769</v>
      </c>
      <c r="W212" s="58"/>
    </row>
    <row r="213" spans="1:23" s="26" customFormat="1" x14ac:dyDescent="0.2">
      <c r="A213" s="49" t="s">
        <v>643</v>
      </c>
      <c r="B213" s="49"/>
      <c r="C213" s="49"/>
      <c r="D213" s="50" t="s">
        <v>640</v>
      </c>
      <c r="E213" s="26" t="s">
        <v>610</v>
      </c>
      <c r="F213" s="49" t="s">
        <v>758</v>
      </c>
      <c r="G213" s="49" t="s">
        <v>755</v>
      </c>
      <c r="H213" s="49" t="s">
        <v>778</v>
      </c>
      <c r="I213" s="49" t="s">
        <v>777</v>
      </c>
      <c r="J213" s="49" t="s">
        <v>974</v>
      </c>
      <c r="K213" s="49" t="s">
        <v>928</v>
      </c>
      <c r="L213" s="49" t="s">
        <v>502</v>
      </c>
      <c r="M213" s="49" t="s">
        <v>743</v>
      </c>
      <c r="N213" s="49" t="s">
        <v>235</v>
      </c>
      <c r="O213" s="49" t="s">
        <v>232</v>
      </c>
      <c r="P213" s="49" t="s">
        <v>779</v>
      </c>
      <c r="Q213" s="49" t="s">
        <v>754</v>
      </c>
      <c r="R213" s="51">
        <v>3</v>
      </c>
      <c r="S213" s="55" t="s">
        <v>975</v>
      </c>
      <c r="T213" s="35">
        <v>31625949</v>
      </c>
      <c r="U213" s="33">
        <f>T213-325683-2464</f>
        <v>31297802</v>
      </c>
      <c r="V213" s="27">
        <v>2387830209</v>
      </c>
      <c r="W213" s="58">
        <f>12879196</f>
        <v>12879196</v>
      </c>
    </row>
    <row r="214" spans="1:23" s="26" customFormat="1" ht="16" customHeight="1" x14ac:dyDescent="0.2">
      <c r="A214" s="49"/>
      <c r="B214" s="49"/>
      <c r="C214" s="49"/>
      <c r="D214" s="50"/>
      <c r="E214" s="26" t="s">
        <v>611</v>
      </c>
      <c r="F214" s="49"/>
      <c r="G214" s="49"/>
      <c r="H214" s="49"/>
      <c r="I214" s="49"/>
      <c r="J214" s="49"/>
      <c r="K214" s="49"/>
      <c r="L214" s="49"/>
      <c r="M214" s="49"/>
      <c r="N214" s="49" t="s">
        <v>235</v>
      </c>
      <c r="O214" s="49" t="s">
        <v>232</v>
      </c>
      <c r="P214" s="49"/>
      <c r="Q214" s="49"/>
      <c r="R214" s="51"/>
      <c r="S214" s="49"/>
      <c r="T214" s="35">
        <v>31625949</v>
      </c>
      <c r="U214" s="33">
        <f>T214-325683-2464</f>
        <v>31297802</v>
      </c>
      <c r="V214" s="27">
        <v>2387562437</v>
      </c>
      <c r="W214" s="58"/>
    </row>
    <row r="215" spans="1:23" s="26" customFormat="1" x14ac:dyDescent="0.2">
      <c r="A215" s="49" t="s">
        <v>735</v>
      </c>
      <c r="B215" s="49"/>
      <c r="C215" s="49"/>
      <c r="D215" s="50" t="s">
        <v>640</v>
      </c>
      <c r="E215" s="26" t="s">
        <v>612</v>
      </c>
      <c r="F215" s="49" t="s">
        <v>767</v>
      </c>
      <c r="G215" s="49" t="s">
        <v>769</v>
      </c>
      <c r="H215" s="49" t="s">
        <v>740</v>
      </c>
      <c r="I215" s="49" t="s">
        <v>768</v>
      </c>
      <c r="J215" s="49" t="s">
        <v>974</v>
      </c>
      <c r="K215" s="49" t="s">
        <v>929</v>
      </c>
      <c r="L215" s="49" t="s">
        <v>734</v>
      </c>
      <c r="M215" s="49" t="s">
        <v>496</v>
      </c>
      <c r="N215" s="49" t="s">
        <v>233</v>
      </c>
      <c r="O215" s="49" t="s">
        <v>236</v>
      </c>
      <c r="P215" s="49" t="s">
        <v>772</v>
      </c>
      <c r="Q215" s="49" t="s">
        <v>739</v>
      </c>
      <c r="R215" s="51">
        <v>1</v>
      </c>
      <c r="S215" s="55" t="s">
        <v>975</v>
      </c>
      <c r="T215" s="35">
        <v>33478816</v>
      </c>
      <c r="U215" s="33">
        <f>T215-630423-2627</f>
        <v>32845766</v>
      </c>
      <c r="V215" s="27">
        <v>2526856083</v>
      </c>
      <c r="W215" s="58">
        <f>11482121</f>
        <v>11482121</v>
      </c>
    </row>
    <row r="216" spans="1:23" s="26" customFormat="1" x14ac:dyDescent="0.2">
      <c r="A216" s="49"/>
      <c r="B216" s="49"/>
      <c r="C216" s="49"/>
      <c r="D216" s="50"/>
      <c r="E216" s="26" t="s">
        <v>613</v>
      </c>
      <c r="F216" s="49"/>
      <c r="G216" s="49"/>
      <c r="H216" s="49"/>
      <c r="I216" s="49"/>
      <c r="J216" s="49"/>
      <c r="K216" s="49"/>
      <c r="L216" s="49"/>
      <c r="M216" s="49"/>
      <c r="N216" s="49" t="s">
        <v>233</v>
      </c>
      <c r="O216" s="49" t="s">
        <v>236</v>
      </c>
      <c r="P216" s="49"/>
      <c r="Q216" s="49"/>
      <c r="R216" s="51"/>
      <c r="S216" s="49"/>
      <c r="T216" s="35">
        <v>33478816</v>
      </c>
      <c r="U216" s="33">
        <f>T216-630423-2627</f>
        <v>32845766</v>
      </c>
      <c r="V216" s="27">
        <v>3341862721</v>
      </c>
      <c r="W216" s="58"/>
    </row>
    <row r="217" spans="1:23" s="26" customFormat="1" x14ac:dyDescent="0.2">
      <c r="A217" s="49" t="s">
        <v>735</v>
      </c>
      <c r="B217" s="49"/>
      <c r="C217" s="49"/>
      <c r="D217" s="50" t="s">
        <v>640</v>
      </c>
      <c r="E217" s="26" t="s">
        <v>614</v>
      </c>
      <c r="F217" s="49" t="s">
        <v>767</v>
      </c>
      <c r="G217" s="49" t="s">
        <v>770</v>
      </c>
      <c r="H217" s="49" t="s">
        <v>742</v>
      </c>
      <c r="I217" s="49" t="s">
        <v>771</v>
      </c>
      <c r="J217" s="49" t="s">
        <v>738</v>
      </c>
      <c r="K217" s="49" t="s">
        <v>929</v>
      </c>
      <c r="L217" s="49" t="s">
        <v>734</v>
      </c>
      <c r="M217" s="49" t="s">
        <v>496</v>
      </c>
      <c r="N217" s="49" t="s">
        <v>233</v>
      </c>
      <c r="O217" s="49" t="s">
        <v>236</v>
      </c>
      <c r="P217" s="49" t="s">
        <v>772</v>
      </c>
      <c r="Q217" s="49" t="s">
        <v>741</v>
      </c>
      <c r="R217" s="51">
        <v>2</v>
      </c>
      <c r="S217" s="55" t="s">
        <v>975</v>
      </c>
      <c r="T217" s="35">
        <v>32525015</v>
      </c>
      <c r="U217" s="33">
        <f>T217-685321-2675</f>
        <v>31837019</v>
      </c>
      <c r="V217" s="27">
        <v>2455298806</v>
      </c>
      <c r="W217" s="58">
        <f>10786806</f>
        <v>10786806</v>
      </c>
    </row>
    <row r="218" spans="1:23" s="26" customFormat="1" x14ac:dyDescent="0.2">
      <c r="A218" s="49"/>
      <c r="B218" s="49"/>
      <c r="C218" s="49"/>
      <c r="D218" s="50"/>
      <c r="E218" s="26" t="s">
        <v>615</v>
      </c>
      <c r="F218" s="49"/>
      <c r="G218" s="49"/>
      <c r="H218" s="49"/>
      <c r="I218" s="49"/>
      <c r="J218" s="49" t="s">
        <v>738</v>
      </c>
      <c r="K218" s="49"/>
      <c r="L218" s="49"/>
      <c r="M218" s="49"/>
      <c r="N218" s="49" t="s">
        <v>233</v>
      </c>
      <c r="O218" s="49" t="s">
        <v>236</v>
      </c>
      <c r="P218" s="49"/>
      <c r="Q218" s="49"/>
      <c r="R218" s="51"/>
      <c r="S218" s="49"/>
      <c r="T218" s="35">
        <v>32525015</v>
      </c>
      <c r="U218" s="33">
        <f>T218-685321-2675</f>
        <v>31837019</v>
      </c>
      <c r="V218" s="27">
        <v>3251986853</v>
      </c>
      <c r="W218" s="58"/>
    </row>
    <row r="219" spans="1:23" s="26" customFormat="1" x14ac:dyDescent="0.2">
      <c r="A219" s="49" t="s">
        <v>735</v>
      </c>
      <c r="B219" s="49"/>
      <c r="C219" s="49"/>
      <c r="D219" s="50" t="s">
        <v>640</v>
      </c>
      <c r="E219" s="26" t="s">
        <v>616</v>
      </c>
      <c r="F219" s="49" t="s">
        <v>767</v>
      </c>
      <c r="G219" s="49" t="s">
        <v>766</v>
      </c>
      <c r="H219" s="49" t="s">
        <v>737</v>
      </c>
      <c r="I219" s="49" t="s">
        <v>765</v>
      </c>
      <c r="J219" s="49" t="s">
        <v>738</v>
      </c>
      <c r="K219" s="49" t="s">
        <v>929</v>
      </c>
      <c r="L219" s="49" t="s">
        <v>734</v>
      </c>
      <c r="M219" s="49" t="s">
        <v>496</v>
      </c>
      <c r="N219" s="49" t="s">
        <v>233</v>
      </c>
      <c r="O219" s="49" t="s">
        <v>236</v>
      </c>
      <c r="P219" s="49" t="s">
        <v>772</v>
      </c>
      <c r="Q219" s="49" t="s">
        <v>736</v>
      </c>
      <c r="R219" s="51">
        <v>3</v>
      </c>
      <c r="S219" s="55" t="s">
        <v>975</v>
      </c>
      <c r="T219" s="35">
        <v>38297598</v>
      </c>
      <c r="U219" s="33">
        <f>T219-918414-3118</f>
        <v>37376066</v>
      </c>
      <c r="V219" s="27">
        <v>2888162126</v>
      </c>
      <c r="W219" s="58">
        <f>12708887</f>
        <v>12708887</v>
      </c>
    </row>
    <row r="220" spans="1:23" s="26" customFormat="1" x14ac:dyDescent="0.2">
      <c r="A220" s="49"/>
      <c r="B220" s="49"/>
      <c r="C220" s="49"/>
      <c r="D220" s="50"/>
      <c r="E220" s="26" t="s">
        <v>617</v>
      </c>
      <c r="F220" s="49"/>
      <c r="G220" s="49"/>
      <c r="H220" s="49"/>
      <c r="I220" s="49"/>
      <c r="J220" s="49"/>
      <c r="K220" s="49"/>
      <c r="L220" s="49"/>
      <c r="M220" s="49"/>
      <c r="N220" s="49" t="s">
        <v>233</v>
      </c>
      <c r="O220" s="49" t="s">
        <v>236</v>
      </c>
      <c r="P220" s="49"/>
      <c r="Q220" s="49"/>
      <c r="R220" s="51"/>
      <c r="S220" s="49"/>
      <c r="T220" s="35">
        <v>38297598</v>
      </c>
      <c r="U220" s="33">
        <f>T220-918414-3118</f>
        <v>37376066</v>
      </c>
      <c r="V220" s="27">
        <v>3819829656</v>
      </c>
      <c r="W220" s="58"/>
    </row>
    <row r="221" spans="1:23" s="26" customFormat="1" x14ac:dyDescent="0.2">
      <c r="A221" s="49" t="s">
        <v>643</v>
      </c>
      <c r="B221" s="49"/>
      <c r="C221" s="49"/>
      <c r="D221" s="50" t="s">
        <v>450</v>
      </c>
      <c r="E221" s="26" t="s">
        <v>618</v>
      </c>
      <c r="F221" s="49" t="s">
        <v>262</v>
      </c>
      <c r="G221" s="49" t="s">
        <v>453</v>
      </c>
      <c r="H221" s="49" t="s">
        <v>454</v>
      </c>
      <c r="I221" s="49" t="s">
        <v>455</v>
      </c>
      <c r="J221" s="49" t="s">
        <v>971</v>
      </c>
      <c r="K221" s="49" t="s">
        <v>919</v>
      </c>
      <c r="L221" s="49" t="s">
        <v>451</v>
      </c>
      <c r="M221" s="49" t="s">
        <v>953</v>
      </c>
      <c r="N221" s="49" t="s">
        <v>235</v>
      </c>
      <c r="O221" s="49" t="s">
        <v>231</v>
      </c>
      <c r="P221" s="49" t="s">
        <v>336</v>
      </c>
      <c r="Q221" s="49" t="s">
        <v>452</v>
      </c>
      <c r="R221" s="51">
        <v>1</v>
      </c>
      <c r="S221" s="55" t="s">
        <v>975</v>
      </c>
      <c r="T221" s="35">
        <v>60311267</v>
      </c>
      <c r="U221" s="33">
        <f>T221-1319169</f>
        <v>58992098</v>
      </c>
      <c r="V221" s="27">
        <v>8937291631</v>
      </c>
      <c r="W221" s="58">
        <f>17489194</f>
        <v>17489194</v>
      </c>
    </row>
    <row r="222" spans="1:23" s="26" customFormat="1" x14ac:dyDescent="0.2">
      <c r="A222" s="49"/>
      <c r="B222" s="49"/>
      <c r="C222" s="49"/>
      <c r="D222" s="50"/>
      <c r="E222" s="26" t="s">
        <v>619</v>
      </c>
      <c r="F222" s="49" t="s">
        <v>262</v>
      </c>
      <c r="G222" s="49"/>
      <c r="H222" s="49"/>
      <c r="I222" s="49"/>
      <c r="J222" s="49"/>
      <c r="K222" s="49"/>
      <c r="L222" s="49" t="s">
        <v>451</v>
      </c>
      <c r="M222" s="49"/>
      <c r="N222" s="49" t="s">
        <v>235</v>
      </c>
      <c r="O222" s="49" t="s">
        <v>231</v>
      </c>
      <c r="P222" s="49" t="s">
        <v>336</v>
      </c>
      <c r="Q222" s="49"/>
      <c r="R222" s="51"/>
      <c r="S222" s="49"/>
      <c r="T222" s="35">
        <v>60311267</v>
      </c>
      <c r="U222" s="33">
        <f>T222-1319169</f>
        <v>58992098</v>
      </c>
      <c r="V222" s="27">
        <v>8903487227</v>
      </c>
      <c r="W222" s="58"/>
    </row>
    <row r="223" spans="1:23" s="26" customFormat="1" x14ac:dyDescent="0.2">
      <c r="A223" s="49" t="s">
        <v>643</v>
      </c>
      <c r="B223" s="49"/>
      <c r="C223" s="49"/>
      <c r="D223" s="50" t="s">
        <v>450</v>
      </c>
      <c r="E223" s="26" t="s">
        <v>620</v>
      </c>
      <c r="F223" s="49" t="s">
        <v>262</v>
      </c>
      <c r="G223" s="49" t="s">
        <v>457</v>
      </c>
      <c r="H223" s="49" t="s">
        <v>458</v>
      </c>
      <c r="I223" s="49" t="s">
        <v>459</v>
      </c>
      <c r="J223" s="49" t="s">
        <v>971</v>
      </c>
      <c r="K223" s="49" t="s">
        <v>919</v>
      </c>
      <c r="L223" s="49" t="s">
        <v>451</v>
      </c>
      <c r="M223" s="49" t="s">
        <v>953</v>
      </c>
      <c r="N223" s="49" t="s">
        <v>235</v>
      </c>
      <c r="O223" s="49" t="s">
        <v>231</v>
      </c>
      <c r="P223" s="49" t="s">
        <v>336</v>
      </c>
      <c r="Q223" s="49" t="s">
        <v>456</v>
      </c>
      <c r="R223" s="51">
        <v>2</v>
      </c>
      <c r="S223" s="55" t="s">
        <v>975</v>
      </c>
      <c r="T223" s="35">
        <v>52136784</v>
      </c>
      <c r="U223" s="33">
        <f>T223-1118485</f>
        <v>51018299</v>
      </c>
      <c r="V223" s="27">
        <v>7756206290</v>
      </c>
      <c r="W223" s="58">
        <f>14269995</f>
        <v>14269995</v>
      </c>
    </row>
    <row r="224" spans="1:23" s="26" customFormat="1" x14ac:dyDescent="0.2">
      <c r="A224" s="49"/>
      <c r="B224" s="49"/>
      <c r="C224" s="49"/>
      <c r="D224" s="50"/>
      <c r="E224" s="26" t="s">
        <v>621</v>
      </c>
      <c r="F224" s="49" t="s">
        <v>262</v>
      </c>
      <c r="G224" s="49"/>
      <c r="H224" s="49"/>
      <c r="I224" s="49"/>
      <c r="J224" s="49"/>
      <c r="K224" s="49"/>
      <c r="L224" s="49" t="s">
        <v>451</v>
      </c>
      <c r="M224" s="49"/>
      <c r="N224" s="49" t="s">
        <v>235</v>
      </c>
      <c r="O224" s="49" t="s">
        <v>231</v>
      </c>
      <c r="P224" s="49" t="s">
        <v>336</v>
      </c>
      <c r="Q224" s="49"/>
      <c r="R224" s="51"/>
      <c r="S224" s="49"/>
      <c r="T224" s="35">
        <v>52136784</v>
      </c>
      <c r="U224" s="33">
        <f>T224-1118485</f>
        <v>51018299</v>
      </c>
      <c r="V224" s="27">
        <v>7728051380</v>
      </c>
      <c r="W224" s="58"/>
    </row>
    <row r="225" spans="1:23" s="26" customFormat="1" x14ac:dyDescent="0.2">
      <c r="A225" s="49" t="s">
        <v>643</v>
      </c>
      <c r="B225" s="49"/>
      <c r="C225" s="49"/>
      <c r="D225" s="50" t="s">
        <v>450</v>
      </c>
      <c r="E225" s="26" t="s">
        <v>622</v>
      </c>
      <c r="F225" s="49" t="s">
        <v>262</v>
      </c>
      <c r="G225" s="49" t="s">
        <v>461</v>
      </c>
      <c r="H225" s="49" t="s">
        <v>462</v>
      </c>
      <c r="I225" s="49" t="s">
        <v>463</v>
      </c>
      <c r="J225" s="49" t="s">
        <v>971</v>
      </c>
      <c r="K225" s="49" t="s">
        <v>919</v>
      </c>
      <c r="L225" s="49" t="s">
        <v>451</v>
      </c>
      <c r="M225" s="49" t="s">
        <v>953</v>
      </c>
      <c r="N225" s="49" t="s">
        <v>235</v>
      </c>
      <c r="O225" s="49" t="s">
        <v>231</v>
      </c>
      <c r="P225" s="49" t="s">
        <v>336</v>
      </c>
      <c r="Q225" s="49" t="s">
        <v>460</v>
      </c>
      <c r="R225" s="51">
        <v>3</v>
      </c>
      <c r="S225" s="55" t="s">
        <v>975</v>
      </c>
      <c r="T225" s="35">
        <v>68965487</v>
      </c>
      <c r="U225" s="36">
        <f>T225-1609505</f>
        <v>67355982</v>
      </c>
      <c r="V225" s="27">
        <v>10243694414</v>
      </c>
      <c r="W225" s="58">
        <f>20111733</f>
        <v>20111733</v>
      </c>
    </row>
    <row r="226" spans="1:23" s="26" customFormat="1" x14ac:dyDescent="0.2">
      <c r="A226" s="49"/>
      <c r="B226" s="49"/>
      <c r="C226" s="49"/>
      <c r="D226" s="50"/>
      <c r="E226" s="26" t="s">
        <v>623</v>
      </c>
      <c r="F226" s="49" t="s">
        <v>262</v>
      </c>
      <c r="G226" s="49"/>
      <c r="H226" s="49"/>
      <c r="I226" s="49"/>
      <c r="J226" s="49"/>
      <c r="K226" s="49"/>
      <c r="L226" s="49" t="s">
        <v>451</v>
      </c>
      <c r="M226" s="49"/>
      <c r="N226" s="49" t="s">
        <v>235</v>
      </c>
      <c r="O226" s="49" t="s">
        <v>231</v>
      </c>
      <c r="P226" s="49" t="s">
        <v>336</v>
      </c>
      <c r="Q226" s="49"/>
      <c r="R226" s="51"/>
      <c r="S226" s="49"/>
      <c r="T226" s="35">
        <v>68965487</v>
      </c>
      <c r="U226" s="36">
        <f>T226-1609505</f>
        <v>67355982</v>
      </c>
      <c r="V226" s="27">
        <v>10201497992</v>
      </c>
      <c r="W226" s="58"/>
    </row>
    <row r="227" spans="1:23" s="26" customFormat="1" x14ac:dyDescent="0.2">
      <c r="A227" s="49" t="s">
        <v>643</v>
      </c>
      <c r="B227" s="49"/>
      <c r="C227" s="49"/>
      <c r="D227" s="50" t="s">
        <v>450</v>
      </c>
      <c r="E227" s="26" t="s">
        <v>624</v>
      </c>
      <c r="F227" s="49" t="s">
        <v>262</v>
      </c>
      <c r="G227" s="49" t="s">
        <v>781</v>
      </c>
      <c r="H227" s="49" t="s">
        <v>780</v>
      </c>
      <c r="I227" s="49" t="s">
        <v>756</v>
      </c>
      <c r="J227" s="49" t="s">
        <v>969</v>
      </c>
      <c r="K227" s="49" t="s">
        <v>916</v>
      </c>
      <c r="L227" s="49" t="s">
        <v>451</v>
      </c>
      <c r="M227" s="49" t="s">
        <v>953</v>
      </c>
      <c r="N227" s="49" t="s">
        <v>235</v>
      </c>
      <c r="O227" s="49" t="s">
        <v>231</v>
      </c>
      <c r="P227" s="49" t="s">
        <v>336</v>
      </c>
      <c r="Q227" s="49" t="s">
        <v>641</v>
      </c>
      <c r="R227" s="51">
        <v>4</v>
      </c>
      <c r="S227" s="55" t="s">
        <v>975</v>
      </c>
      <c r="T227" s="35">
        <v>72873778</v>
      </c>
      <c r="U227" s="33">
        <f>T227-452857</f>
        <v>72420921</v>
      </c>
      <c r="V227" s="27">
        <v>10643130818</v>
      </c>
      <c r="W227" s="58">
        <f>20517712</f>
        <v>20517712</v>
      </c>
    </row>
    <row r="228" spans="1:23" s="26" customFormat="1" x14ac:dyDescent="0.2">
      <c r="A228" s="49"/>
      <c r="B228" s="49"/>
      <c r="C228" s="49"/>
      <c r="D228" s="50"/>
      <c r="E228" s="26" t="s">
        <v>625</v>
      </c>
      <c r="F228" s="49" t="s">
        <v>262</v>
      </c>
      <c r="G228" s="49"/>
      <c r="H228" s="49"/>
      <c r="I228" s="49"/>
      <c r="J228" s="49" t="s">
        <v>210</v>
      </c>
      <c r="K228" s="49"/>
      <c r="L228" s="49" t="s">
        <v>451</v>
      </c>
      <c r="M228" s="49"/>
      <c r="N228" s="49" t="s">
        <v>235</v>
      </c>
      <c r="O228" s="49" t="s">
        <v>231</v>
      </c>
      <c r="P228" s="49" t="s">
        <v>336</v>
      </c>
      <c r="Q228" s="49"/>
      <c r="R228" s="51"/>
      <c r="S228" s="49"/>
      <c r="T228" s="35">
        <v>72873778</v>
      </c>
      <c r="U228" s="33">
        <f>T228-452857</f>
        <v>72420921</v>
      </c>
      <c r="V228" s="27">
        <v>10622856901</v>
      </c>
      <c r="W228" s="58"/>
    </row>
    <row r="229" spans="1:23" s="26" customFormat="1" x14ac:dyDescent="0.2">
      <c r="A229" s="49" t="s">
        <v>643</v>
      </c>
      <c r="B229" s="49"/>
      <c r="C229" s="49"/>
      <c r="D229" s="50" t="s">
        <v>450</v>
      </c>
      <c r="E229" s="26" t="s">
        <v>626</v>
      </c>
      <c r="F229" s="49" t="s">
        <v>262</v>
      </c>
      <c r="G229" s="49" t="s">
        <v>479</v>
      </c>
      <c r="H229" s="49" t="s">
        <v>480</v>
      </c>
      <c r="I229" s="49" t="s">
        <v>481</v>
      </c>
      <c r="J229" s="49" t="s">
        <v>969</v>
      </c>
      <c r="K229" s="49" t="s">
        <v>916</v>
      </c>
      <c r="L229" s="49" t="s">
        <v>451</v>
      </c>
      <c r="M229" s="49" t="s">
        <v>953</v>
      </c>
      <c r="N229" s="49" t="s">
        <v>235</v>
      </c>
      <c r="O229" s="49" t="s">
        <v>232</v>
      </c>
      <c r="P229" s="49" t="s">
        <v>337</v>
      </c>
      <c r="Q229" s="49" t="s">
        <v>478</v>
      </c>
      <c r="R229" s="51">
        <v>1</v>
      </c>
      <c r="S229" s="55" t="s">
        <v>975</v>
      </c>
      <c r="T229" s="35">
        <v>57013089</v>
      </c>
      <c r="U229" s="33">
        <f>T229-1412800</f>
        <v>55600289</v>
      </c>
      <c r="V229" s="27">
        <v>8446333566</v>
      </c>
      <c r="W229" s="58">
        <f>16025586</f>
        <v>16025586</v>
      </c>
    </row>
    <row r="230" spans="1:23" s="26" customFormat="1" x14ac:dyDescent="0.2">
      <c r="A230" s="49"/>
      <c r="B230" s="49"/>
      <c r="C230" s="49"/>
      <c r="D230" s="50"/>
      <c r="E230" s="26" t="s">
        <v>627</v>
      </c>
      <c r="F230" s="49" t="s">
        <v>262</v>
      </c>
      <c r="G230" s="49"/>
      <c r="H230" s="49"/>
      <c r="I230" s="49"/>
      <c r="J230" s="49" t="s">
        <v>210</v>
      </c>
      <c r="K230" s="49"/>
      <c r="L230" s="49" t="s">
        <v>477</v>
      </c>
      <c r="M230" s="49"/>
      <c r="N230" s="49" t="s">
        <v>235</v>
      </c>
      <c r="O230" s="49" t="s">
        <v>232</v>
      </c>
      <c r="P230" s="49"/>
      <c r="Q230" s="49"/>
      <c r="R230" s="51"/>
      <c r="S230" s="49"/>
      <c r="T230" s="35">
        <v>57013089</v>
      </c>
      <c r="U230" s="33">
        <f>T230-1412800</f>
        <v>55600289</v>
      </c>
      <c r="V230" s="27">
        <v>8414815442</v>
      </c>
      <c r="W230" s="58"/>
    </row>
    <row r="231" spans="1:23" s="26" customFormat="1" x14ac:dyDescent="0.2">
      <c r="A231" s="49" t="s">
        <v>643</v>
      </c>
      <c r="B231" s="49"/>
      <c r="C231" s="49"/>
      <c r="D231" s="50" t="s">
        <v>450</v>
      </c>
      <c r="E231" s="26" t="s">
        <v>628</v>
      </c>
      <c r="F231" s="49" t="s">
        <v>262</v>
      </c>
      <c r="G231" s="49" t="s">
        <v>483</v>
      </c>
      <c r="H231" s="49" t="s">
        <v>484</v>
      </c>
      <c r="I231" s="49" t="s">
        <v>485</v>
      </c>
      <c r="J231" s="49" t="s">
        <v>969</v>
      </c>
      <c r="K231" s="49" t="s">
        <v>916</v>
      </c>
      <c r="L231" s="49" t="s">
        <v>451</v>
      </c>
      <c r="M231" s="49" t="s">
        <v>953</v>
      </c>
      <c r="N231" s="49" t="s">
        <v>235</v>
      </c>
      <c r="O231" s="49" t="s">
        <v>232</v>
      </c>
      <c r="P231" s="49" t="s">
        <v>337</v>
      </c>
      <c r="Q231" s="49" t="s">
        <v>482</v>
      </c>
      <c r="R231" s="51">
        <v>2</v>
      </c>
      <c r="S231" s="55" t="s">
        <v>975</v>
      </c>
      <c r="T231" s="35">
        <v>48581679</v>
      </c>
      <c r="U231" s="33">
        <f>T231-1118680</f>
        <v>47462999</v>
      </c>
      <c r="V231" s="27">
        <v>7198099758</v>
      </c>
      <c r="W231" s="58">
        <f>13587525</f>
        <v>13587525</v>
      </c>
    </row>
    <row r="232" spans="1:23" s="26" customFormat="1" x14ac:dyDescent="0.2">
      <c r="A232" s="49"/>
      <c r="B232" s="49"/>
      <c r="C232" s="49"/>
      <c r="D232" s="50"/>
      <c r="E232" s="26" t="s">
        <v>629</v>
      </c>
      <c r="F232" s="49" t="s">
        <v>262</v>
      </c>
      <c r="G232" s="49"/>
      <c r="H232" s="49"/>
      <c r="I232" s="49"/>
      <c r="J232" s="49" t="s">
        <v>210</v>
      </c>
      <c r="K232" s="49"/>
      <c r="L232" s="49" t="s">
        <v>477</v>
      </c>
      <c r="M232" s="49"/>
      <c r="N232" s="49" t="s">
        <v>235</v>
      </c>
      <c r="O232" s="49" t="s">
        <v>232</v>
      </c>
      <c r="P232" s="49"/>
      <c r="Q232" s="49"/>
      <c r="R232" s="51"/>
      <c r="S232" s="49"/>
      <c r="T232" s="35">
        <v>48581679</v>
      </c>
      <c r="U232" s="33">
        <f>T232-1118680</f>
        <v>47462999</v>
      </c>
      <c r="V232" s="27">
        <v>7169912052</v>
      </c>
      <c r="W232" s="58"/>
    </row>
    <row r="233" spans="1:23" s="26" customFormat="1" x14ac:dyDescent="0.2">
      <c r="A233" s="49" t="s">
        <v>643</v>
      </c>
      <c r="B233" s="49"/>
      <c r="C233" s="49"/>
      <c r="D233" s="50" t="s">
        <v>450</v>
      </c>
      <c r="E233" s="26" t="s">
        <v>630</v>
      </c>
      <c r="F233" s="49" t="s">
        <v>262</v>
      </c>
      <c r="G233" s="49" t="s">
        <v>487</v>
      </c>
      <c r="H233" s="49" t="s">
        <v>488</v>
      </c>
      <c r="I233" s="49" t="s">
        <v>489</v>
      </c>
      <c r="J233" s="49" t="s">
        <v>969</v>
      </c>
      <c r="K233" s="49" t="s">
        <v>916</v>
      </c>
      <c r="L233" s="49" t="s">
        <v>451</v>
      </c>
      <c r="M233" s="49" t="s">
        <v>953</v>
      </c>
      <c r="N233" s="49" t="s">
        <v>235</v>
      </c>
      <c r="O233" s="49" t="s">
        <v>232</v>
      </c>
      <c r="P233" s="49" t="s">
        <v>337</v>
      </c>
      <c r="Q233" s="49" t="s">
        <v>486</v>
      </c>
      <c r="R233" s="51">
        <v>3</v>
      </c>
      <c r="S233" s="55" t="s">
        <v>975</v>
      </c>
      <c r="T233" s="35">
        <v>52191664</v>
      </c>
      <c r="U233" s="33">
        <f>T233-1162279</f>
        <v>51029385</v>
      </c>
      <c r="V233" s="27">
        <v>7733644273</v>
      </c>
      <c r="W233" s="58">
        <f>14131443</f>
        <v>14131443</v>
      </c>
    </row>
    <row r="234" spans="1:23" s="26" customFormat="1" x14ac:dyDescent="0.2">
      <c r="A234" s="49"/>
      <c r="B234" s="49"/>
      <c r="C234" s="49"/>
      <c r="D234" s="50"/>
      <c r="E234" s="26" t="s">
        <v>631</v>
      </c>
      <c r="F234" s="49" t="s">
        <v>262</v>
      </c>
      <c r="G234" s="49"/>
      <c r="H234" s="49"/>
      <c r="I234" s="49"/>
      <c r="J234" s="49" t="s">
        <v>210</v>
      </c>
      <c r="K234" s="49"/>
      <c r="L234" s="49" t="s">
        <v>477</v>
      </c>
      <c r="M234" s="49"/>
      <c r="N234" s="49" t="s">
        <v>235</v>
      </c>
      <c r="O234" s="49" t="s">
        <v>232</v>
      </c>
      <c r="P234" s="49"/>
      <c r="Q234" s="49"/>
      <c r="R234" s="51"/>
      <c r="S234" s="49"/>
      <c r="T234" s="35">
        <v>52191664</v>
      </c>
      <c r="U234" s="33">
        <f>T234-1162279</f>
        <v>51029385</v>
      </c>
      <c r="V234" s="27">
        <v>7409919690</v>
      </c>
      <c r="W234" s="58"/>
    </row>
    <row r="235" spans="1:23" s="26" customFormat="1" x14ac:dyDescent="0.2">
      <c r="A235" s="51" t="s">
        <v>735</v>
      </c>
      <c r="B235" s="49"/>
      <c r="C235" s="49"/>
      <c r="D235" s="50" t="s">
        <v>450</v>
      </c>
      <c r="E235" s="26" t="s">
        <v>632</v>
      </c>
      <c r="F235" s="49" t="s">
        <v>262</v>
      </c>
      <c r="G235" s="49" t="s">
        <v>466</v>
      </c>
      <c r="H235" s="49" t="s">
        <v>467</v>
      </c>
      <c r="I235" s="49" t="s">
        <v>468</v>
      </c>
      <c r="J235" s="49" t="s">
        <v>969</v>
      </c>
      <c r="K235" s="49" t="s">
        <v>916</v>
      </c>
      <c r="L235" s="49" t="s">
        <v>464</v>
      </c>
      <c r="M235" s="49" t="s">
        <v>953</v>
      </c>
      <c r="N235" s="49" t="s">
        <v>233</v>
      </c>
      <c r="O235" s="49" t="s">
        <v>236</v>
      </c>
      <c r="P235" s="49" t="s">
        <v>335</v>
      </c>
      <c r="Q235" s="49" t="s">
        <v>465</v>
      </c>
      <c r="R235" s="51">
        <v>1</v>
      </c>
      <c r="S235" s="55" t="s">
        <v>975</v>
      </c>
      <c r="T235" s="35">
        <v>63411422</v>
      </c>
      <c r="U235" s="33">
        <f>T235-2168806</f>
        <v>61242616</v>
      </c>
      <c r="V235" s="27">
        <v>9426718078</v>
      </c>
      <c r="W235" s="58">
        <f>17343010</f>
        <v>17343010</v>
      </c>
    </row>
    <row r="236" spans="1:23" s="26" customFormat="1" x14ac:dyDescent="0.2">
      <c r="A236" s="51"/>
      <c r="B236" s="49"/>
      <c r="C236" s="49"/>
      <c r="D236" s="50"/>
      <c r="E236" s="26" t="s">
        <v>633</v>
      </c>
      <c r="F236" s="49" t="s">
        <v>262</v>
      </c>
      <c r="G236" s="49"/>
      <c r="H236" s="49"/>
      <c r="I236" s="49"/>
      <c r="J236" s="49" t="s">
        <v>210</v>
      </c>
      <c r="K236" s="49"/>
      <c r="L236" s="49"/>
      <c r="M236" s="49"/>
      <c r="N236" s="49" t="s">
        <v>233</v>
      </c>
      <c r="O236" s="49" t="s">
        <v>236</v>
      </c>
      <c r="P236" s="49"/>
      <c r="Q236" s="49"/>
      <c r="R236" s="51"/>
      <c r="S236" s="49"/>
      <c r="T236" s="35">
        <v>63411422</v>
      </c>
      <c r="U236" s="33">
        <f>T236-2168806</f>
        <v>61242616</v>
      </c>
      <c r="V236" s="27">
        <v>9391934883</v>
      </c>
      <c r="W236" s="58"/>
    </row>
    <row r="237" spans="1:23" s="26" customFormat="1" x14ac:dyDescent="0.2">
      <c r="A237" s="51" t="s">
        <v>735</v>
      </c>
      <c r="B237" s="49"/>
      <c r="C237" s="49"/>
      <c r="D237" s="50" t="s">
        <v>450</v>
      </c>
      <c r="E237" s="26" t="s">
        <v>634</v>
      </c>
      <c r="F237" s="49" t="s">
        <v>262</v>
      </c>
      <c r="G237" s="49" t="s">
        <v>470</v>
      </c>
      <c r="H237" s="49" t="s">
        <v>471</v>
      </c>
      <c r="I237" s="49" t="s">
        <v>472</v>
      </c>
      <c r="J237" s="49" t="s">
        <v>969</v>
      </c>
      <c r="K237" s="49" t="s">
        <v>916</v>
      </c>
      <c r="L237" s="49" t="s">
        <v>464</v>
      </c>
      <c r="M237" s="49" t="s">
        <v>953</v>
      </c>
      <c r="N237" s="49" t="s">
        <v>233</v>
      </c>
      <c r="O237" s="49" t="s">
        <v>236</v>
      </c>
      <c r="P237" s="49" t="s">
        <v>335</v>
      </c>
      <c r="Q237" s="49" t="s">
        <v>469</v>
      </c>
      <c r="R237" s="51">
        <v>2</v>
      </c>
      <c r="S237" s="55" t="s">
        <v>975</v>
      </c>
      <c r="T237" s="35">
        <v>66548074</v>
      </c>
      <c r="U237" s="33">
        <f>T237-2107153</f>
        <v>64440921</v>
      </c>
      <c r="V237" s="27">
        <v>9874096684</v>
      </c>
      <c r="W237" s="58">
        <f>17744931</f>
        <v>17744931</v>
      </c>
    </row>
    <row r="238" spans="1:23" s="26" customFormat="1" x14ac:dyDescent="0.2">
      <c r="A238" s="51"/>
      <c r="B238" s="49"/>
      <c r="C238" s="49"/>
      <c r="D238" s="50"/>
      <c r="E238" s="26" t="s">
        <v>635</v>
      </c>
      <c r="F238" s="49" t="s">
        <v>262</v>
      </c>
      <c r="G238" s="49"/>
      <c r="H238" s="49"/>
      <c r="I238" s="49"/>
      <c r="J238" s="49" t="s">
        <v>210</v>
      </c>
      <c r="K238" s="49"/>
      <c r="L238" s="49"/>
      <c r="M238" s="49"/>
      <c r="N238" s="49" t="s">
        <v>233</v>
      </c>
      <c r="O238" s="49" t="s">
        <v>236</v>
      </c>
      <c r="P238" s="49"/>
      <c r="Q238" s="49"/>
      <c r="R238" s="51"/>
      <c r="S238" s="49"/>
      <c r="T238" s="35">
        <v>66548074</v>
      </c>
      <c r="U238" s="33">
        <f>T238-2107153</f>
        <v>64440921</v>
      </c>
      <c r="V238" s="27">
        <v>9277523022</v>
      </c>
      <c r="W238" s="58"/>
    </row>
    <row r="239" spans="1:23" s="26" customFormat="1" x14ac:dyDescent="0.2">
      <c r="A239" s="51" t="s">
        <v>735</v>
      </c>
      <c r="B239" s="49"/>
      <c r="C239" s="49"/>
      <c r="D239" s="50" t="s">
        <v>450</v>
      </c>
      <c r="E239" s="26" t="s">
        <v>636</v>
      </c>
      <c r="F239" s="49" t="s">
        <v>262</v>
      </c>
      <c r="G239" s="49" t="s">
        <v>474</v>
      </c>
      <c r="H239" s="49" t="s">
        <v>475</v>
      </c>
      <c r="I239" s="49" t="s">
        <v>476</v>
      </c>
      <c r="J239" s="49" t="s">
        <v>969</v>
      </c>
      <c r="K239" s="49" t="s">
        <v>916</v>
      </c>
      <c r="L239" s="49" t="s">
        <v>464</v>
      </c>
      <c r="M239" s="49" t="s">
        <v>953</v>
      </c>
      <c r="N239" s="49" t="s">
        <v>233</v>
      </c>
      <c r="O239" s="49" t="s">
        <v>236</v>
      </c>
      <c r="P239" s="49" t="s">
        <v>335</v>
      </c>
      <c r="Q239" s="49" t="s">
        <v>473</v>
      </c>
      <c r="R239" s="51">
        <v>3</v>
      </c>
      <c r="S239" s="55" t="s">
        <v>975</v>
      </c>
      <c r="T239" s="35">
        <v>52383975</v>
      </c>
      <c r="U239" s="31">
        <f>T239-1649923</f>
        <v>50734052</v>
      </c>
      <c r="V239" s="27">
        <v>7764460454</v>
      </c>
      <c r="W239" s="58">
        <f>13483410</f>
        <v>13483410</v>
      </c>
    </row>
    <row r="240" spans="1:23" s="26" customFormat="1" x14ac:dyDescent="0.2">
      <c r="A240" s="51"/>
      <c r="B240" s="49"/>
      <c r="C240" s="49"/>
      <c r="D240" s="50"/>
      <c r="E240" s="26" t="s">
        <v>637</v>
      </c>
      <c r="F240" s="49" t="s">
        <v>262</v>
      </c>
      <c r="G240" s="49"/>
      <c r="H240" s="49"/>
      <c r="I240" s="49"/>
      <c r="J240" s="49" t="s">
        <v>210</v>
      </c>
      <c r="K240" s="49"/>
      <c r="L240" s="49"/>
      <c r="M240" s="49"/>
      <c r="N240" s="49" t="s">
        <v>233</v>
      </c>
      <c r="O240" s="49" t="s">
        <v>236</v>
      </c>
      <c r="P240" s="49"/>
      <c r="Q240" s="49"/>
      <c r="R240" s="51"/>
      <c r="S240" s="49"/>
      <c r="T240" s="35">
        <v>52383975</v>
      </c>
      <c r="U240" s="31">
        <f>T240-1649923</f>
        <v>50734052</v>
      </c>
      <c r="V240" s="27">
        <v>7734465411</v>
      </c>
      <c r="W240" s="58"/>
    </row>
  </sheetData>
  <mergeCells count="1885">
    <mergeCell ref="A9:A10"/>
    <mergeCell ref="A25:A26"/>
    <mergeCell ref="A31:A32"/>
    <mergeCell ref="A29:A30"/>
    <mergeCell ref="A27:A28"/>
    <mergeCell ref="A33:A34"/>
    <mergeCell ref="A35:A36"/>
    <mergeCell ref="A37:A38"/>
    <mergeCell ref="A39:A40"/>
    <mergeCell ref="A41:A42"/>
    <mergeCell ref="A43:A44"/>
    <mergeCell ref="A45:A46"/>
    <mergeCell ref="A65:A66"/>
    <mergeCell ref="A61:A62"/>
    <mergeCell ref="A73:A74"/>
    <mergeCell ref="A69:A70"/>
    <mergeCell ref="A7:A8"/>
    <mergeCell ref="A97:A98"/>
    <mergeCell ref="A99:A100"/>
    <mergeCell ref="A101:A102"/>
    <mergeCell ref="D97:D98"/>
    <mergeCell ref="D99:D100"/>
    <mergeCell ref="D101:D102"/>
    <mergeCell ref="D87:D88"/>
    <mergeCell ref="D89:D90"/>
    <mergeCell ref="D91:D92"/>
    <mergeCell ref="D77:D78"/>
    <mergeCell ref="D79:D80"/>
    <mergeCell ref="D81:D82"/>
    <mergeCell ref="D85:D86"/>
    <mergeCell ref="B77:B78"/>
    <mergeCell ref="B79:B80"/>
    <mergeCell ref="B81:B82"/>
    <mergeCell ref="A77:A78"/>
    <mergeCell ref="A79:A80"/>
    <mergeCell ref="A81:A82"/>
    <mergeCell ref="A87:A88"/>
    <mergeCell ref="B87:B88"/>
    <mergeCell ref="A89:A90"/>
    <mergeCell ref="B89:B90"/>
    <mergeCell ref="A91:A92"/>
    <mergeCell ref="B91:B92"/>
    <mergeCell ref="B97:B98"/>
    <mergeCell ref="W239:W240"/>
    <mergeCell ref="R237:R238"/>
    <mergeCell ref="S237:S238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89:D190"/>
    <mergeCell ref="D191:D192"/>
    <mergeCell ref="N229:N230"/>
    <mergeCell ref="O229:O230"/>
    <mergeCell ref="Q229:Q230"/>
    <mergeCell ref="F237:F238"/>
    <mergeCell ref="G237:G238"/>
    <mergeCell ref="H237:H238"/>
    <mergeCell ref="I237:I238"/>
    <mergeCell ref="F239:F240"/>
    <mergeCell ref="G239:G240"/>
    <mergeCell ref="H239:H240"/>
    <mergeCell ref="I239:I240"/>
    <mergeCell ref="L239:L240"/>
    <mergeCell ref="N239:N240"/>
    <mergeCell ref="O239:O240"/>
    <mergeCell ref="Q239:Q240"/>
    <mergeCell ref="R239:R240"/>
    <mergeCell ref="S239:S240"/>
    <mergeCell ref="L237:L238"/>
    <mergeCell ref="N237:N238"/>
    <mergeCell ref="O237:O238"/>
    <mergeCell ref="Q237:Q238"/>
    <mergeCell ref="J237:J238"/>
    <mergeCell ref="J239:J240"/>
    <mergeCell ref="K237:K238"/>
    <mergeCell ref="K239:K240"/>
    <mergeCell ref="W233:W234"/>
    <mergeCell ref="F235:F236"/>
    <mergeCell ref="G235:G236"/>
    <mergeCell ref="H235:H236"/>
    <mergeCell ref="I235:I236"/>
    <mergeCell ref="L235:L236"/>
    <mergeCell ref="N235:N236"/>
    <mergeCell ref="O235:O236"/>
    <mergeCell ref="Q235:Q236"/>
    <mergeCell ref="R235:R236"/>
    <mergeCell ref="S235:S236"/>
    <mergeCell ref="W235:W236"/>
    <mergeCell ref="R233:R234"/>
    <mergeCell ref="S233:S234"/>
    <mergeCell ref="W237:W238"/>
    <mergeCell ref="W231:W232"/>
    <mergeCell ref="R229:R230"/>
    <mergeCell ref="S229:S230"/>
    <mergeCell ref="F229:F230"/>
    <mergeCell ref="F233:F234"/>
    <mergeCell ref="G233:G234"/>
    <mergeCell ref="H233:H234"/>
    <mergeCell ref="I233:I234"/>
    <mergeCell ref="L233:L234"/>
    <mergeCell ref="N233:N234"/>
    <mergeCell ref="O233:O234"/>
    <mergeCell ref="Q233:Q234"/>
    <mergeCell ref="G229:G230"/>
    <mergeCell ref="F231:F232"/>
    <mergeCell ref="G231:G232"/>
    <mergeCell ref="H231:H232"/>
    <mergeCell ref="I231:I232"/>
    <mergeCell ref="L231:L232"/>
    <mergeCell ref="N231:N232"/>
    <mergeCell ref="O231:O232"/>
    <mergeCell ref="Q231:Q232"/>
    <mergeCell ref="R231:R232"/>
    <mergeCell ref="S231:S232"/>
    <mergeCell ref="J229:J230"/>
    <mergeCell ref="K229:K230"/>
    <mergeCell ref="W225:W226"/>
    <mergeCell ref="F227:F228"/>
    <mergeCell ref="G227:G228"/>
    <mergeCell ref="H227:H228"/>
    <mergeCell ref="I227:I228"/>
    <mergeCell ref="L227:L228"/>
    <mergeCell ref="M227:M228"/>
    <mergeCell ref="N227:N228"/>
    <mergeCell ref="O227:O228"/>
    <mergeCell ref="P227:P228"/>
    <mergeCell ref="Q227:Q228"/>
    <mergeCell ref="R227:R228"/>
    <mergeCell ref="S227:S228"/>
    <mergeCell ref="W227:W228"/>
    <mergeCell ref="J227:J228"/>
    <mergeCell ref="K227:K228"/>
    <mergeCell ref="W229:W230"/>
    <mergeCell ref="H229:H230"/>
    <mergeCell ref="I229:I230"/>
    <mergeCell ref="L229:L230"/>
    <mergeCell ref="W223:W224"/>
    <mergeCell ref="F225:F226"/>
    <mergeCell ref="G225:G226"/>
    <mergeCell ref="H225:H226"/>
    <mergeCell ref="I225:I226"/>
    <mergeCell ref="L225:L226"/>
    <mergeCell ref="M225:M226"/>
    <mergeCell ref="N225:N226"/>
    <mergeCell ref="O225:O226"/>
    <mergeCell ref="P225:P226"/>
    <mergeCell ref="Q225:Q226"/>
    <mergeCell ref="R225:R226"/>
    <mergeCell ref="S225:S226"/>
    <mergeCell ref="P223:P224"/>
    <mergeCell ref="Q223:Q224"/>
    <mergeCell ref="R223:R224"/>
    <mergeCell ref="S223:S224"/>
    <mergeCell ref="F223:F224"/>
    <mergeCell ref="G223:G224"/>
    <mergeCell ref="H223:H224"/>
    <mergeCell ref="I223:I224"/>
    <mergeCell ref="L223:L224"/>
    <mergeCell ref="M223:M224"/>
    <mergeCell ref="N223:N224"/>
    <mergeCell ref="O223:O224"/>
    <mergeCell ref="W219:W220"/>
    <mergeCell ref="F221:F222"/>
    <mergeCell ref="G221:G222"/>
    <mergeCell ref="H221:H222"/>
    <mergeCell ref="I221:I222"/>
    <mergeCell ref="L221:L222"/>
    <mergeCell ref="M221:M222"/>
    <mergeCell ref="N221:N222"/>
    <mergeCell ref="O221:O222"/>
    <mergeCell ref="P221:P222"/>
    <mergeCell ref="Q221:Q222"/>
    <mergeCell ref="R221:R222"/>
    <mergeCell ref="S221:S222"/>
    <mergeCell ref="W221:W222"/>
    <mergeCell ref="W217:W218"/>
    <mergeCell ref="F219:F220"/>
    <mergeCell ref="G219:G220"/>
    <mergeCell ref="H219:H220"/>
    <mergeCell ref="I219:I220"/>
    <mergeCell ref="J219:J220"/>
    <mergeCell ref="L219:L220"/>
    <mergeCell ref="M219:M220"/>
    <mergeCell ref="N219:N220"/>
    <mergeCell ref="O219:O220"/>
    <mergeCell ref="P219:P220"/>
    <mergeCell ref="Q219:Q220"/>
    <mergeCell ref="R219:R220"/>
    <mergeCell ref="S219:S220"/>
    <mergeCell ref="P217:P218"/>
    <mergeCell ref="Q217:Q218"/>
    <mergeCell ref="R217:R218"/>
    <mergeCell ref="S217:S218"/>
    <mergeCell ref="F217:F218"/>
    <mergeCell ref="G217:G218"/>
    <mergeCell ref="H217:H218"/>
    <mergeCell ref="I217:I218"/>
    <mergeCell ref="J217:J218"/>
    <mergeCell ref="L217:L218"/>
    <mergeCell ref="M217:M218"/>
    <mergeCell ref="N217:N218"/>
    <mergeCell ref="O217:O218"/>
    <mergeCell ref="W213:W214"/>
    <mergeCell ref="F215:F216"/>
    <mergeCell ref="G215:G216"/>
    <mergeCell ref="H215:H216"/>
    <mergeCell ref="I215:I216"/>
    <mergeCell ref="J215:J216"/>
    <mergeCell ref="L215:L216"/>
    <mergeCell ref="M215:M216"/>
    <mergeCell ref="N215:N216"/>
    <mergeCell ref="O215:O216"/>
    <mergeCell ref="P215:P216"/>
    <mergeCell ref="Q215:Q216"/>
    <mergeCell ref="R215:R216"/>
    <mergeCell ref="S215:S216"/>
    <mergeCell ref="W215:W216"/>
    <mergeCell ref="W211:W212"/>
    <mergeCell ref="F213:F214"/>
    <mergeCell ref="G213:G214"/>
    <mergeCell ref="H213:H214"/>
    <mergeCell ref="I213:I214"/>
    <mergeCell ref="J213:J214"/>
    <mergeCell ref="L213:L214"/>
    <mergeCell ref="M213:M214"/>
    <mergeCell ref="N213:N214"/>
    <mergeCell ref="O213:O214"/>
    <mergeCell ref="P213:P214"/>
    <mergeCell ref="Q213:Q214"/>
    <mergeCell ref="R213:R214"/>
    <mergeCell ref="S213:S214"/>
    <mergeCell ref="P211:P212"/>
    <mergeCell ref="Q211:Q212"/>
    <mergeCell ref="R211:R212"/>
    <mergeCell ref="S211:S212"/>
    <mergeCell ref="F211:F212"/>
    <mergeCell ref="G211:G212"/>
    <mergeCell ref="H211:H212"/>
    <mergeCell ref="I211:I212"/>
    <mergeCell ref="J211:J212"/>
    <mergeCell ref="L211:L212"/>
    <mergeCell ref="M211:M212"/>
    <mergeCell ref="N211:N212"/>
    <mergeCell ref="O211:O212"/>
    <mergeCell ref="W207:W208"/>
    <mergeCell ref="F209:F210"/>
    <mergeCell ref="G209:G210"/>
    <mergeCell ref="H209:H210"/>
    <mergeCell ref="I209:I210"/>
    <mergeCell ref="J209:J210"/>
    <mergeCell ref="L209:L210"/>
    <mergeCell ref="M209:M210"/>
    <mergeCell ref="N209:N210"/>
    <mergeCell ref="O209:O210"/>
    <mergeCell ref="P209:P210"/>
    <mergeCell ref="Q209:Q210"/>
    <mergeCell ref="R209:R210"/>
    <mergeCell ref="S209:S210"/>
    <mergeCell ref="W209:W210"/>
    <mergeCell ref="W205:W206"/>
    <mergeCell ref="F207:F208"/>
    <mergeCell ref="G207:G208"/>
    <mergeCell ref="H207:H208"/>
    <mergeCell ref="I207:I208"/>
    <mergeCell ref="J207:J208"/>
    <mergeCell ref="L207:L208"/>
    <mergeCell ref="M207:M208"/>
    <mergeCell ref="N207:N208"/>
    <mergeCell ref="O207:O208"/>
    <mergeCell ref="P207:P208"/>
    <mergeCell ref="Q207:Q208"/>
    <mergeCell ref="R207:R208"/>
    <mergeCell ref="S207:S208"/>
    <mergeCell ref="P205:P206"/>
    <mergeCell ref="Q205:Q206"/>
    <mergeCell ref="R205:R206"/>
    <mergeCell ref="S205:S206"/>
    <mergeCell ref="F205:F206"/>
    <mergeCell ref="G205:G206"/>
    <mergeCell ref="H205:H206"/>
    <mergeCell ref="I205:I206"/>
    <mergeCell ref="J205:J206"/>
    <mergeCell ref="L205:L206"/>
    <mergeCell ref="M205:M206"/>
    <mergeCell ref="N205:N206"/>
    <mergeCell ref="O205:O206"/>
    <mergeCell ref="K203:K204"/>
    <mergeCell ref="K205:K206"/>
    <mergeCell ref="W201:W202"/>
    <mergeCell ref="F203:F204"/>
    <mergeCell ref="G203:G204"/>
    <mergeCell ref="H203:H204"/>
    <mergeCell ref="I203:I204"/>
    <mergeCell ref="J203:J204"/>
    <mergeCell ref="L203:L204"/>
    <mergeCell ref="M203:M204"/>
    <mergeCell ref="N203:N204"/>
    <mergeCell ref="O203:O204"/>
    <mergeCell ref="P203:P204"/>
    <mergeCell ref="Q203:Q204"/>
    <mergeCell ref="R203:R204"/>
    <mergeCell ref="S203:S204"/>
    <mergeCell ref="W203:W204"/>
    <mergeCell ref="Q201:Q202"/>
    <mergeCell ref="R201:R202"/>
    <mergeCell ref="S201:S202"/>
    <mergeCell ref="F201:F202"/>
    <mergeCell ref="G201:G202"/>
    <mergeCell ref="H201:H202"/>
    <mergeCell ref="I201:I202"/>
    <mergeCell ref="L201:L202"/>
    <mergeCell ref="N201:N202"/>
    <mergeCell ref="O201:O202"/>
    <mergeCell ref="P201:P202"/>
    <mergeCell ref="W197:W198"/>
    <mergeCell ref="F199:F200"/>
    <mergeCell ref="G199:G200"/>
    <mergeCell ref="H199:H200"/>
    <mergeCell ref="I199:I200"/>
    <mergeCell ref="L199:L200"/>
    <mergeCell ref="N199:N200"/>
    <mergeCell ref="O199:O200"/>
    <mergeCell ref="P199:P200"/>
    <mergeCell ref="Q199:Q200"/>
    <mergeCell ref="R199:R200"/>
    <mergeCell ref="S199:S200"/>
    <mergeCell ref="W199:W200"/>
    <mergeCell ref="Q197:Q198"/>
    <mergeCell ref="R197:R198"/>
    <mergeCell ref="S197:S198"/>
    <mergeCell ref="F197:F198"/>
    <mergeCell ref="G197:G198"/>
    <mergeCell ref="H197:H198"/>
    <mergeCell ref="I197:I198"/>
    <mergeCell ref="L197:L198"/>
    <mergeCell ref="N197:N198"/>
    <mergeCell ref="O197:O198"/>
    <mergeCell ref="P197:P198"/>
    <mergeCell ref="J197:J198"/>
    <mergeCell ref="M197:M198"/>
    <mergeCell ref="W193:W194"/>
    <mergeCell ref="F195:F196"/>
    <mergeCell ref="G195:G196"/>
    <mergeCell ref="H195:H196"/>
    <mergeCell ref="I195:I196"/>
    <mergeCell ref="J195:J196"/>
    <mergeCell ref="L195:L196"/>
    <mergeCell ref="N195:N196"/>
    <mergeCell ref="O195:O196"/>
    <mergeCell ref="P195:P196"/>
    <mergeCell ref="Q195:Q196"/>
    <mergeCell ref="R195:R196"/>
    <mergeCell ref="S195:S196"/>
    <mergeCell ref="W195:W196"/>
    <mergeCell ref="Q193:Q194"/>
    <mergeCell ref="R193:R194"/>
    <mergeCell ref="S193:S194"/>
    <mergeCell ref="F193:F194"/>
    <mergeCell ref="G193:G194"/>
    <mergeCell ref="H193:H194"/>
    <mergeCell ref="I193:I194"/>
    <mergeCell ref="J193:J194"/>
    <mergeCell ref="L193:L194"/>
    <mergeCell ref="N193:N194"/>
    <mergeCell ref="O193:O194"/>
    <mergeCell ref="P193:P194"/>
    <mergeCell ref="W191:W192"/>
    <mergeCell ref="R191:R192"/>
    <mergeCell ref="S191:S192"/>
    <mergeCell ref="F191:F192"/>
    <mergeCell ref="G191:G192"/>
    <mergeCell ref="H191:H192"/>
    <mergeCell ref="I191:I192"/>
    <mergeCell ref="L191:L192"/>
    <mergeCell ref="N191:N192"/>
    <mergeCell ref="O191:O192"/>
    <mergeCell ref="P191:P192"/>
    <mergeCell ref="Q191:Q192"/>
    <mergeCell ref="M193:M194"/>
    <mergeCell ref="W187:W188"/>
    <mergeCell ref="F189:F190"/>
    <mergeCell ref="G189:G190"/>
    <mergeCell ref="H189:H190"/>
    <mergeCell ref="I189:I190"/>
    <mergeCell ref="L189:L190"/>
    <mergeCell ref="N189:N190"/>
    <mergeCell ref="O189:O190"/>
    <mergeCell ref="P189:P190"/>
    <mergeCell ref="Q189:Q190"/>
    <mergeCell ref="R189:R190"/>
    <mergeCell ref="S189:S190"/>
    <mergeCell ref="W189:W190"/>
    <mergeCell ref="Q187:Q188"/>
    <mergeCell ref="R187:R188"/>
    <mergeCell ref="S187:S188"/>
    <mergeCell ref="F187:F188"/>
    <mergeCell ref="G187:G188"/>
    <mergeCell ref="H187:H188"/>
    <mergeCell ref="I187:I188"/>
    <mergeCell ref="L187:L188"/>
    <mergeCell ref="M187:M188"/>
    <mergeCell ref="N187:N188"/>
    <mergeCell ref="O187:O188"/>
    <mergeCell ref="P187:P188"/>
    <mergeCell ref="W183:W184"/>
    <mergeCell ref="F185:F186"/>
    <mergeCell ref="G185:G186"/>
    <mergeCell ref="H185:H186"/>
    <mergeCell ref="I185:I186"/>
    <mergeCell ref="L185:L186"/>
    <mergeCell ref="N185:N186"/>
    <mergeCell ref="O185:O186"/>
    <mergeCell ref="P185:P186"/>
    <mergeCell ref="Q185:Q186"/>
    <mergeCell ref="R185:R186"/>
    <mergeCell ref="S185:S186"/>
    <mergeCell ref="W185:W186"/>
    <mergeCell ref="Q183:Q184"/>
    <mergeCell ref="R183:R184"/>
    <mergeCell ref="S183:S184"/>
    <mergeCell ref="F183:F184"/>
    <mergeCell ref="G183:G184"/>
    <mergeCell ref="H183:H184"/>
    <mergeCell ref="I183:I184"/>
    <mergeCell ref="L183:L184"/>
    <mergeCell ref="N183:N184"/>
    <mergeCell ref="O183:O184"/>
    <mergeCell ref="P183:P184"/>
    <mergeCell ref="M185:M186"/>
    <mergeCell ref="M183:M184"/>
    <mergeCell ref="J183:J184"/>
    <mergeCell ref="J185:J186"/>
    <mergeCell ref="W179:W180"/>
    <mergeCell ref="F181:F182"/>
    <mergeCell ref="G181:G182"/>
    <mergeCell ref="H181:H182"/>
    <mergeCell ref="I181:I182"/>
    <mergeCell ref="L181:L182"/>
    <mergeCell ref="N181:N182"/>
    <mergeCell ref="O181:O182"/>
    <mergeCell ref="P181:P182"/>
    <mergeCell ref="Q181:Q182"/>
    <mergeCell ref="R181:R182"/>
    <mergeCell ref="S181:S182"/>
    <mergeCell ref="W181:W182"/>
    <mergeCell ref="Q179:Q180"/>
    <mergeCell ref="R179:R180"/>
    <mergeCell ref="S179:S180"/>
    <mergeCell ref="F179:F180"/>
    <mergeCell ref="G179:G180"/>
    <mergeCell ref="H179:H180"/>
    <mergeCell ref="I179:I180"/>
    <mergeCell ref="L179:L180"/>
    <mergeCell ref="M179:M180"/>
    <mergeCell ref="N179:N180"/>
    <mergeCell ref="O179:O180"/>
    <mergeCell ref="P179:P180"/>
    <mergeCell ref="W175:W176"/>
    <mergeCell ref="F177:F178"/>
    <mergeCell ref="G177:G178"/>
    <mergeCell ref="H177:H178"/>
    <mergeCell ref="I177:I178"/>
    <mergeCell ref="L177:L178"/>
    <mergeCell ref="N177:N178"/>
    <mergeCell ref="O177:O178"/>
    <mergeCell ref="P177:P178"/>
    <mergeCell ref="Q177:Q178"/>
    <mergeCell ref="R177:R178"/>
    <mergeCell ref="S177:S178"/>
    <mergeCell ref="W177:W178"/>
    <mergeCell ref="F171:F172"/>
    <mergeCell ref="R175:R176"/>
    <mergeCell ref="S175:S176"/>
    <mergeCell ref="F175:F176"/>
    <mergeCell ref="G175:G176"/>
    <mergeCell ref="H175:H176"/>
    <mergeCell ref="I175:I176"/>
    <mergeCell ref="L175:L176"/>
    <mergeCell ref="N175:N176"/>
    <mergeCell ref="O175:O176"/>
    <mergeCell ref="P175:P176"/>
    <mergeCell ref="Q175:Q176"/>
    <mergeCell ref="I173:I174"/>
    <mergeCell ref="L173:L174"/>
    <mergeCell ref="N173:N174"/>
    <mergeCell ref="O173:O174"/>
    <mergeCell ref="P173:P174"/>
    <mergeCell ref="Q173:Q174"/>
    <mergeCell ref="R173:R174"/>
    <mergeCell ref="S173:S174"/>
    <mergeCell ref="W173:W174"/>
    <mergeCell ref="L171:L172"/>
    <mergeCell ref="N171:N172"/>
    <mergeCell ref="O171:O172"/>
    <mergeCell ref="P171:P172"/>
    <mergeCell ref="Q171:Q172"/>
    <mergeCell ref="W171:W172"/>
    <mergeCell ref="R171:R172"/>
    <mergeCell ref="S171:S172"/>
    <mergeCell ref="W167:W168"/>
    <mergeCell ref="F169:F170"/>
    <mergeCell ref="G169:G170"/>
    <mergeCell ref="H169:H170"/>
    <mergeCell ref="I169:I170"/>
    <mergeCell ref="L169:L170"/>
    <mergeCell ref="N169:N170"/>
    <mergeCell ref="O169:O170"/>
    <mergeCell ref="P169:P170"/>
    <mergeCell ref="Q169:Q170"/>
    <mergeCell ref="R169:R170"/>
    <mergeCell ref="S169:S170"/>
    <mergeCell ref="W169:W170"/>
    <mergeCell ref="R167:R168"/>
    <mergeCell ref="S167:S168"/>
    <mergeCell ref="F167:F168"/>
    <mergeCell ref="G167:G168"/>
    <mergeCell ref="H167:H168"/>
    <mergeCell ref="I167:I168"/>
    <mergeCell ref="L167:L168"/>
    <mergeCell ref="N167:N168"/>
    <mergeCell ref="O167:O168"/>
    <mergeCell ref="P167:P168"/>
    <mergeCell ref="Q167:Q168"/>
    <mergeCell ref="H163:H164"/>
    <mergeCell ref="I163:I164"/>
    <mergeCell ref="L163:L164"/>
    <mergeCell ref="N163:N164"/>
    <mergeCell ref="O163:O164"/>
    <mergeCell ref="P163:P164"/>
    <mergeCell ref="Q163:Q164"/>
    <mergeCell ref="W163:W164"/>
    <mergeCell ref="F165:F166"/>
    <mergeCell ref="G165:G166"/>
    <mergeCell ref="H165:H166"/>
    <mergeCell ref="I165:I166"/>
    <mergeCell ref="L165:L166"/>
    <mergeCell ref="N165:N166"/>
    <mergeCell ref="O165:O166"/>
    <mergeCell ref="P165:P166"/>
    <mergeCell ref="Q165:Q166"/>
    <mergeCell ref="R165:R166"/>
    <mergeCell ref="S165:S166"/>
    <mergeCell ref="W165:W166"/>
    <mergeCell ref="R163:R164"/>
    <mergeCell ref="S163:S164"/>
    <mergeCell ref="W159:W160"/>
    <mergeCell ref="F161:F162"/>
    <mergeCell ref="G161:G162"/>
    <mergeCell ref="H161:H162"/>
    <mergeCell ref="I161:I162"/>
    <mergeCell ref="L161:L162"/>
    <mergeCell ref="N161:N162"/>
    <mergeCell ref="O161:O162"/>
    <mergeCell ref="P161:P162"/>
    <mergeCell ref="Q161:Q162"/>
    <mergeCell ref="R161:R162"/>
    <mergeCell ref="S161:S162"/>
    <mergeCell ref="W161:W162"/>
    <mergeCell ref="Q159:Q160"/>
    <mergeCell ref="R159:R160"/>
    <mergeCell ref="S159:S160"/>
    <mergeCell ref="M155:M156"/>
    <mergeCell ref="M157:M158"/>
    <mergeCell ref="F159:F160"/>
    <mergeCell ref="G159:G160"/>
    <mergeCell ref="H159:H160"/>
    <mergeCell ref="I159:I160"/>
    <mergeCell ref="L159:L160"/>
    <mergeCell ref="N159:N160"/>
    <mergeCell ref="O159:O160"/>
    <mergeCell ref="P159:P160"/>
    <mergeCell ref="W155:W156"/>
    <mergeCell ref="F157:F158"/>
    <mergeCell ref="G157:G158"/>
    <mergeCell ref="H157:H158"/>
    <mergeCell ref="I157:I158"/>
    <mergeCell ref="L157:L158"/>
    <mergeCell ref="N157:N158"/>
    <mergeCell ref="O157:O158"/>
    <mergeCell ref="P157:P158"/>
    <mergeCell ref="Q157:Q158"/>
    <mergeCell ref="R157:R158"/>
    <mergeCell ref="S157:S158"/>
    <mergeCell ref="W149:W150"/>
    <mergeCell ref="R147:R148"/>
    <mergeCell ref="S147:S148"/>
    <mergeCell ref="W157:W158"/>
    <mergeCell ref="Q155:Q156"/>
    <mergeCell ref="R155:R156"/>
    <mergeCell ref="S155:S156"/>
    <mergeCell ref="F155:F156"/>
    <mergeCell ref="G155:G156"/>
    <mergeCell ref="H155:H156"/>
    <mergeCell ref="I155:I156"/>
    <mergeCell ref="L155:L156"/>
    <mergeCell ref="N155:N156"/>
    <mergeCell ref="O155:O156"/>
    <mergeCell ref="P155:P156"/>
    <mergeCell ref="F149:F150"/>
    <mergeCell ref="G149:G150"/>
    <mergeCell ref="H149:H150"/>
    <mergeCell ref="I149:I150"/>
    <mergeCell ref="N149:N150"/>
    <mergeCell ref="O149:O150"/>
    <mergeCell ref="P149:P150"/>
    <mergeCell ref="Q149:Q150"/>
    <mergeCell ref="R149:R150"/>
    <mergeCell ref="S149:S150"/>
    <mergeCell ref="L149:L150"/>
    <mergeCell ref="N147:N148"/>
    <mergeCell ref="O147:O148"/>
    <mergeCell ref="P147:P148"/>
    <mergeCell ref="Q147:Q148"/>
    <mergeCell ref="W143:W144"/>
    <mergeCell ref="F145:F146"/>
    <mergeCell ref="G145:G146"/>
    <mergeCell ref="H145:H146"/>
    <mergeCell ref="I145:I146"/>
    <mergeCell ref="N145:N146"/>
    <mergeCell ref="O145:O146"/>
    <mergeCell ref="P145:P146"/>
    <mergeCell ref="R145:R146"/>
    <mergeCell ref="S145:S146"/>
    <mergeCell ref="W145:W146"/>
    <mergeCell ref="S143:S144"/>
    <mergeCell ref="W147:W148"/>
    <mergeCell ref="F143:F144"/>
    <mergeCell ref="G143:G144"/>
    <mergeCell ref="H143:H144"/>
    <mergeCell ref="I143:I144"/>
    <mergeCell ref="N143:N144"/>
    <mergeCell ref="O143:O144"/>
    <mergeCell ref="P143:P144"/>
    <mergeCell ref="R143:R144"/>
    <mergeCell ref="H139:H140"/>
    <mergeCell ref="I139:I140"/>
    <mergeCell ref="J139:J140"/>
    <mergeCell ref="L139:L140"/>
    <mergeCell ref="N139:N140"/>
    <mergeCell ref="O139:O140"/>
    <mergeCell ref="K139:K140"/>
    <mergeCell ref="K141:K142"/>
    <mergeCell ref="K143:K144"/>
    <mergeCell ref="G139:G140"/>
    <mergeCell ref="W139:W140"/>
    <mergeCell ref="F141:F142"/>
    <mergeCell ref="G141:G142"/>
    <mergeCell ref="H141:H142"/>
    <mergeCell ref="I141:I142"/>
    <mergeCell ref="N141:N142"/>
    <mergeCell ref="O141:O142"/>
    <mergeCell ref="P141:P142"/>
    <mergeCell ref="R141:R142"/>
    <mergeCell ref="S141:S142"/>
    <mergeCell ref="W141:W142"/>
    <mergeCell ref="P139:P140"/>
    <mergeCell ref="Q139:Q140"/>
    <mergeCell ref="R139:R140"/>
    <mergeCell ref="S139:S140"/>
    <mergeCell ref="F139:F140"/>
    <mergeCell ref="W135:W136"/>
    <mergeCell ref="F137:F138"/>
    <mergeCell ref="G137:G138"/>
    <mergeCell ref="H137:H138"/>
    <mergeCell ref="I137:I138"/>
    <mergeCell ref="J137:J138"/>
    <mergeCell ref="L137:L138"/>
    <mergeCell ref="N137:N138"/>
    <mergeCell ref="O137:O138"/>
    <mergeCell ref="P137:P138"/>
    <mergeCell ref="Q137:Q138"/>
    <mergeCell ref="R137:R138"/>
    <mergeCell ref="S137:S138"/>
    <mergeCell ref="W137:W138"/>
    <mergeCell ref="K137:K138"/>
    <mergeCell ref="W133:W134"/>
    <mergeCell ref="F135:F136"/>
    <mergeCell ref="G135:G136"/>
    <mergeCell ref="H135:H136"/>
    <mergeCell ref="I135:I136"/>
    <mergeCell ref="J135:J136"/>
    <mergeCell ref="L135:L136"/>
    <mergeCell ref="N135:N136"/>
    <mergeCell ref="O135:O136"/>
    <mergeCell ref="P135:P136"/>
    <mergeCell ref="Q135:Q136"/>
    <mergeCell ref="R135:R136"/>
    <mergeCell ref="S135:S136"/>
    <mergeCell ref="P133:P134"/>
    <mergeCell ref="Q133:Q134"/>
    <mergeCell ref="R133:R134"/>
    <mergeCell ref="S133:S134"/>
    <mergeCell ref="F133:F134"/>
    <mergeCell ref="G133:G134"/>
    <mergeCell ref="H133:H134"/>
    <mergeCell ref="I133:I134"/>
    <mergeCell ref="J133:J134"/>
    <mergeCell ref="L133:L134"/>
    <mergeCell ref="N133:N134"/>
    <mergeCell ref="O133:O134"/>
    <mergeCell ref="W129:W130"/>
    <mergeCell ref="F131:F132"/>
    <mergeCell ref="G131:G132"/>
    <mergeCell ref="H131:H132"/>
    <mergeCell ref="I131:I132"/>
    <mergeCell ref="J131:J132"/>
    <mergeCell ref="L131:L132"/>
    <mergeCell ref="N131:N132"/>
    <mergeCell ref="O131:O132"/>
    <mergeCell ref="P131:P132"/>
    <mergeCell ref="Q131:Q132"/>
    <mergeCell ref="R131:R132"/>
    <mergeCell ref="S131:S132"/>
    <mergeCell ref="W131:W132"/>
    <mergeCell ref="W127:W128"/>
    <mergeCell ref="F129:F130"/>
    <mergeCell ref="G129:G130"/>
    <mergeCell ref="H129:H130"/>
    <mergeCell ref="I129:I130"/>
    <mergeCell ref="J129:J130"/>
    <mergeCell ref="L129:L130"/>
    <mergeCell ref="N129:N130"/>
    <mergeCell ref="O129:O130"/>
    <mergeCell ref="P129:P130"/>
    <mergeCell ref="Q129:Q130"/>
    <mergeCell ref="R129:R130"/>
    <mergeCell ref="S129:S130"/>
    <mergeCell ref="P127:P128"/>
    <mergeCell ref="Q127:Q128"/>
    <mergeCell ref="R127:R128"/>
    <mergeCell ref="S127:S128"/>
    <mergeCell ref="F127:F128"/>
    <mergeCell ref="G127:G128"/>
    <mergeCell ref="H127:H128"/>
    <mergeCell ref="I127:I128"/>
    <mergeCell ref="J127:J128"/>
    <mergeCell ref="L127:L128"/>
    <mergeCell ref="N127:N128"/>
    <mergeCell ref="O127:O128"/>
    <mergeCell ref="W123:W124"/>
    <mergeCell ref="F125:F126"/>
    <mergeCell ref="G125:G126"/>
    <mergeCell ref="H125:H126"/>
    <mergeCell ref="I125:I126"/>
    <mergeCell ref="J125:J126"/>
    <mergeCell ref="L125:L126"/>
    <mergeCell ref="N125:N126"/>
    <mergeCell ref="O125:O126"/>
    <mergeCell ref="P125:P126"/>
    <mergeCell ref="Q125:Q126"/>
    <mergeCell ref="R125:R126"/>
    <mergeCell ref="S125:S126"/>
    <mergeCell ref="W125:W126"/>
    <mergeCell ref="W121:W122"/>
    <mergeCell ref="F123:F124"/>
    <mergeCell ref="G123:G124"/>
    <mergeCell ref="H123:H124"/>
    <mergeCell ref="I123:I124"/>
    <mergeCell ref="J123:J124"/>
    <mergeCell ref="L123:L124"/>
    <mergeCell ref="N123:N124"/>
    <mergeCell ref="O123:O124"/>
    <mergeCell ref="P123:P124"/>
    <mergeCell ref="C123:C124"/>
    <mergeCell ref="Q123:Q124"/>
    <mergeCell ref="R123:R124"/>
    <mergeCell ref="S123:S124"/>
    <mergeCell ref="M123:M124"/>
    <mergeCell ref="M125:M126"/>
    <mergeCell ref="D121:D122"/>
    <mergeCell ref="W119:W120"/>
    <mergeCell ref="F121:F122"/>
    <mergeCell ref="G121:G122"/>
    <mergeCell ref="H121:H122"/>
    <mergeCell ref="I121:I122"/>
    <mergeCell ref="J121:J122"/>
    <mergeCell ref="L121:L122"/>
    <mergeCell ref="M121:M122"/>
    <mergeCell ref="N121:N122"/>
    <mergeCell ref="O121:O122"/>
    <mergeCell ref="P121:P122"/>
    <mergeCell ref="Q121:Q122"/>
    <mergeCell ref="R121:R122"/>
    <mergeCell ref="S121:S122"/>
    <mergeCell ref="P119:P120"/>
    <mergeCell ref="Q119:Q120"/>
    <mergeCell ref="R119:R120"/>
    <mergeCell ref="S119:S120"/>
    <mergeCell ref="F119:F120"/>
    <mergeCell ref="G119:G120"/>
    <mergeCell ref="H119:H120"/>
    <mergeCell ref="I119:I120"/>
    <mergeCell ref="J119:J120"/>
    <mergeCell ref="L119:L120"/>
    <mergeCell ref="M119:M120"/>
    <mergeCell ref="N119:N120"/>
    <mergeCell ref="O119:O120"/>
    <mergeCell ref="W115:W116"/>
    <mergeCell ref="F117:F118"/>
    <mergeCell ref="G117:G118"/>
    <mergeCell ref="H117:H118"/>
    <mergeCell ref="I117:I118"/>
    <mergeCell ref="J117:J118"/>
    <mergeCell ref="L117:L118"/>
    <mergeCell ref="M117:M118"/>
    <mergeCell ref="N117:N118"/>
    <mergeCell ref="O117:O118"/>
    <mergeCell ref="P117:P118"/>
    <mergeCell ref="Q117:Q118"/>
    <mergeCell ref="R117:R118"/>
    <mergeCell ref="S117:S118"/>
    <mergeCell ref="W117:W118"/>
    <mergeCell ref="W113:W114"/>
    <mergeCell ref="F115:F116"/>
    <mergeCell ref="G115:G116"/>
    <mergeCell ref="H115:H116"/>
    <mergeCell ref="I115:I116"/>
    <mergeCell ref="J115:J116"/>
    <mergeCell ref="L115:L116"/>
    <mergeCell ref="M115:M116"/>
    <mergeCell ref="N115:N116"/>
    <mergeCell ref="O115:O116"/>
    <mergeCell ref="P115:P116"/>
    <mergeCell ref="Q115:Q116"/>
    <mergeCell ref="R115:R116"/>
    <mergeCell ref="S115:S116"/>
    <mergeCell ref="P113:P114"/>
    <mergeCell ref="Q113:Q114"/>
    <mergeCell ref="R113:R114"/>
    <mergeCell ref="S113:S114"/>
    <mergeCell ref="F113:F114"/>
    <mergeCell ref="G113:G114"/>
    <mergeCell ref="H113:H114"/>
    <mergeCell ref="I113:I114"/>
    <mergeCell ref="J113:J114"/>
    <mergeCell ref="L113:L114"/>
    <mergeCell ref="M113:M114"/>
    <mergeCell ref="N113:N114"/>
    <mergeCell ref="O113:O114"/>
    <mergeCell ref="W109:W110"/>
    <mergeCell ref="F111:F112"/>
    <mergeCell ref="G111:G112"/>
    <mergeCell ref="H111:H112"/>
    <mergeCell ref="I111:I112"/>
    <mergeCell ref="J111:J112"/>
    <mergeCell ref="L111:L112"/>
    <mergeCell ref="M111:M112"/>
    <mergeCell ref="N111:N112"/>
    <mergeCell ref="O111:O112"/>
    <mergeCell ref="P111:P112"/>
    <mergeCell ref="Q111:Q112"/>
    <mergeCell ref="R111:R112"/>
    <mergeCell ref="S111:S112"/>
    <mergeCell ref="W111:W112"/>
    <mergeCell ref="W107:W108"/>
    <mergeCell ref="F109:F110"/>
    <mergeCell ref="G109:G110"/>
    <mergeCell ref="H109:H110"/>
    <mergeCell ref="I109:I110"/>
    <mergeCell ref="J109:J110"/>
    <mergeCell ref="L109:L110"/>
    <mergeCell ref="M109:M110"/>
    <mergeCell ref="N109:N110"/>
    <mergeCell ref="O109:O110"/>
    <mergeCell ref="P109:P110"/>
    <mergeCell ref="Q109:Q110"/>
    <mergeCell ref="R109:R110"/>
    <mergeCell ref="S109:S110"/>
    <mergeCell ref="P107:P108"/>
    <mergeCell ref="Q107:Q108"/>
    <mergeCell ref="R107:R108"/>
    <mergeCell ref="S107:S108"/>
    <mergeCell ref="H7:H8"/>
    <mergeCell ref="G7:G8"/>
    <mergeCell ref="H105:H106"/>
    <mergeCell ref="G105:G106"/>
    <mergeCell ref="F105:F106"/>
    <mergeCell ref="S17:S18"/>
    <mergeCell ref="R27:R28"/>
    <mergeCell ref="P27:P28"/>
    <mergeCell ref="O9:O10"/>
    <mergeCell ref="R9:R10"/>
    <mergeCell ref="O17:O18"/>
    <mergeCell ref="R17:R18"/>
    <mergeCell ref="S19:S20"/>
    <mergeCell ref="S25:S26"/>
    <mergeCell ref="C25:C26"/>
    <mergeCell ref="C27:C28"/>
    <mergeCell ref="P25:P26"/>
    <mergeCell ref="S27:S28"/>
    <mergeCell ref="G103:G104"/>
    <mergeCell ref="H103:H104"/>
    <mergeCell ref="F93:F94"/>
    <mergeCell ref="G93:G94"/>
    <mergeCell ref="P87:P88"/>
    <mergeCell ref="P95:P96"/>
    <mergeCell ref="N19:N20"/>
    <mergeCell ref="R25:R26"/>
    <mergeCell ref="O19:O20"/>
    <mergeCell ref="R19:R20"/>
    <mergeCell ref="C19:C20"/>
    <mergeCell ref="P19:P20"/>
    <mergeCell ref="F107:F108"/>
    <mergeCell ref="G107:G108"/>
    <mergeCell ref="H107:H108"/>
    <mergeCell ref="I107:I108"/>
    <mergeCell ref="J107:J108"/>
    <mergeCell ref="L107:L108"/>
    <mergeCell ref="M107:M108"/>
    <mergeCell ref="N107:N108"/>
    <mergeCell ref="O107:O108"/>
    <mergeCell ref="S33:S34"/>
    <mergeCell ref="S35:S36"/>
    <mergeCell ref="S37:S38"/>
    <mergeCell ref="H35:H36"/>
    <mergeCell ref="H37:H38"/>
    <mergeCell ref="H39:H40"/>
    <mergeCell ref="O35:O36"/>
    <mergeCell ref="N37:N38"/>
    <mergeCell ref="O37:O38"/>
    <mergeCell ref="O45:O46"/>
    <mergeCell ref="R45:R46"/>
    <mergeCell ref="S41:S42"/>
    <mergeCell ref="S43:S44"/>
    <mergeCell ref="S45:S46"/>
    <mergeCell ref="R41:R42"/>
    <mergeCell ref="R43:R44"/>
    <mergeCell ref="P43:P44"/>
    <mergeCell ref="P39:P40"/>
    <mergeCell ref="C31:C32"/>
    <mergeCell ref="C33:C34"/>
    <mergeCell ref="C35:C36"/>
    <mergeCell ref="S29:S30"/>
    <mergeCell ref="S31:S32"/>
    <mergeCell ref="C29:C30"/>
    <mergeCell ref="R31:R32"/>
    <mergeCell ref="R33:R34"/>
    <mergeCell ref="S39:S40"/>
    <mergeCell ref="Q103:Q104"/>
    <mergeCell ref="Q105:Q106"/>
    <mergeCell ref="F83:F84"/>
    <mergeCell ref="G83:G84"/>
    <mergeCell ref="H83:H84"/>
    <mergeCell ref="H85:H86"/>
    <mergeCell ref="G85:G86"/>
    <mergeCell ref="F85:F86"/>
    <mergeCell ref="Q83:Q84"/>
    <mergeCell ref="Q85:Q86"/>
    <mergeCell ref="H93:H94"/>
    <mergeCell ref="H95:H96"/>
    <mergeCell ref="G95:G96"/>
    <mergeCell ref="F95:F96"/>
    <mergeCell ref="Q95:Q96"/>
    <mergeCell ref="Q93:Q94"/>
    <mergeCell ref="F103:F104"/>
    <mergeCell ref="N29:N30"/>
    <mergeCell ref="N43:N44"/>
    <mergeCell ref="C43:C44"/>
    <mergeCell ref="M29:M30"/>
    <mergeCell ref="N25:N26"/>
    <mergeCell ref="O25:O26"/>
    <mergeCell ref="P31:P32"/>
    <mergeCell ref="P33:P34"/>
    <mergeCell ref="N27:N28"/>
    <mergeCell ref="O27:O28"/>
    <mergeCell ref="N31:N32"/>
    <mergeCell ref="O31:O32"/>
    <mergeCell ref="N33:N34"/>
    <mergeCell ref="O33:O34"/>
    <mergeCell ref="R35:R36"/>
    <mergeCell ref="R37:R38"/>
    <mergeCell ref="P35:P36"/>
    <mergeCell ref="P37:P38"/>
    <mergeCell ref="P41:P42"/>
    <mergeCell ref="N41:N42"/>
    <mergeCell ref="C37:C38"/>
    <mergeCell ref="C39:C40"/>
    <mergeCell ref="C41:C42"/>
    <mergeCell ref="F33:F34"/>
    <mergeCell ref="F35:F36"/>
    <mergeCell ref="F37:F38"/>
    <mergeCell ref="F39:F40"/>
    <mergeCell ref="J29:J30"/>
    <mergeCell ref="J31:J32"/>
    <mergeCell ref="J33:J34"/>
    <mergeCell ref="J35:J36"/>
    <mergeCell ref="J37:J38"/>
    <mergeCell ref="J39:J40"/>
    <mergeCell ref="H29:H30"/>
    <mergeCell ref="H31:H32"/>
    <mergeCell ref="H33:H34"/>
    <mergeCell ref="Q17:Q18"/>
    <mergeCell ref="Q19:Q20"/>
    <mergeCell ref="Q31:Q32"/>
    <mergeCell ref="Q33:Q34"/>
    <mergeCell ref="Q35:Q36"/>
    <mergeCell ref="Q37:Q38"/>
    <mergeCell ref="Q39:Q40"/>
    <mergeCell ref="Q29:Q30"/>
    <mergeCell ref="Q25:Q26"/>
    <mergeCell ref="Q27:Q28"/>
    <mergeCell ref="T1:V1"/>
    <mergeCell ref="F7:F8"/>
    <mergeCell ref="F9:F10"/>
    <mergeCell ref="J7:J8"/>
    <mergeCell ref="J9:J10"/>
    <mergeCell ref="J17:J18"/>
    <mergeCell ref="N7:N8"/>
    <mergeCell ref="N9:N10"/>
    <mergeCell ref="N17:N18"/>
    <mergeCell ref="F31:F32"/>
    <mergeCell ref="H9:H10"/>
    <mergeCell ref="G9:G10"/>
    <mergeCell ref="G17:G18"/>
    <mergeCell ref="G19:G20"/>
    <mergeCell ref="I17:I18"/>
    <mergeCell ref="I19:I20"/>
    <mergeCell ref="G25:G26"/>
    <mergeCell ref="H25:H26"/>
    <mergeCell ref="H27:H28"/>
    <mergeCell ref="G27:G28"/>
    <mergeCell ref="Q7:Q8"/>
    <mergeCell ref="Q9:Q10"/>
    <mergeCell ref="C7:C8"/>
    <mergeCell ref="C9:C10"/>
    <mergeCell ref="C17:C18"/>
    <mergeCell ref="M7:M8"/>
    <mergeCell ref="M9:M10"/>
    <mergeCell ref="M17:M18"/>
    <mergeCell ref="I7:I8"/>
    <mergeCell ref="I9:I10"/>
    <mergeCell ref="P7:P8"/>
    <mergeCell ref="P9:P10"/>
    <mergeCell ref="P17:P18"/>
    <mergeCell ref="O29:O30"/>
    <mergeCell ref="R29:R30"/>
    <mergeCell ref="S7:S8"/>
    <mergeCell ref="S9:S10"/>
    <mergeCell ref="O7:O8"/>
    <mergeCell ref="R7:R8"/>
    <mergeCell ref="J19:J20"/>
    <mergeCell ref="F17:F18"/>
    <mergeCell ref="F19:F20"/>
    <mergeCell ref="J25:J26"/>
    <mergeCell ref="J27:J28"/>
    <mergeCell ref="F25:F26"/>
    <mergeCell ref="F27:F28"/>
    <mergeCell ref="F29:F30"/>
    <mergeCell ref="I25:I26"/>
    <mergeCell ref="H17:H18"/>
    <mergeCell ref="H19:H20"/>
    <mergeCell ref="I27:I28"/>
    <mergeCell ref="M19:M20"/>
    <mergeCell ref="M25:M26"/>
    <mergeCell ref="M27:M28"/>
    <mergeCell ref="M31:M32"/>
    <mergeCell ref="M33:M34"/>
    <mergeCell ref="M37:M38"/>
    <mergeCell ref="M39:M40"/>
    <mergeCell ref="M35:M36"/>
    <mergeCell ref="F41:F42"/>
    <mergeCell ref="J41:J42"/>
    <mergeCell ref="F43:F44"/>
    <mergeCell ref="J43:J44"/>
    <mergeCell ref="F45:F46"/>
    <mergeCell ref="J45:J46"/>
    <mergeCell ref="M41:M42"/>
    <mergeCell ref="M43:M44"/>
    <mergeCell ref="M45:M46"/>
    <mergeCell ref="I41:I42"/>
    <mergeCell ref="I43:I44"/>
    <mergeCell ref="I45:I46"/>
    <mergeCell ref="L41:L42"/>
    <mergeCell ref="L43:L44"/>
    <mergeCell ref="L45:L46"/>
    <mergeCell ref="G41:G42"/>
    <mergeCell ref="H41:H42"/>
    <mergeCell ref="G43:G44"/>
    <mergeCell ref="G45:G46"/>
    <mergeCell ref="H43:H44"/>
    <mergeCell ref="H45:H46"/>
    <mergeCell ref="W25:W26"/>
    <mergeCell ref="W27:W28"/>
    <mergeCell ref="W7:W8"/>
    <mergeCell ref="W9:W10"/>
    <mergeCell ref="W17:W18"/>
    <mergeCell ref="W19:W20"/>
    <mergeCell ref="W29:W30"/>
    <mergeCell ref="W31:W32"/>
    <mergeCell ref="W33:W34"/>
    <mergeCell ref="W35:W36"/>
    <mergeCell ref="W37:W38"/>
    <mergeCell ref="W45:W46"/>
    <mergeCell ref="Q43:Q44"/>
    <mergeCell ref="Q45:Q46"/>
    <mergeCell ref="W61:W62"/>
    <mergeCell ref="W59:W60"/>
    <mergeCell ref="W39:W40"/>
    <mergeCell ref="W41:W42"/>
    <mergeCell ref="W43:W44"/>
    <mergeCell ref="W57:W58"/>
    <mergeCell ref="C45:C46"/>
    <mergeCell ref="C57:C58"/>
    <mergeCell ref="C59:C60"/>
    <mergeCell ref="F57:F58"/>
    <mergeCell ref="F59:F60"/>
    <mergeCell ref="C61:C62"/>
    <mergeCell ref="O65:O66"/>
    <mergeCell ref="N65:N66"/>
    <mergeCell ref="P63:P64"/>
    <mergeCell ref="H65:H66"/>
    <mergeCell ref="J65:J66"/>
    <mergeCell ref="M65:M66"/>
    <mergeCell ref="P65:P66"/>
    <mergeCell ref="R65:R66"/>
    <mergeCell ref="C65:C66"/>
    <mergeCell ref="S61:S62"/>
    <mergeCell ref="F61:F62"/>
    <mergeCell ref="D61:D62"/>
    <mergeCell ref="N45:N46"/>
    <mergeCell ref="N39:N40"/>
    <mergeCell ref="W65:W66"/>
    <mergeCell ref="H69:H70"/>
    <mergeCell ref="J69:J70"/>
    <mergeCell ref="M69:M70"/>
    <mergeCell ref="P69:P70"/>
    <mergeCell ref="R69:R70"/>
    <mergeCell ref="C69:C70"/>
    <mergeCell ref="W69:W70"/>
    <mergeCell ref="L65:L66"/>
    <mergeCell ref="L69:L70"/>
    <mergeCell ref="I69:I70"/>
    <mergeCell ref="S69:S70"/>
    <mergeCell ref="S65:S66"/>
    <mergeCell ref="F69:F70"/>
    <mergeCell ref="F65:F66"/>
    <mergeCell ref="D65:D66"/>
    <mergeCell ref="D69:D70"/>
    <mergeCell ref="I65:I66"/>
    <mergeCell ref="H73:H74"/>
    <mergeCell ref="J73:J74"/>
    <mergeCell ref="M73:M74"/>
    <mergeCell ref="P73:P74"/>
    <mergeCell ref="R73:R74"/>
    <mergeCell ref="C73:C74"/>
    <mergeCell ref="J77:J78"/>
    <mergeCell ref="M77:M78"/>
    <mergeCell ref="P77:P78"/>
    <mergeCell ref="R77:R78"/>
    <mergeCell ref="C77:C78"/>
    <mergeCell ref="N73:N74"/>
    <mergeCell ref="O73:O74"/>
    <mergeCell ref="O77:O78"/>
    <mergeCell ref="N77:N78"/>
    <mergeCell ref="S73:S74"/>
    <mergeCell ref="L73:L74"/>
    <mergeCell ref="I73:I74"/>
    <mergeCell ref="G73:G74"/>
    <mergeCell ref="F73:F74"/>
    <mergeCell ref="S77:S78"/>
    <mergeCell ref="D73:D74"/>
    <mergeCell ref="W81:W82"/>
    <mergeCell ref="L79:L80"/>
    <mergeCell ref="L81:L82"/>
    <mergeCell ref="J79:J80"/>
    <mergeCell ref="M79:M80"/>
    <mergeCell ref="N79:N80"/>
    <mergeCell ref="N81:N82"/>
    <mergeCell ref="S79:S80"/>
    <mergeCell ref="S81:S82"/>
    <mergeCell ref="L77:L78"/>
    <mergeCell ref="C83:C84"/>
    <mergeCell ref="O83:O84"/>
    <mergeCell ref="N83:N84"/>
    <mergeCell ref="D83:D84"/>
    <mergeCell ref="W73:W74"/>
    <mergeCell ref="W77:W78"/>
    <mergeCell ref="W79:W80"/>
    <mergeCell ref="W83:W84"/>
    <mergeCell ref="O79:O80"/>
    <mergeCell ref="O81:O82"/>
    <mergeCell ref="Q73:Q74"/>
    <mergeCell ref="Q77:Q78"/>
    <mergeCell ref="Q79:Q80"/>
    <mergeCell ref="Q81:Q82"/>
    <mergeCell ref="M81:M82"/>
    <mergeCell ref="P81:P82"/>
    <mergeCell ref="R81:R82"/>
    <mergeCell ref="C81:C82"/>
    <mergeCell ref="W85:W86"/>
    <mergeCell ref="L83:L84"/>
    <mergeCell ref="L85:L86"/>
    <mergeCell ref="N85:N86"/>
    <mergeCell ref="O85:O86"/>
    <mergeCell ref="I83:I84"/>
    <mergeCell ref="J83:J84"/>
    <mergeCell ref="M83:M84"/>
    <mergeCell ref="P83:P84"/>
    <mergeCell ref="R83:R84"/>
    <mergeCell ref="S83:S84"/>
    <mergeCell ref="S85:S86"/>
    <mergeCell ref="P79:P80"/>
    <mergeCell ref="R79:R80"/>
    <mergeCell ref="C79:C80"/>
    <mergeCell ref="W87:W88"/>
    <mergeCell ref="J89:J90"/>
    <mergeCell ref="M89:M90"/>
    <mergeCell ref="P89:P90"/>
    <mergeCell ref="R89:R90"/>
    <mergeCell ref="C89:C90"/>
    <mergeCell ref="W89:W90"/>
    <mergeCell ref="L87:L88"/>
    <mergeCell ref="L89:L90"/>
    <mergeCell ref="N87:N88"/>
    <mergeCell ref="M85:M86"/>
    <mergeCell ref="P85:P86"/>
    <mergeCell ref="R85:R86"/>
    <mergeCell ref="C85:C86"/>
    <mergeCell ref="W91:W92"/>
    <mergeCell ref="I93:I94"/>
    <mergeCell ref="J93:J94"/>
    <mergeCell ref="M93:M94"/>
    <mergeCell ref="P93:P94"/>
    <mergeCell ref="R93:R94"/>
    <mergeCell ref="C93:C94"/>
    <mergeCell ref="W93:W94"/>
    <mergeCell ref="L91:L92"/>
    <mergeCell ref="L93:L94"/>
    <mergeCell ref="N91:N92"/>
    <mergeCell ref="O91:O92"/>
    <mergeCell ref="O93:O94"/>
    <mergeCell ref="D93:D94"/>
    <mergeCell ref="N89:N90"/>
    <mergeCell ref="O87:O88"/>
    <mergeCell ref="J87:J88"/>
    <mergeCell ref="O89:O90"/>
    <mergeCell ref="M87:M88"/>
    <mergeCell ref="S87:S88"/>
    <mergeCell ref="S89:S90"/>
    <mergeCell ref="R87:R88"/>
    <mergeCell ref="W95:W96"/>
    <mergeCell ref="J97:J98"/>
    <mergeCell ref="M97:M98"/>
    <mergeCell ref="P97:P98"/>
    <mergeCell ref="R97:R98"/>
    <mergeCell ref="C97:C98"/>
    <mergeCell ref="W97:W98"/>
    <mergeCell ref="L95:L96"/>
    <mergeCell ref="L97:L98"/>
    <mergeCell ref="N95:N96"/>
    <mergeCell ref="N97:N98"/>
    <mergeCell ref="J95:J96"/>
    <mergeCell ref="M95:M96"/>
    <mergeCell ref="R95:R96"/>
    <mergeCell ref="C95:C96"/>
    <mergeCell ref="S95:S96"/>
    <mergeCell ref="S97:S98"/>
    <mergeCell ref="O95:O96"/>
    <mergeCell ref="O97:O98"/>
    <mergeCell ref="D95:D96"/>
    <mergeCell ref="W99:W100"/>
    <mergeCell ref="J101:J102"/>
    <mergeCell ref="M101:M102"/>
    <mergeCell ref="P101:P102"/>
    <mergeCell ref="R101:R102"/>
    <mergeCell ref="C101:C102"/>
    <mergeCell ref="W101:W102"/>
    <mergeCell ref="L99:L100"/>
    <mergeCell ref="L101:L102"/>
    <mergeCell ref="N99:N100"/>
    <mergeCell ref="N101:N102"/>
    <mergeCell ref="J99:J100"/>
    <mergeCell ref="M99:M100"/>
    <mergeCell ref="P99:P100"/>
    <mergeCell ref="S99:S100"/>
    <mergeCell ref="S101:S102"/>
    <mergeCell ref="O99:O100"/>
    <mergeCell ref="O101:O102"/>
    <mergeCell ref="W103:W104"/>
    <mergeCell ref="I105:I106"/>
    <mergeCell ref="J105:J106"/>
    <mergeCell ref="M105:M106"/>
    <mergeCell ref="P105:P106"/>
    <mergeCell ref="R105:R106"/>
    <mergeCell ref="C105:C106"/>
    <mergeCell ref="W105:W106"/>
    <mergeCell ref="L103:L104"/>
    <mergeCell ref="L105:L106"/>
    <mergeCell ref="N103:N104"/>
    <mergeCell ref="N105:N106"/>
    <mergeCell ref="I103:I104"/>
    <mergeCell ref="J103:J104"/>
    <mergeCell ref="S103:S104"/>
    <mergeCell ref="S105:S106"/>
    <mergeCell ref="O103:O104"/>
    <mergeCell ref="O105:O106"/>
    <mergeCell ref="D103:D104"/>
    <mergeCell ref="D105:D106"/>
    <mergeCell ref="M103:M104"/>
    <mergeCell ref="P103:P104"/>
    <mergeCell ref="R103:R104"/>
    <mergeCell ref="C103:C104"/>
    <mergeCell ref="R99:R100"/>
    <mergeCell ref="C99:C100"/>
    <mergeCell ref="I95:I96"/>
    <mergeCell ref="D35:D36"/>
    <mergeCell ref="D37:D38"/>
    <mergeCell ref="D39:D40"/>
    <mergeCell ref="D41:D42"/>
    <mergeCell ref="D43:D44"/>
    <mergeCell ref="D45:D46"/>
    <mergeCell ref="D57:D58"/>
    <mergeCell ref="D59:D60"/>
    <mergeCell ref="R91:R92"/>
    <mergeCell ref="C91:C92"/>
    <mergeCell ref="S91:S92"/>
    <mergeCell ref="S93:S94"/>
    <mergeCell ref="C87:C88"/>
    <mergeCell ref="L7:L8"/>
    <mergeCell ref="L9:L10"/>
    <mergeCell ref="L17:L18"/>
    <mergeCell ref="L19:L20"/>
    <mergeCell ref="L25:L26"/>
    <mergeCell ref="L27:L28"/>
    <mergeCell ref="L29:L30"/>
    <mergeCell ref="L31:L32"/>
    <mergeCell ref="L33:L34"/>
    <mergeCell ref="L35:L36"/>
    <mergeCell ref="L37:L38"/>
    <mergeCell ref="L39:L40"/>
    <mergeCell ref="D7:D8"/>
    <mergeCell ref="N69:N70"/>
    <mergeCell ref="O69:O70"/>
    <mergeCell ref="J59:J60"/>
    <mergeCell ref="M57:M58"/>
    <mergeCell ref="M59:M60"/>
    <mergeCell ref="L57:L58"/>
    <mergeCell ref="L59:L60"/>
    <mergeCell ref="J57:J58"/>
    <mergeCell ref="N57:N58"/>
    <mergeCell ref="R57:R58"/>
    <mergeCell ref="P57:P58"/>
    <mergeCell ref="N59:N60"/>
    <mergeCell ref="O59:O60"/>
    <mergeCell ref="R59:R60"/>
    <mergeCell ref="Q57:Q58"/>
    <mergeCell ref="Q59:Q60"/>
    <mergeCell ref="Q41:Q42"/>
    <mergeCell ref="N35:N36"/>
    <mergeCell ref="I61:I62"/>
    <mergeCell ref="H57:H58"/>
    <mergeCell ref="G57:G58"/>
    <mergeCell ref="G59:G60"/>
    <mergeCell ref="H59:H60"/>
    <mergeCell ref="G65:G66"/>
    <mergeCell ref="I59:I60"/>
    <mergeCell ref="I57:I58"/>
    <mergeCell ref="L61:L62"/>
    <mergeCell ref="N61:N62"/>
    <mergeCell ref="O61:O62"/>
    <mergeCell ref="H61:H62"/>
    <mergeCell ref="J61:J62"/>
    <mergeCell ref="M61:M62"/>
    <mergeCell ref="P61:P62"/>
    <mergeCell ref="R61:R62"/>
    <mergeCell ref="I85:I86"/>
    <mergeCell ref="J85:J86"/>
    <mergeCell ref="J81:J82"/>
    <mergeCell ref="F147:F148"/>
    <mergeCell ref="G147:G148"/>
    <mergeCell ref="H147:H148"/>
    <mergeCell ref="I147:I148"/>
    <mergeCell ref="F163:F164"/>
    <mergeCell ref="G163:G164"/>
    <mergeCell ref="G171:G172"/>
    <mergeCell ref="H171:H172"/>
    <mergeCell ref="I171:I172"/>
    <mergeCell ref="F173:F174"/>
    <mergeCell ref="G173:G174"/>
    <mergeCell ref="H173:H174"/>
    <mergeCell ref="K95:K96"/>
    <mergeCell ref="K97:K98"/>
    <mergeCell ref="K99:K100"/>
    <mergeCell ref="K101:K102"/>
    <mergeCell ref="K103:K104"/>
    <mergeCell ref="K105:K106"/>
    <mergeCell ref="K123:K124"/>
    <mergeCell ref="K125:K126"/>
    <mergeCell ref="K127:K128"/>
    <mergeCell ref="K129:K130"/>
    <mergeCell ref="K131:K132"/>
    <mergeCell ref="K133:K134"/>
    <mergeCell ref="K135:K136"/>
    <mergeCell ref="P29:P30"/>
    <mergeCell ref="S57:S58"/>
    <mergeCell ref="S59:S60"/>
    <mergeCell ref="O39:O40"/>
    <mergeCell ref="R39:R40"/>
    <mergeCell ref="P45:P46"/>
    <mergeCell ref="P59:P60"/>
    <mergeCell ref="O57:O58"/>
    <mergeCell ref="G69:G70"/>
    <mergeCell ref="G61:G62"/>
    <mergeCell ref="Q61:Q62"/>
    <mergeCell ref="Q65:Q66"/>
    <mergeCell ref="Q69:Q70"/>
    <mergeCell ref="N93:N94"/>
    <mergeCell ref="J91:J92"/>
    <mergeCell ref="M91:M92"/>
    <mergeCell ref="P91:P92"/>
    <mergeCell ref="K77:K78"/>
    <mergeCell ref="K79:K80"/>
    <mergeCell ref="K81:K82"/>
    <mergeCell ref="K83:K84"/>
    <mergeCell ref="K85:K86"/>
    <mergeCell ref="K87:K88"/>
    <mergeCell ref="K89:K90"/>
    <mergeCell ref="K91:K92"/>
    <mergeCell ref="K93:K94"/>
    <mergeCell ref="K61:K62"/>
    <mergeCell ref="K69:K70"/>
    <mergeCell ref="K73:K74"/>
    <mergeCell ref="K65:K66"/>
    <mergeCell ref="O41:O42"/>
    <mergeCell ref="O43:O44"/>
    <mergeCell ref="J147:J148"/>
    <mergeCell ref="J149:J150"/>
    <mergeCell ref="J155:J156"/>
    <mergeCell ref="J157:J158"/>
    <mergeCell ref="J159:J160"/>
    <mergeCell ref="J171:J172"/>
    <mergeCell ref="J173:J174"/>
    <mergeCell ref="J175:J176"/>
    <mergeCell ref="J177:J178"/>
    <mergeCell ref="J231:J232"/>
    <mergeCell ref="J233:J234"/>
    <mergeCell ref="J235:J236"/>
    <mergeCell ref="J187:J188"/>
    <mergeCell ref="J189:J190"/>
    <mergeCell ref="J191:J192"/>
    <mergeCell ref="J221:J222"/>
    <mergeCell ref="J223:J224"/>
    <mergeCell ref="J225:J226"/>
    <mergeCell ref="J179:J180"/>
    <mergeCell ref="J181:J182"/>
    <mergeCell ref="K179:K180"/>
    <mergeCell ref="K181:K182"/>
    <mergeCell ref="K183:K184"/>
    <mergeCell ref="K185:K186"/>
    <mergeCell ref="K187:K188"/>
    <mergeCell ref="K189:K190"/>
    <mergeCell ref="K191:K192"/>
    <mergeCell ref="K197:K198"/>
    <mergeCell ref="K199:K200"/>
    <mergeCell ref="K201:K202"/>
    <mergeCell ref="K171:K172"/>
    <mergeCell ref="K173:K174"/>
    <mergeCell ref="K175:K176"/>
    <mergeCell ref="K177:K178"/>
    <mergeCell ref="K193:K194"/>
    <mergeCell ref="K195:K196"/>
    <mergeCell ref="J199:J200"/>
    <mergeCell ref="J201:J202"/>
    <mergeCell ref="K221:K222"/>
    <mergeCell ref="K223:K224"/>
    <mergeCell ref="K225:K226"/>
    <mergeCell ref="K107:K108"/>
    <mergeCell ref="K109:K110"/>
    <mergeCell ref="K111:K112"/>
    <mergeCell ref="K113:K114"/>
    <mergeCell ref="K115:K116"/>
    <mergeCell ref="K117:K118"/>
    <mergeCell ref="D221:D222"/>
    <mergeCell ref="D223:D224"/>
    <mergeCell ref="D225:D226"/>
    <mergeCell ref="D227:D228"/>
    <mergeCell ref="D229:D230"/>
    <mergeCell ref="D231:D232"/>
    <mergeCell ref="D233:D234"/>
    <mergeCell ref="D235:D236"/>
    <mergeCell ref="K119:K120"/>
    <mergeCell ref="K121:K122"/>
    <mergeCell ref="D107:D108"/>
    <mergeCell ref="D109:D110"/>
    <mergeCell ref="D111:D112"/>
    <mergeCell ref="D113:D114"/>
    <mergeCell ref="D115:D116"/>
    <mergeCell ref="D117:D118"/>
    <mergeCell ref="D119:D120"/>
    <mergeCell ref="D183:D184"/>
    <mergeCell ref="D185:D186"/>
    <mergeCell ref="D187:D188"/>
    <mergeCell ref="D159:D160"/>
    <mergeCell ref="D141:D142"/>
    <mergeCell ref="D143:D144"/>
    <mergeCell ref="D237:D238"/>
    <mergeCell ref="D239:D240"/>
    <mergeCell ref="J165:J166"/>
    <mergeCell ref="K165:K166"/>
    <mergeCell ref="J167:J168"/>
    <mergeCell ref="K167:K168"/>
    <mergeCell ref="J169:J170"/>
    <mergeCell ref="K169:K170"/>
    <mergeCell ref="K145:K146"/>
    <mergeCell ref="K147:K148"/>
    <mergeCell ref="K149:K150"/>
    <mergeCell ref="K207:K208"/>
    <mergeCell ref="K209:K210"/>
    <mergeCell ref="K211:K212"/>
    <mergeCell ref="K213:K214"/>
    <mergeCell ref="K215:K216"/>
    <mergeCell ref="K217:K218"/>
    <mergeCell ref="K219:K220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D215:D216"/>
    <mergeCell ref="D217:D218"/>
    <mergeCell ref="D219:D220"/>
    <mergeCell ref="D179:D180"/>
    <mergeCell ref="D181:D182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P235:P236"/>
    <mergeCell ref="P237:P238"/>
    <mergeCell ref="P239:P240"/>
    <mergeCell ref="P229:P230"/>
    <mergeCell ref="P231:P232"/>
    <mergeCell ref="P233:P234"/>
    <mergeCell ref="M229:M230"/>
    <mergeCell ref="M231:M232"/>
    <mergeCell ref="M233:M234"/>
    <mergeCell ref="M235:M236"/>
    <mergeCell ref="M237:M238"/>
    <mergeCell ref="M239:M240"/>
    <mergeCell ref="B223:B224"/>
    <mergeCell ref="B225:B226"/>
    <mergeCell ref="B227:B228"/>
    <mergeCell ref="B229:B230"/>
    <mergeCell ref="B231:B232"/>
    <mergeCell ref="B233:B234"/>
    <mergeCell ref="K231:K232"/>
    <mergeCell ref="K233:K234"/>
    <mergeCell ref="K235:K236"/>
    <mergeCell ref="B235:B236"/>
    <mergeCell ref="K41:K42"/>
    <mergeCell ref="K43:K44"/>
    <mergeCell ref="K45:K46"/>
    <mergeCell ref="K57:K58"/>
    <mergeCell ref="K59:K60"/>
    <mergeCell ref="J161:J162"/>
    <mergeCell ref="K161:K162"/>
    <mergeCell ref="J163:J164"/>
    <mergeCell ref="K163:K164"/>
    <mergeCell ref="K39:K40"/>
    <mergeCell ref="M127:M128"/>
    <mergeCell ref="M129:M130"/>
    <mergeCell ref="M131:M132"/>
    <mergeCell ref="M133:M134"/>
    <mergeCell ref="M135:M136"/>
    <mergeCell ref="M137:M138"/>
    <mergeCell ref="M139:M140"/>
    <mergeCell ref="M141:M142"/>
    <mergeCell ref="M143:M144"/>
    <mergeCell ref="M145:M146"/>
    <mergeCell ref="M147:M148"/>
    <mergeCell ref="M149:M150"/>
    <mergeCell ref="L141:L142"/>
    <mergeCell ref="L143:L144"/>
    <mergeCell ref="L145:L146"/>
    <mergeCell ref="L147:L148"/>
    <mergeCell ref="K155:K156"/>
    <mergeCell ref="K157:K158"/>
    <mergeCell ref="K159:K160"/>
    <mergeCell ref="J141:J142"/>
    <mergeCell ref="J143:J144"/>
    <mergeCell ref="J145:J146"/>
    <mergeCell ref="B7:B8"/>
    <mergeCell ref="B9:B10"/>
    <mergeCell ref="G29:G30"/>
    <mergeCell ref="G31:G32"/>
    <mergeCell ref="G33:G34"/>
    <mergeCell ref="G35:G36"/>
    <mergeCell ref="G37:G38"/>
    <mergeCell ref="G39:G40"/>
    <mergeCell ref="I29:I30"/>
    <mergeCell ref="I31:I32"/>
    <mergeCell ref="I33:I34"/>
    <mergeCell ref="I35:I36"/>
    <mergeCell ref="I37:I38"/>
    <mergeCell ref="I39:I40"/>
    <mergeCell ref="K29:K30"/>
    <mergeCell ref="K31:K32"/>
    <mergeCell ref="K33:K34"/>
    <mergeCell ref="K35:K36"/>
    <mergeCell ref="K37:K38"/>
    <mergeCell ref="K7:K8"/>
    <mergeCell ref="K9:K10"/>
    <mergeCell ref="K17:K18"/>
    <mergeCell ref="K19:K20"/>
    <mergeCell ref="K25:K26"/>
    <mergeCell ref="K27:K28"/>
    <mergeCell ref="D9:D10"/>
    <mergeCell ref="D17:D18"/>
    <mergeCell ref="D19:D20"/>
    <mergeCell ref="D25:D26"/>
    <mergeCell ref="D27:D28"/>
    <mergeCell ref="D29:D30"/>
    <mergeCell ref="D31:D32"/>
    <mergeCell ref="D147:D148"/>
    <mergeCell ref="D149:D150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93:D194"/>
    <mergeCell ref="D195:D196"/>
    <mergeCell ref="A17:A18"/>
    <mergeCell ref="A19:A20"/>
    <mergeCell ref="B25:B26"/>
    <mergeCell ref="B27:B28"/>
    <mergeCell ref="B17:B18"/>
    <mergeCell ref="B19:B20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57:B58"/>
    <mergeCell ref="B59:B60"/>
    <mergeCell ref="B61:B62"/>
    <mergeCell ref="D33:D34"/>
    <mergeCell ref="B65:B66"/>
    <mergeCell ref="B69:B70"/>
    <mergeCell ref="B73:B74"/>
    <mergeCell ref="B83:B84"/>
    <mergeCell ref="B149:B150"/>
    <mergeCell ref="B155:B156"/>
    <mergeCell ref="B157:B158"/>
    <mergeCell ref="B193:B194"/>
    <mergeCell ref="B195:B196"/>
    <mergeCell ref="B197:B198"/>
    <mergeCell ref="B199:B200"/>
    <mergeCell ref="B201:B202"/>
    <mergeCell ref="B85:B86"/>
    <mergeCell ref="B93:B94"/>
    <mergeCell ref="B95:B96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01:B102"/>
    <mergeCell ref="B99:B100"/>
    <mergeCell ref="B203:B204"/>
    <mergeCell ref="B205:B206"/>
    <mergeCell ref="B207:B208"/>
    <mergeCell ref="B209:B210"/>
    <mergeCell ref="B211:B212"/>
    <mergeCell ref="B213:B214"/>
    <mergeCell ref="B215:B216"/>
    <mergeCell ref="B217:B218"/>
    <mergeCell ref="B219:B220"/>
    <mergeCell ref="B221:B222"/>
    <mergeCell ref="B159:B160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237:B238"/>
    <mergeCell ref="B239:B240"/>
    <mergeCell ref="A57:A58"/>
    <mergeCell ref="A59:A60"/>
    <mergeCell ref="A83:A84"/>
    <mergeCell ref="A85:A86"/>
    <mergeCell ref="A147:A148"/>
    <mergeCell ref="A149:A150"/>
    <mergeCell ref="A155:A156"/>
    <mergeCell ref="A157:A158"/>
    <mergeCell ref="A159:A160"/>
    <mergeCell ref="A193:A194"/>
    <mergeCell ref="A195:A196"/>
    <mergeCell ref="A197:A198"/>
    <mergeCell ref="A199:A200"/>
    <mergeCell ref="A201:A202"/>
    <mergeCell ref="A215:A216"/>
    <mergeCell ref="A217:A218"/>
    <mergeCell ref="A219:A220"/>
    <mergeCell ref="A123:A124"/>
    <mergeCell ref="A125:A126"/>
    <mergeCell ref="A127:A128"/>
    <mergeCell ref="A129:A130"/>
    <mergeCell ref="A131:A132"/>
    <mergeCell ref="A133:A134"/>
    <mergeCell ref="A93:A94"/>
    <mergeCell ref="A95:A96"/>
    <mergeCell ref="A103:A104"/>
    <mergeCell ref="A105:A106"/>
    <mergeCell ref="A107:A108"/>
    <mergeCell ref="A203:A204"/>
    <mergeCell ref="A205:A206"/>
    <mergeCell ref="A207:A208"/>
    <mergeCell ref="A209:A210"/>
    <mergeCell ref="A211:A212"/>
    <mergeCell ref="A213:A214"/>
    <mergeCell ref="A119:A120"/>
    <mergeCell ref="A121:A122"/>
    <mergeCell ref="A135:A136"/>
    <mergeCell ref="A137:A138"/>
    <mergeCell ref="A139:A140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M199:M200"/>
    <mergeCell ref="M201:M202"/>
    <mergeCell ref="M159:M160"/>
    <mergeCell ref="M161:M162"/>
    <mergeCell ref="M163:M164"/>
    <mergeCell ref="M165:M166"/>
    <mergeCell ref="M167:M168"/>
    <mergeCell ref="M169:M170"/>
    <mergeCell ref="M171:M172"/>
    <mergeCell ref="M173:M174"/>
    <mergeCell ref="M175:M176"/>
    <mergeCell ref="M177:M178"/>
    <mergeCell ref="A109:A110"/>
    <mergeCell ref="A111:A112"/>
    <mergeCell ref="A113:A114"/>
    <mergeCell ref="A115:A116"/>
    <mergeCell ref="A117:A118"/>
    <mergeCell ref="A141:A142"/>
    <mergeCell ref="A143:A144"/>
    <mergeCell ref="A145:A146"/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D155:D156"/>
    <mergeCell ref="D157:D158"/>
    <mergeCell ref="D145:D146"/>
    <mergeCell ref="C235:C236"/>
    <mergeCell ref="C237:C238"/>
    <mergeCell ref="C239:C240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28"/>
    <mergeCell ref="C229:C230"/>
    <mergeCell ref="C231:C232"/>
    <mergeCell ref="C233:C234"/>
    <mergeCell ref="C161:C162"/>
    <mergeCell ref="C163:C164"/>
    <mergeCell ref="C147:C148"/>
    <mergeCell ref="C149:C150"/>
    <mergeCell ref="C155:C156"/>
    <mergeCell ref="C157:C158"/>
    <mergeCell ref="C159:C160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5:C126"/>
    <mergeCell ref="C127:C128"/>
    <mergeCell ref="C129:C130"/>
    <mergeCell ref="C131:C132"/>
    <mergeCell ref="C133:C134"/>
    <mergeCell ref="C135:C136"/>
    <mergeCell ref="C145:C146"/>
    <mergeCell ref="C137:C138"/>
    <mergeCell ref="C139:C140"/>
    <mergeCell ref="C141:C142"/>
    <mergeCell ref="C143:C144"/>
    <mergeCell ref="C165:C166"/>
    <mergeCell ref="C167:C168"/>
    <mergeCell ref="M181:M182"/>
    <mergeCell ref="Q87:Q88"/>
    <mergeCell ref="Q89:Q90"/>
    <mergeCell ref="Q91:Q92"/>
    <mergeCell ref="Q97:Q98"/>
    <mergeCell ref="Q99:Q100"/>
    <mergeCell ref="Q101:Q102"/>
    <mergeCell ref="Q141:Q142"/>
    <mergeCell ref="Q143:Q144"/>
    <mergeCell ref="Q145:Q146"/>
    <mergeCell ref="M189:M190"/>
    <mergeCell ref="M191:M192"/>
    <mergeCell ref="M195:M196"/>
  </mergeCells>
  <hyperlinks>
    <hyperlink ref="H51" r:id="rId1" display="https://www.ncbi.nlm.nih.gov/sra?term=SRX7847732" xr:uid="{DFA72B96-63DA-46FE-A8AD-DFEC03CDD2E3}"/>
    <hyperlink ref="H52" r:id="rId2" display="https://www.ncbi.nlm.nih.gov/sra?term=SRX7847733" xr:uid="{4DED4F8E-793B-427B-A7C4-A7CFDB81B6E2}"/>
    <hyperlink ref="I55" r:id="rId3" display="https://trace.ncbi.nlm.nih.gov/Traces?run=SRR3108630" xr:uid="{E9AF4953-5E2A-4DC2-B64E-1411019AE964}"/>
    <hyperlink ref="I56" r:id="rId4" display="https://trace.ncbi.nlm.nih.gov/Traces?run=SRR3108631" xr:uid="{68BB1469-C0A7-431D-8D49-BF24EBB5A1F3}"/>
    <hyperlink ref="H3" r:id="rId5" display="https://www.ncbi.nlm.nih.gov/sra?term=SRX7848053" xr:uid="{10B2EA84-BEDE-8F49-9BB1-F5E205F4B78C}"/>
    <hyperlink ref="H4" r:id="rId6" display="https://www.ncbi.nlm.nih.gov/sra?term=SRX7848054" xr:uid="{E54F3376-2157-9447-A912-943F1AEB41EF}"/>
    <hyperlink ref="H5" r:id="rId7" display="https://www.ncbi.nlm.nih.gov/sra?term=SRX7847713" xr:uid="{47628CE3-589B-6143-B29C-466A6296D1F1}"/>
    <hyperlink ref="H6" r:id="rId8" display="https://www.ncbi.nlm.nih.gov/sra?term=SRX7847714" xr:uid="{D2DC5F66-28A8-224F-868C-697399433844}"/>
    <hyperlink ref="I113" r:id="rId9" xr:uid="{79868BCE-D632-A44D-8D88-628809E12EF7}"/>
  </hyperlinks>
  <pageMargins left="0.7" right="0.7" top="0.75" bottom="0.75" header="0.51180555555555496" footer="0.51180555555555496"/>
  <pageSetup paperSize="9" firstPageNumber="0" orientation="portrait" horizontalDpi="300" verticalDpi="30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RNA-seq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Mark Cock</cp:lastModifiedBy>
  <cp:revision>5</cp:revision>
  <dcterms:created xsi:type="dcterms:W3CDTF">2021-02-24T13:13:07Z</dcterms:created>
  <dcterms:modified xsi:type="dcterms:W3CDTF">2025-08-07T09:10:52Z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