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22680" windowHeight="17595"/>
  </bookViews>
  <sheets>
    <sheet name="data" sheetId="1" r:id="rId1"/>
    <sheet name="summary" sheetId="3" r:id="rId2"/>
  </sheets>
  <externalReferences>
    <externalReference r:id="rId3"/>
  </externalReferences>
  <calcPr calcId="145621" iterateDelta="1E-4"/>
</workbook>
</file>

<file path=xl/calcChain.xml><?xml version="1.0" encoding="utf-8"?>
<calcChain xmlns="http://schemas.openxmlformats.org/spreadsheetml/2006/main">
  <c r="AG153" i="1" l="1"/>
  <c r="AG154" i="1"/>
  <c r="AF154" i="1"/>
  <c r="AF153" i="1"/>
  <c r="X154" i="1"/>
  <c r="X153" i="1"/>
  <c r="R51" i="1"/>
  <c r="R50" i="1"/>
  <c r="R49" i="1"/>
  <c r="AS50" i="1"/>
  <c r="AS51" i="1"/>
  <c r="AR51" i="1"/>
  <c r="AR50" i="1"/>
  <c r="AS47" i="1"/>
  <c r="AS49" i="1"/>
  <c r="AS52" i="1"/>
  <c r="AS48" i="1" s="1"/>
  <c r="AR52" i="1"/>
  <c r="AR48" i="1" s="1"/>
  <c r="AR49" i="1"/>
  <c r="AR47" i="1"/>
  <c r="T50" i="1"/>
  <c r="T51" i="1"/>
  <c r="M51" i="1"/>
  <c r="M50" i="1"/>
  <c r="M153" i="1"/>
  <c r="N153" i="1"/>
  <c r="M154" i="1"/>
  <c r="N154" i="1"/>
  <c r="K51" i="1"/>
  <c r="K50" i="1"/>
  <c r="F51" i="1"/>
  <c r="F50" i="1"/>
  <c r="G154" i="1"/>
  <c r="G153" i="1"/>
  <c r="AG148" i="1" l="1"/>
  <c r="AG149" i="1"/>
  <c r="AG150" i="1" s="1"/>
  <c r="AG151" i="1"/>
  <c r="AG152" i="1"/>
  <c r="AF152" i="1"/>
  <c r="AF151" i="1"/>
  <c r="AF149" i="1"/>
  <c r="AF150" i="1" s="1"/>
  <c r="AF148" i="1"/>
  <c r="X152" i="1"/>
  <c r="X151" i="1"/>
  <c r="X149" i="1"/>
  <c r="X150" i="1" s="1"/>
  <c r="X148" i="1"/>
  <c r="M148" i="1"/>
  <c r="N148" i="1"/>
  <c r="M149" i="1"/>
  <c r="M150" i="1" s="1"/>
  <c r="N149" i="1"/>
  <c r="N150" i="1" s="1"/>
  <c r="M151" i="1"/>
  <c r="N151" i="1"/>
  <c r="M152" i="1"/>
  <c r="N152" i="1"/>
  <c r="D154" i="1"/>
  <c r="D153" i="1"/>
  <c r="D152" i="1"/>
  <c r="D151" i="1"/>
  <c r="D149" i="1"/>
  <c r="D150" i="1" s="1"/>
  <c r="D148" i="1"/>
  <c r="L141" i="1"/>
  <c r="I141" i="1"/>
  <c r="H141" i="1"/>
  <c r="G141" i="1"/>
  <c r="I140" i="1"/>
  <c r="H140" i="1"/>
  <c r="G140" i="1"/>
  <c r="I139" i="1"/>
  <c r="H139" i="1"/>
  <c r="G139" i="1"/>
  <c r="I138" i="1"/>
  <c r="H138" i="1"/>
  <c r="G138" i="1"/>
  <c r="I137" i="1"/>
  <c r="H137" i="1"/>
  <c r="G137" i="1"/>
  <c r="L136" i="1"/>
  <c r="I136" i="1"/>
  <c r="H136" i="1"/>
  <c r="G136" i="1"/>
  <c r="I135" i="1"/>
  <c r="H135" i="1"/>
  <c r="G135" i="1"/>
  <c r="I134" i="1"/>
  <c r="H134" i="1"/>
  <c r="G134" i="1"/>
  <c r="I133" i="1"/>
  <c r="H133" i="1"/>
  <c r="G133" i="1"/>
  <c r="I132" i="1"/>
  <c r="H132" i="1"/>
  <c r="G132" i="1"/>
  <c r="I131" i="1"/>
  <c r="H131" i="1"/>
  <c r="G131" i="1"/>
  <c r="I130" i="1"/>
  <c r="H130" i="1"/>
  <c r="G130" i="1"/>
  <c r="I129" i="1"/>
  <c r="H129" i="1"/>
  <c r="G129" i="1"/>
  <c r="I128" i="1"/>
  <c r="H128" i="1"/>
  <c r="G128" i="1"/>
  <c r="I127" i="1"/>
  <c r="H127" i="1"/>
  <c r="G127" i="1"/>
  <c r="L126" i="1"/>
  <c r="I126" i="1"/>
  <c r="H126" i="1"/>
  <c r="G126" i="1"/>
  <c r="I125" i="1"/>
  <c r="H125" i="1"/>
  <c r="G125" i="1"/>
  <c r="I124" i="1"/>
  <c r="H124" i="1"/>
  <c r="G124" i="1"/>
  <c r="I123" i="1"/>
  <c r="H123" i="1"/>
  <c r="G123" i="1"/>
  <c r="I122" i="1"/>
  <c r="H122" i="1"/>
  <c r="G122" i="1"/>
  <c r="L121" i="1"/>
  <c r="I121" i="1"/>
  <c r="H121" i="1"/>
  <c r="G121" i="1"/>
  <c r="I120" i="1"/>
  <c r="H120" i="1"/>
  <c r="G120" i="1"/>
  <c r="I119" i="1"/>
  <c r="H119" i="1"/>
  <c r="G119" i="1"/>
  <c r="I118" i="1"/>
  <c r="H118" i="1"/>
  <c r="G118" i="1"/>
  <c r="I117" i="1"/>
  <c r="H117" i="1"/>
  <c r="G117" i="1"/>
  <c r="I116" i="1"/>
  <c r="H116" i="1"/>
  <c r="G116" i="1"/>
  <c r="L115" i="1"/>
  <c r="I115" i="1"/>
  <c r="H115" i="1"/>
  <c r="G115" i="1"/>
  <c r="L114" i="1"/>
  <c r="I114" i="1"/>
  <c r="H114" i="1"/>
  <c r="G114" i="1"/>
  <c r="L113" i="1"/>
  <c r="I113" i="1"/>
  <c r="H113" i="1"/>
  <c r="G113" i="1"/>
  <c r="L112" i="1"/>
  <c r="I112" i="1"/>
  <c r="H112" i="1"/>
  <c r="G112" i="1"/>
  <c r="I111" i="1"/>
  <c r="H111" i="1"/>
  <c r="G111" i="1"/>
  <c r="I110" i="1"/>
  <c r="H110" i="1"/>
  <c r="G110" i="1"/>
  <c r="L109" i="1"/>
  <c r="I109" i="1"/>
  <c r="H109" i="1"/>
  <c r="G109" i="1"/>
  <c r="L108" i="1"/>
  <c r="I108" i="1"/>
  <c r="H108" i="1"/>
  <c r="G108" i="1"/>
  <c r="L107" i="1"/>
  <c r="I107" i="1"/>
  <c r="H107" i="1"/>
  <c r="G107" i="1"/>
  <c r="I106" i="1"/>
  <c r="H106" i="1"/>
  <c r="G106" i="1"/>
  <c r="I105" i="1"/>
  <c r="H105" i="1"/>
  <c r="G105" i="1"/>
  <c r="L104" i="1"/>
  <c r="I104" i="1"/>
  <c r="H104" i="1"/>
  <c r="G104" i="1"/>
  <c r="L103" i="1"/>
  <c r="I103" i="1"/>
  <c r="H103" i="1"/>
  <c r="G103" i="1"/>
  <c r="I102" i="1"/>
  <c r="H102" i="1"/>
  <c r="G102" i="1"/>
  <c r="I101" i="1"/>
  <c r="H101" i="1"/>
  <c r="G101" i="1"/>
  <c r="L100" i="1"/>
  <c r="I100" i="1"/>
  <c r="H100" i="1"/>
  <c r="G100" i="1"/>
  <c r="I99" i="1"/>
  <c r="H99" i="1"/>
  <c r="G99" i="1"/>
  <c r="I98" i="1"/>
  <c r="H98" i="1"/>
  <c r="G98" i="1"/>
  <c r="I97" i="1"/>
  <c r="H97" i="1"/>
  <c r="G97" i="1"/>
  <c r="W97" i="1" s="1"/>
  <c r="I96" i="1"/>
  <c r="H96" i="1"/>
  <c r="G96" i="1"/>
  <c r="W96" i="1" s="1"/>
  <c r="I95" i="1"/>
  <c r="H95" i="1"/>
  <c r="G95" i="1"/>
  <c r="W95" i="1" s="1"/>
  <c r="I94" i="1"/>
  <c r="H94" i="1"/>
  <c r="G94" i="1"/>
  <c r="W94" i="1" s="1"/>
  <c r="I93" i="1"/>
  <c r="H93" i="1"/>
  <c r="G93" i="1"/>
  <c r="W93" i="1" s="1"/>
  <c r="L92" i="1"/>
  <c r="I92" i="1"/>
  <c r="H92" i="1"/>
  <c r="G92" i="1"/>
  <c r="L91" i="1"/>
  <c r="I91" i="1"/>
  <c r="H91" i="1"/>
  <c r="G91" i="1"/>
  <c r="I90" i="1"/>
  <c r="H90" i="1"/>
  <c r="G90" i="1"/>
  <c r="K89" i="1"/>
  <c r="H88" i="1"/>
  <c r="G88" i="1"/>
  <c r="I87" i="1"/>
  <c r="H87" i="1"/>
  <c r="G87" i="1"/>
  <c r="I86" i="1"/>
  <c r="H86" i="1"/>
  <c r="G86" i="1"/>
  <c r="V84" i="1"/>
  <c r="U84" i="1"/>
  <c r="T84" i="1"/>
  <c r="S84" i="1"/>
  <c r="R84" i="1"/>
  <c r="H84" i="1"/>
  <c r="K84" i="1" s="1"/>
  <c r="H83" i="1"/>
  <c r="K83" i="1" s="1"/>
  <c r="V82" i="1"/>
  <c r="U82" i="1"/>
  <c r="T82" i="1"/>
  <c r="S82" i="1"/>
  <c r="R82" i="1"/>
  <c r="H82" i="1"/>
  <c r="K82" i="1" s="1"/>
  <c r="V81" i="1"/>
  <c r="U81" i="1"/>
  <c r="T81" i="1"/>
  <c r="S81" i="1"/>
  <c r="R81" i="1"/>
  <c r="H81" i="1"/>
  <c r="K81" i="1" s="1"/>
  <c r="V80" i="1"/>
  <c r="U80" i="1"/>
  <c r="T80" i="1"/>
  <c r="S80" i="1"/>
  <c r="H80" i="1"/>
  <c r="K80" i="1" s="1"/>
  <c r="V79" i="1"/>
  <c r="U79" i="1"/>
  <c r="T79" i="1"/>
  <c r="S79" i="1"/>
  <c r="R79" i="1"/>
  <c r="H79" i="1"/>
  <c r="K79" i="1" s="1"/>
  <c r="V78" i="1"/>
  <c r="U78" i="1"/>
  <c r="T78" i="1"/>
  <c r="S78" i="1"/>
  <c r="H78" i="1"/>
  <c r="K78" i="1" s="1"/>
  <c r="H77" i="1"/>
  <c r="K77" i="1" s="1"/>
  <c r="V76" i="1"/>
  <c r="U76" i="1"/>
  <c r="T76" i="1"/>
  <c r="S76" i="1"/>
  <c r="H76" i="1"/>
  <c r="K76" i="1" s="1"/>
  <c r="V75" i="1"/>
  <c r="H75" i="1"/>
  <c r="K75" i="1" s="1"/>
  <c r="V74" i="1"/>
  <c r="H74" i="1"/>
  <c r="K74" i="1" s="1"/>
  <c r="V73" i="1"/>
  <c r="U73" i="1"/>
  <c r="S73" i="1"/>
  <c r="H73" i="1"/>
  <c r="K73" i="1" s="1"/>
  <c r="H72" i="1"/>
  <c r="K72" i="1" s="1"/>
  <c r="V71" i="1"/>
  <c r="T71" i="1"/>
  <c r="S71" i="1"/>
  <c r="R71" i="1"/>
  <c r="H71" i="1"/>
  <c r="K71" i="1" s="1"/>
  <c r="H70" i="1"/>
  <c r="K70" i="1" s="1"/>
  <c r="V69" i="1"/>
  <c r="U69" i="1"/>
  <c r="T69" i="1"/>
  <c r="S69" i="1"/>
  <c r="R69" i="1"/>
  <c r="H69" i="1"/>
  <c r="K69" i="1" s="1"/>
  <c r="V68" i="1"/>
  <c r="U68" i="1"/>
  <c r="T68" i="1"/>
  <c r="S68" i="1"/>
  <c r="R68" i="1"/>
  <c r="H68" i="1"/>
  <c r="K68" i="1" s="1"/>
  <c r="V67" i="1"/>
  <c r="U67" i="1"/>
  <c r="T67" i="1"/>
  <c r="S67" i="1"/>
  <c r="R67" i="1"/>
  <c r="H67" i="1"/>
  <c r="K67" i="1" s="1"/>
  <c r="H66" i="1"/>
  <c r="K66" i="1" s="1"/>
  <c r="V65" i="1"/>
  <c r="S65" i="1"/>
  <c r="R65" i="1"/>
  <c r="H65" i="1"/>
  <c r="K65" i="1" s="1"/>
  <c r="V64" i="1"/>
  <c r="H64" i="1"/>
  <c r="K64" i="1" s="1"/>
  <c r="H63" i="1"/>
  <c r="K63" i="1" s="1"/>
  <c r="V62" i="1"/>
  <c r="S62" i="1"/>
  <c r="H62" i="1"/>
  <c r="K62" i="1" s="1"/>
  <c r="V61" i="1"/>
  <c r="U61" i="1"/>
  <c r="T61" i="1"/>
  <c r="S61" i="1"/>
  <c r="R61" i="1"/>
  <c r="H61" i="1"/>
  <c r="K61" i="1" s="1"/>
  <c r="L153" i="1" l="1"/>
  <c r="L154" i="1"/>
  <c r="K95" i="1"/>
  <c r="K97" i="1"/>
  <c r="K130" i="1"/>
  <c r="K134" i="1"/>
  <c r="K139" i="1"/>
  <c r="K117" i="1"/>
  <c r="K128" i="1"/>
  <c r="K132" i="1"/>
  <c r="K136" i="1"/>
  <c r="K141" i="1"/>
  <c r="K125" i="1"/>
  <c r="K126" i="1"/>
  <c r="K127" i="1"/>
  <c r="K131" i="1"/>
  <c r="K135" i="1"/>
  <c r="K140" i="1"/>
  <c r="K129" i="1"/>
  <c r="K133" i="1"/>
  <c r="K138" i="1"/>
  <c r="K87" i="1"/>
  <c r="K92" i="1"/>
  <c r="K94" i="1"/>
  <c r="K113" i="1"/>
  <c r="K116" i="1"/>
  <c r="K118" i="1"/>
  <c r="G148" i="1"/>
  <c r="K98" i="1"/>
  <c r="K102" i="1"/>
  <c r="K105" i="1"/>
  <c r="K110" i="1"/>
  <c r="K104" i="1"/>
  <c r="K109" i="1"/>
  <c r="K86" i="1"/>
  <c r="K88" i="1"/>
  <c r="K93" i="1"/>
  <c r="K100" i="1"/>
  <c r="K108" i="1"/>
  <c r="K111" i="1"/>
  <c r="K119" i="1"/>
  <c r="K121" i="1"/>
  <c r="K137" i="1"/>
  <c r="K96" i="1"/>
  <c r="K91" i="1"/>
  <c r="K101" i="1"/>
  <c r="K103" i="1"/>
  <c r="K106" i="1"/>
  <c r="K112" i="1"/>
  <c r="K122" i="1"/>
  <c r="K123" i="1"/>
  <c r="K124" i="1"/>
  <c r="K107" i="1"/>
  <c r="K115" i="1"/>
  <c r="K120" i="1"/>
  <c r="K90" i="1"/>
  <c r="K99" i="1"/>
  <c r="K114" i="1"/>
  <c r="L148" i="1"/>
  <c r="G149" i="1"/>
  <c r="G150" i="1" s="1"/>
  <c r="G151" i="1"/>
  <c r="L152" i="1"/>
  <c r="L149" i="1"/>
  <c r="L150" i="1" s="1"/>
  <c r="L151" i="1"/>
  <c r="G152" i="1"/>
  <c r="Y96" i="3" l="1"/>
  <c r="J52" i="3"/>
  <c r="Y90" i="3"/>
  <c r="Y92" i="3"/>
  <c r="Y93" i="3"/>
  <c r="Y94" i="3"/>
  <c r="Y95" i="3"/>
  <c r="Y91" i="3" s="1"/>
  <c r="Y4" i="3"/>
  <c r="Y5" i="3"/>
  <c r="Y6" i="3"/>
  <c r="Y7" i="3"/>
  <c r="Y8" i="3"/>
  <c r="Y9" i="3"/>
  <c r="Y10" i="3"/>
  <c r="Y11" i="3"/>
  <c r="Y12" i="3"/>
  <c r="Y13" i="3"/>
  <c r="Y14" i="3"/>
  <c r="Y15" i="3"/>
  <c r="Y16" i="3"/>
  <c r="Y17" i="3"/>
  <c r="Y18" i="3"/>
  <c r="Y19" i="3"/>
  <c r="Y20" i="3"/>
  <c r="Y21" i="3"/>
  <c r="Y22" i="3"/>
  <c r="Y23" i="3"/>
  <c r="Y24" i="3"/>
  <c r="Y25" i="3"/>
  <c r="Y26" i="3"/>
  <c r="Y27" i="3"/>
  <c r="Y28" i="3"/>
  <c r="Y29" i="3"/>
  <c r="Y30" i="3"/>
  <c r="Y31" i="3"/>
  <c r="Y32" i="3"/>
  <c r="Y33" i="3"/>
  <c r="Y34" i="3"/>
  <c r="Y35" i="3"/>
  <c r="Y36" i="3"/>
  <c r="Y37" i="3"/>
  <c r="Y38" i="3"/>
  <c r="Y39" i="3"/>
  <c r="Y40" i="3"/>
  <c r="Y41" i="3"/>
  <c r="Y42" i="3"/>
  <c r="Y43" i="3"/>
  <c r="Y44" i="3"/>
  <c r="Y45" i="3"/>
  <c r="Y46" i="3"/>
  <c r="Y47" i="3"/>
  <c r="Y48" i="3"/>
  <c r="Y49" i="3"/>
  <c r="Y50" i="3"/>
  <c r="Y51" i="3"/>
  <c r="Y52" i="3"/>
  <c r="Y53" i="3"/>
  <c r="Y54" i="3"/>
  <c r="Y55" i="3"/>
  <c r="Y56" i="3"/>
  <c r="Y57" i="3"/>
  <c r="Y58" i="3"/>
  <c r="Y59" i="3"/>
  <c r="Y60" i="3"/>
  <c r="Y61" i="3"/>
  <c r="Y62" i="3"/>
  <c r="Y63" i="3"/>
  <c r="Y64" i="3"/>
  <c r="Y65" i="3"/>
  <c r="Y66" i="3"/>
  <c r="Y67" i="3"/>
  <c r="Y68" i="3"/>
  <c r="Y69" i="3"/>
  <c r="Y70" i="3"/>
  <c r="Y71" i="3"/>
  <c r="Y72" i="3"/>
  <c r="Y73" i="3"/>
  <c r="Y74" i="3"/>
  <c r="Y75" i="3"/>
  <c r="Y76" i="3"/>
  <c r="Y77" i="3"/>
  <c r="Y78" i="3"/>
  <c r="Y79" i="3"/>
  <c r="Y80" i="3"/>
  <c r="Y81" i="3"/>
  <c r="Y82" i="3"/>
  <c r="Y83" i="3"/>
  <c r="Y84" i="3"/>
  <c r="Y85" i="3"/>
  <c r="Y86" i="3"/>
  <c r="Y87" i="3"/>
  <c r="Y88" i="3"/>
  <c r="Y3" i="3"/>
  <c r="J4" i="3"/>
  <c r="J6" i="3"/>
  <c r="J7" i="3"/>
  <c r="J8" i="3"/>
  <c r="J9" i="3"/>
  <c r="J10" i="3"/>
  <c r="J11" i="3"/>
  <c r="J12" i="3"/>
  <c r="J13" i="3"/>
  <c r="J14" i="3"/>
  <c r="J15" i="3"/>
  <c r="J16" i="3"/>
  <c r="J17" i="3"/>
  <c r="J18" i="3"/>
  <c r="J19" i="3"/>
  <c r="J20" i="3"/>
  <c r="J21" i="3"/>
  <c r="J22" i="3"/>
  <c r="J23" i="3"/>
  <c r="J24" i="3"/>
  <c r="J25" i="3"/>
  <c r="J26" i="3"/>
  <c r="J27" i="3"/>
  <c r="J28" i="3"/>
  <c r="J29" i="3"/>
  <c r="J30" i="3"/>
  <c r="J31" i="3"/>
  <c r="J32" i="3"/>
  <c r="J33" i="3"/>
  <c r="J34" i="3"/>
  <c r="J35" i="3"/>
  <c r="J36" i="3"/>
  <c r="J37" i="3"/>
  <c r="J38" i="3"/>
  <c r="J39" i="3"/>
  <c r="J40" i="3"/>
  <c r="J41" i="3"/>
  <c r="J42" i="3"/>
  <c r="J43" i="3"/>
  <c r="J44" i="3"/>
  <c r="J3" i="3"/>
  <c r="J46" i="3" s="1"/>
  <c r="J50" i="3" l="1"/>
  <c r="J49" i="3"/>
  <c r="J48" i="3"/>
  <c r="J51" i="3"/>
  <c r="J47" i="3" s="1"/>
  <c r="E49" i="3" l="1"/>
  <c r="E50" i="3"/>
  <c r="T95" i="3"/>
  <c r="V95" i="3"/>
  <c r="X95" i="3"/>
  <c r="AA95" i="3"/>
  <c r="AB95" i="3"/>
  <c r="AC95" i="3"/>
  <c r="T90" i="3"/>
  <c r="V90" i="3"/>
  <c r="X90" i="3"/>
  <c r="AA90" i="3"/>
  <c r="AB90" i="3"/>
  <c r="AC90" i="3"/>
  <c r="T91" i="3"/>
  <c r="V91" i="3"/>
  <c r="X91" i="3"/>
  <c r="AA91" i="3"/>
  <c r="AB91" i="3"/>
  <c r="AC91" i="3"/>
  <c r="T92" i="3"/>
  <c r="V92" i="3"/>
  <c r="X92" i="3"/>
  <c r="AA92" i="3"/>
  <c r="AB92" i="3"/>
  <c r="AC92" i="3"/>
  <c r="T93" i="3"/>
  <c r="V93" i="3"/>
  <c r="X93" i="3"/>
  <c r="AA93" i="3"/>
  <c r="AB93" i="3"/>
  <c r="AC93" i="3"/>
  <c r="T94" i="3"/>
  <c r="V94" i="3"/>
  <c r="X94" i="3"/>
  <c r="AA94" i="3"/>
  <c r="AB94" i="3"/>
  <c r="AC94" i="3"/>
  <c r="Q95" i="3"/>
  <c r="Q94" i="3"/>
  <c r="Q93" i="3"/>
  <c r="Q92" i="3"/>
  <c r="Q91" i="3"/>
  <c r="Q90" i="3"/>
  <c r="R4" i="3"/>
  <c r="R5" i="3"/>
  <c r="R6" i="3"/>
  <c r="R7" i="3"/>
  <c r="R8" i="3"/>
  <c r="R9" i="3"/>
  <c r="R10" i="3"/>
  <c r="R11" i="3"/>
  <c r="R12" i="3"/>
  <c r="R13" i="3"/>
  <c r="R14" i="3"/>
  <c r="R15" i="3"/>
  <c r="R16" i="3"/>
  <c r="R17" i="3"/>
  <c r="R18" i="3"/>
  <c r="R19" i="3"/>
  <c r="R20" i="3"/>
  <c r="R21" i="3"/>
  <c r="R22" i="3"/>
  <c r="R23" i="3"/>
  <c r="R24" i="3"/>
  <c r="R25" i="3"/>
  <c r="R26" i="3"/>
  <c r="R27" i="3"/>
  <c r="R28" i="3"/>
  <c r="R29" i="3"/>
  <c r="R30" i="3"/>
  <c r="R31" i="3"/>
  <c r="R32" i="3"/>
  <c r="R33" i="3"/>
  <c r="R34" i="3"/>
  <c r="R35" i="3"/>
  <c r="R36" i="3"/>
  <c r="R37" i="3"/>
  <c r="R38" i="3"/>
  <c r="R39" i="3"/>
  <c r="R40" i="3"/>
  <c r="R41" i="3"/>
  <c r="R42" i="3"/>
  <c r="R43" i="3"/>
  <c r="R44" i="3"/>
  <c r="R45" i="3"/>
  <c r="R46" i="3"/>
  <c r="R47" i="3"/>
  <c r="R48" i="3"/>
  <c r="R49" i="3"/>
  <c r="R50" i="3"/>
  <c r="R51" i="3"/>
  <c r="R52" i="3"/>
  <c r="R53" i="3"/>
  <c r="R54" i="3"/>
  <c r="R55" i="3"/>
  <c r="R56" i="3"/>
  <c r="R57" i="3"/>
  <c r="R58" i="3"/>
  <c r="R59" i="3"/>
  <c r="R60" i="3"/>
  <c r="R61" i="3"/>
  <c r="R62" i="3"/>
  <c r="R63" i="3"/>
  <c r="R64" i="3"/>
  <c r="R65" i="3"/>
  <c r="R66" i="3"/>
  <c r="R67" i="3"/>
  <c r="R68" i="3"/>
  <c r="R69" i="3"/>
  <c r="R70" i="3"/>
  <c r="R71" i="3"/>
  <c r="R72" i="3"/>
  <c r="R73" i="3"/>
  <c r="R74" i="3"/>
  <c r="R75" i="3"/>
  <c r="R76" i="3"/>
  <c r="R77" i="3"/>
  <c r="R78" i="3"/>
  <c r="R79" i="3"/>
  <c r="R80" i="3"/>
  <c r="R81" i="3"/>
  <c r="R82" i="3"/>
  <c r="R83" i="3"/>
  <c r="R84" i="3"/>
  <c r="R85" i="3"/>
  <c r="R86" i="3"/>
  <c r="R87" i="3"/>
  <c r="R88" i="3"/>
  <c r="R3" i="3"/>
  <c r="S26" i="3"/>
  <c r="S25" i="3"/>
  <c r="S24" i="3"/>
  <c r="S23" i="3"/>
  <c r="S22" i="3"/>
  <c r="S21" i="3"/>
  <c r="S20" i="3"/>
  <c r="S19" i="3"/>
  <c r="S18" i="3"/>
  <c r="S17" i="3"/>
  <c r="S16" i="3"/>
  <c r="S15" i="3"/>
  <c r="S14" i="3"/>
  <c r="S13" i="3"/>
  <c r="S12" i="3"/>
  <c r="S11" i="3"/>
  <c r="S10" i="3"/>
  <c r="S9" i="3"/>
  <c r="S8" i="3"/>
  <c r="S7" i="3"/>
  <c r="S6" i="3"/>
  <c r="S5" i="3"/>
  <c r="S4" i="3"/>
  <c r="S3" i="3"/>
  <c r="H41" i="1"/>
  <c r="J41" i="1"/>
  <c r="E51" i="3"/>
  <c r="E47" i="3" s="1"/>
  <c r="E46" i="3"/>
  <c r="D46" i="3"/>
  <c r="D48" i="3"/>
  <c r="E48" i="3"/>
  <c r="D49" i="3"/>
  <c r="D50" i="3"/>
  <c r="D51" i="3"/>
  <c r="D47" i="3" s="1"/>
  <c r="W95" i="3" l="1"/>
  <c r="W91" i="3" s="1"/>
  <c r="R95" i="3"/>
  <c r="R91" i="3" s="1"/>
  <c r="S94" i="3"/>
  <c r="S93" i="3"/>
  <c r="S92" i="3"/>
  <c r="S90" i="3"/>
  <c r="S95" i="3"/>
  <c r="S91" i="3" s="1"/>
  <c r="W94" i="3"/>
  <c r="W93" i="3"/>
  <c r="W92" i="3"/>
  <c r="W90" i="3"/>
  <c r="R90" i="3"/>
  <c r="R93" i="3"/>
  <c r="R92" i="3"/>
  <c r="R94" i="3"/>
  <c r="U82" i="3" l="1"/>
  <c r="Z3" i="3"/>
  <c r="U3" i="3"/>
  <c r="Z88" i="3"/>
  <c r="Z7" i="3"/>
  <c r="Z11" i="3"/>
  <c r="Z15" i="3"/>
  <c r="Z19" i="3"/>
  <c r="Z23" i="3"/>
  <c r="Z27" i="3"/>
  <c r="Z31" i="3"/>
  <c r="Z35" i="3"/>
  <c r="Z39" i="3"/>
  <c r="Z43" i="3"/>
  <c r="Z47" i="3"/>
  <c r="Z51" i="3"/>
  <c r="Z55" i="3"/>
  <c r="Z59" i="3"/>
  <c r="Z63" i="3"/>
  <c r="Z67" i="3"/>
  <c r="Z71" i="3"/>
  <c r="Z75" i="3"/>
  <c r="Z79" i="3"/>
  <c r="Z83" i="3"/>
  <c r="Z87" i="3"/>
  <c r="Z4" i="3"/>
  <c r="Z8" i="3"/>
  <c r="Z12" i="3"/>
  <c r="Z16" i="3"/>
  <c r="Z20" i="3"/>
  <c r="Z24" i="3"/>
  <c r="Z28" i="3"/>
  <c r="Z32" i="3"/>
  <c r="Z36" i="3"/>
  <c r="Z40" i="3"/>
  <c r="Z44" i="3"/>
  <c r="Z48" i="3"/>
  <c r="Z52" i="3"/>
  <c r="Z56" i="3"/>
  <c r="Z60" i="3"/>
  <c r="Z64" i="3"/>
  <c r="Z68" i="3"/>
  <c r="Z72" i="3"/>
  <c r="Z76" i="3"/>
  <c r="Z80" i="3"/>
  <c r="Z84" i="3"/>
  <c r="Z5" i="3"/>
  <c r="Z9" i="3"/>
  <c r="Z13" i="3"/>
  <c r="Z17" i="3"/>
  <c r="Z21" i="3"/>
  <c r="Z25" i="3"/>
  <c r="Z29" i="3"/>
  <c r="Z33" i="3"/>
  <c r="Z37" i="3"/>
  <c r="Z41" i="3"/>
  <c r="Z45" i="3"/>
  <c r="Z49" i="3"/>
  <c r="Z53" i="3"/>
  <c r="Z57" i="3"/>
  <c r="Z61" i="3"/>
  <c r="Z65" i="3"/>
  <c r="Z69" i="3"/>
  <c r="Z73" i="3"/>
  <c r="Z77" i="3"/>
  <c r="Z81" i="3"/>
  <c r="Z85" i="3"/>
  <c r="Z6" i="3"/>
  <c r="Z10" i="3"/>
  <c r="Z14" i="3"/>
  <c r="Z18" i="3"/>
  <c r="Z22" i="3"/>
  <c r="Z26" i="3"/>
  <c r="Z30" i="3"/>
  <c r="Z34" i="3"/>
  <c r="Z38" i="3"/>
  <c r="Z42" i="3"/>
  <c r="Z46" i="3"/>
  <c r="Z50" i="3"/>
  <c r="Z54" i="3"/>
  <c r="Z58" i="3"/>
  <c r="Z62" i="3"/>
  <c r="Z66" i="3"/>
  <c r="Z70" i="3"/>
  <c r="Z74" i="3"/>
  <c r="Z78" i="3"/>
  <c r="Z82" i="3"/>
  <c r="Z86" i="3"/>
  <c r="U24" i="3"/>
  <c r="U68" i="3"/>
  <c r="U13" i="3"/>
  <c r="U29" i="3"/>
  <c r="U45" i="3"/>
  <c r="U61" i="3"/>
  <c r="U77" i="3"/>
  <c r="U6" i="3"/>
  <c r="U22" i="3"/>
  <c r="U38" i="3"/>
  <c r="U54" i="3"/>
  <c r="U86" i="3"/>
  <c r="U19" i="3"/>
  <c r="U35" i="3"/>
  <c r="U51" i="3"/>
  <c r="U67" i="3"/>
  <c r="U83" i="3"/>
  <c r="U20" i="3"/>
  <c r="U44" i="3"/>
  <c r="U72" i="3"/>
  <c r="U66" i="3"/>
  <c r="U36" i="3"/>
  <c r="U84" i="3"/>
  <c r="U17" i="3"/>
  <c r="U33" i="3"/>
  <c r="U49" i="3"/>
  <c r="U65" i="3"/>
  <c r="U81" i="3"/>
  <c r="U10" i="3"/>
  <c r="U26" i="3"/>
  <c r="U42" i="3"/>
  <c r="U58" i="3"/>
  <c r="U7" i="3"/>
  <c r="U23" i="3"/>
  <c r="U39" i="3"/>
  <c r="U55" i="3"/>
  <c r="U71" i="3"/>
  <c r="U87" i="3"/>
  <c r="U28" i="3"/>
  <c r="U52" i="3"/>
  <c r="U76" i="3"/>
  <c r="U70" i="3"/>
  <c r="U4" i="3"/>
  <c r="U48" i="3"/>
  <c r="U5" i="3"/>
  <c r="U21" i="3"/>
  <c r="U37" i="3"/>
  <c r="U53" i="3"/>
  <c r="U69" i="3"/>
  <c r="U85" i="3"/>
  <c r="U14" i="3"/>
  <c r="U30" i="3"/>
  <c r="U46" i="3"/>
  <c r="U62" i="3"/>
  <c r="U11" i="3"/>
  <c r="U27" i="3"/>
  <c r="U43" i="3"/>
  <c r="U59" i="3"/>
  <c r="U75" i="3"/>
  <c r="U12" i="3"/>
  <c r="U32" i="3"/>
  <c r="U60" i="3"/>
  <c r="U80" i="3"/>
  <c r="U78" i="3"/>
  <c r="U8" i="3"/>
  <c r="U56" i="3"/>
  <c r="U9" i="3"/>
  <c r="U25" i="3"/>
  <c r="U41" i="3"/>
  <c r="U57" i="3"/>
  <c r="U73" i="3"/>
  <c r="U18" i="3"/>
  <c r="U34" i="3"/>
  <c r="U50" i="3"/>
  <c r="U74" i="3"/>
  <c r="U15" i="3"/>
  <c r="U31" i="3"/>
  <c r="U47" i="3"/>
  <c r="U63" i="3"/>
  <c r="U79" i="3"/>
  <c r="U16" i="3"/>
  <c r="U40" i="3"/>
  <c r="U64" i="3"/>
  <c r="U88" i="3"/>
  <c r="U94" i="3" l="1"/>
  <c r="Z92" i="3"/>
  <c r="Z93" i="3"/>
  <c r="U92" i="3"/>
  <c r="U93" i="3"/>
  <c r="Z94" i="3"/>
  <c r="C4" i="3" l="1"/>
  <c r="C6" i="3"/>
  <c r="C7" i="3"/>
  <c r="C8" i="3"/>
  <c r="C9" i="3"/>
  <c r="C10" i="3"/>
  <c r="C11" i="3"/>
  <c r="C12" i="3"/>
  <c r="C13" i="3"/>
  <c r="C14" i="3"/>
  <c r="C15" i="3"/>
  <c r="C16" i="3"/>
  <c r="C17" i="3"/>
  <c r="C18" i="3"/>
  <c r="C19" i="3"/>
  <c r="C20" i="3"/>
  <c r="C21" i="3"/>
  <c r="C22" i="3"/>
  <c r="C23" i="3"/>
  <c r="C24" i="3"/>
  <c r="C25" i="3"/>
  <c r="C26" i="3"/>
  <c r="C28" i="3"/>
  <c r="C29" i="3"/>
  <c r="C30" i="3"/>
  <c r="C31" i="3"/>
  <c r="C32" i="3"/>
  <c r="C33" i="3"/>
  <c r="C34" i="3"/>
  <c r="C35" i="3"/>
  <c r="C36" i="3"/>
  <c r="C37" i="3"/>
  <c r="C38" i="3"/>
  <c r="C39" i="3"/>
  <c r="C40" i="3"/>
  <c r="C41" i="3"/>
  <c r="C42" i="3"/>
  <c r="C43" i="3"/>
  <c r="C44" i="3"/>
  <c r="C3" i="3"/>
  <c r="G46" i="3"/>
  <c r="H46" i="3"/>
  <c r="I46" i="3"/>
  <c r="L46" i="3"/>
  <c r="M46" i="3"/>
  <c r="N46" i="3"/>
  <c r="G48" i="3"/>
  <c r="H48" i="3"/>
  <c r="I48" i="3"/>
  <c r="L48" i="3"/>
  <c r="M48" i="3"/>
  <c r="N48" i="3"/>
  <c r="G49" i="3"/>
  <c r="H49" i="3"/>
  <c r="I49" i="3"/>
  <c r="L49" i="3"/>
  <c r="M49" i="3"/>
  <c r="N49" i="3"/>
  <c r="G50" i="3"/>
  <c r="H50" i="3"/>
  <c r="I50" i="3"/>
  <c r="L50" i="3"/>
  <c r="M50" i="3"/>
  <c r="N50" i="3"/>
  <c r="G51" i="3"/>
  <c r="G47" i="3" s="1"/>
  <c r="H51" i="3"/>
  <c r="H47" i="3" s="1"/>
  <c r="I51" i="3"/>
  <c r="I47" i="3" s="1"/>
  <c r="L51" i="3"/>
  <c r="L47" i="3" s="1"/>
  <c r="M51" i="3"/>
  <c r="M47" i="3" s="1"/>
  <c r="N51" i="3"/>
  <c r="N47" i="3" s="1"/>
  <c r="B27" i="3"/>
  <c r="C27" i="3" s="1"/>
  <c r="B46" i="3" l="1"/>
  <c r="B50" i="3"/>
  <c r="C46" i="3"/>
  <c r="B51" i="3"/>
  <c r="B47" i="3" s="1"/>
  <c r="B49" i="3"/>
  <c r="B48" i="3"/>
  <c r="C50" i="3"/>
  <c r="C49" i="3"/>
  <c r="C48" i="3"/>
  <c r="F3" i="3" s="1"/>
  <c r="K3" i="3" s="1"/>
  <c r="C51" i="3"/>
  <c r="C47" i="3" s="1"/>
  <c r="F6" i="3" l="1"/>
  <c r="K6" i="3" s="1"/>
  <c r="F39" i="3"/>
  <c r="K39" i="3" s="1"/>
  <c r="F28" i="3"/>
  <c r="K28" i="3" s="1"/>
  <c r="F44" i="3"/>
  <c r="K44" i="3" s="1"/>
  <c r="F20" i="3"/>
  <c r="K20" i="3" s="1"/>
  <c r="F37" i="3"/>
  <c r="K37" i="3" s="1"/>
  <c r="F17" i="3"/>
  <c r="K17" i="3" s="1"/>
  <c r="F34" i="3"/>
  <c r="K34" i="3" s="1"/>
  <c r="F10" i="3"/>
  <c r="K10" i="3" s="1"/>
  <c r="F26" i="3"/>
  <c r="K26" i="3" s="1"/>
  <c r="F43" i="3"/>
  <c r="K43" i="3" s="1"/>
  <c r="F15" i="3"/>
  <c r="K15" i="3" s="1"/>
  <c r="F32" i="3"/>
  <c r="K32" i="3" s="1"/>
  <c r="F8" i="3"/>
  <c r="K8" i="3" s="1"/>
  <c r="F24" i="3"/>
  <c r="K24" i="3" s="1"/>
  <c r="F41" i="3"/>
  <c r="K41" i="3" s="1"/>
  <c r="F9" i="3"/>
  <c r="K9" i="3" s="1"/>
  <c r="F25" i="3"/>
  <c r="K25" i="3" s="1"/>
  <c r="F42" i="3"/>
  <c r="K42" i="3" s="1"/>
  <c r="F18" i="3"/>
  <c r="K18" i="3" s="1"/>
  <c r="F35" i="3"/>
  <c r="K35" i="3" s="1"/>
  <c r="F7" i="3"/>
  <c r="F23" i="3"/>
  <c r="K23" i="3" s="1"/>
  <c r="F40" i="3"/>
  <c r="K40" i="3" s="1"/>
  <c r="F16" i="3"/>
  <c r="K16" i="3" s="1"/>
  <c r="F33" i="3"/>
  <c r="K33" i="3" s="1"/>
  <c r="F13" i="3"/>
  <c r="K13" i="3" s="1"/>
  <c r="F30" i="3"/>
  <c r="K30" i="3" s="1"/>
  <c r="F22" i="3"/>
  <c r="K22" i="3" s="1"/>
  <c r="F11" i="3"/>
  <c r="K11" i="3" s="1"/>
  <c r="F4" i="3"/>
  <c r="F21" i="3"/>
  <c r="K21" i="3" s="1"/>
  <c r="F38" i="3"/>
  <c r="K38" i="3" s="1"/>
  <c r="F14" i="3"/>
  <c r="K14" i="3" s="1"/>
  <c r="F31" i="3"/>
  <c r="K31" i="3" s="1"/>
  <c r="F27" i="3"/>
  <c r="K27" i="3" s="1"/>
  <c r="F19" i="3"/>
  <c r="K19" i="3" s="1"/>
  <c r="F36" i="3"/>
  <c r="K36" i="3" s="1"/>
  <c r="F12" i="3"/>
  <c r="K12" i="3" s="1"/>
  <c r="F29" i="3"/>
  <c r="K29" i="3" s="1"/>
  <c r="X52" i="1"/>
  <c r="X48" i="1" s="1"/>
  <c r="X51" i="1"/>
  <c r="X50" i="1"/>
  <c r="X49" i="1"/>
  <c r="X47" i="1"/>
  <c r="M52" i="1"/>
  <c r="M49" i="1"/>
  <c r="M48" i="1"/>
  <c r="M47" i="1"/>
  <c r="T52" i="1"/>
  <c r="T49" i="1"/>
  <c r="T48" i="1"/>
  <c r="T47" i="1"/>
  <c r="R47" i="1"/>
  <c r="R52" i="1"/>
  <c r="R48" i="1" s="1"/>
  <c r="F49" i="3" l="1"/>
  <c r="K4" i="3"/>
  <c r="F48" i="3"/>
  <c r="K7" i="3"/>
  <c r="F50" i="3"/>
  <c r="K48" i="3" l="1"/>
  <c r="K49" i="3"/>
  <c r="K50" i="3"/>
  <c r="CI33" i="1" l="1"/>
  <c r="CI32" i="1"/>
  <c r="CI31" i="1"/>
  <c r="CI30" i="1"/>
  <c r="CI29" i="1"/>
  <c r="CI28" i="1"/>
  <c r="CI40" i="1"/>
  <c r="CI39" i="1"/>
  <c r="CI38" i="1"/>
  <c r="CI37" i="1"/>
  <c r="CI36" i="1"/>
  <c r="CI35" i="1"/>
  <c r="CG40" i="1"/>
  <c r="CG39" i="1"/>
  <c r="CG38" i="1"/>
  <c r="CG37" i="1"/>
  <c r="CG36" i="1"/>
  <c r="CG35" i="1"/>
  <c r="CG33" i="1"/>
  <c r="CG32" i="1"/>
  <c r="CG31" i="1"/>
  <c r="CG30" i="1"/>
  <c r="CG29" i="1"/>
  <c r="E40" i="1"/>
  <c r="D40" i="1"/>
  <c r="L40" i="1"/>
  <c r="K40" i="1"/>
  <c r="J40" i="1"/>
  <c r="AS40" i="1" l="1"/>
  <c r="AR40" i="1"/>
  <c r="AR19" i="1" l="1"/>
  <c r="AR45" i="1"/>
  <c r="AS45" i="1"/>
  <c r="J45" i="1"/>
  <c r="E44" i="1"/>
  <c r="E43" i="1"/>
  <c r="E42" i="1"/>
  <c r="E41" i="1"/>
  <c r="E45" i="1"/>
  <c r="D44" i="1"/>
  <c r="D43" i="1"/>
  <c r="D42" i="1"/>
  <c r="D41" i="1"/>
  <c r="D45" i="1"/>
  <c r="L45" i="1"/>
  <c r="L27" i="1"/>
  <c r="K27" i="1"/>
  <c r="J27" i="1"/>
  <c r="AS27" i="1"/>
  <c r="AR27" i="1"/>
  <c r="D27" i="1"/>
  <c r="L26" i="1"/>
  <c r="K26" i="1"/>
  <c r="J26" i="1"/>
  <c r="AS26" i="1"/>
  <c r="AR26" i="1"/>
  <c r="D26" i="1"/>
  <c r="E25" i="1"/>
  <c r="D25" i="1"/>
  <c r="L25" i="1"/>
  <c r="K25" i="1"/>
  <c r="J25" i="1"/>
  <c r="AR25" i="1"/>
  <c r="AS25" i="1"/>
  <c r="K39" i="1"/>
  <c r="K33" i="1"/>
  <c r="E39" i="1"/>
  <c r="D39" i="1"/>
  <c r="L39" i="1"/>
  <c r="J39" i="1"/>
  <c r="AR39" i="1" l="1"/>
  <c r="AS39" i="1"/>
  <c r="E24" i="1" l="1"/>
  <c r="D24" i="1"/>
  <c r="L24" i="1"/>
  <c r="K24" i="1"/>
  <c r="J24" i="1"/>
  <c r="AS24" i="1"/>
  <c r="AR24" i="1"/>
  <c r="E38" i="1"/>
  <c r="D38" i="1"/>
  <c r="L38" i="1"/>
  <c r="K38" i="1"/>
  <c r="J38" i="1"/>
  <c r="AS38" i="1"/>
  <c r="AR38" i="1"/>
  <c r="E23" i="1" l="1"/>
  <c r="D23" i="1"/>
  <c r="L23" i="1"/>
  <c r="K23" i="1"/>
  <c r="J23" i="1"/>
  <c r="AR23" i="1"/>
  <c r="AS23" i="1"/>
  <c r="E36" i="1" l="1"/>
  <c r="D36" i="1"/>
  <c r="L36" i="1"/>
  <c r="K36" i="1"/>
  <c r="J36" i="1"/>
  <c r="AS36" i="1" l="1"/>
  <c r="AR36" i="1"/>
  <c r="E37" i="1"/>
  <c r="L37" i="1"/>
  <c r="J37" i="1"/>
  <c r="AS37" i="1"/>
  <c r="AR37" i="1"/>
  <c r="E34" i="1" l="1"/>
  <c r="AR34" i="1"/>
  <c r="AS34" i="1"/>
  <c r="L34" i="1"/>
  <c r="K34" i="1"/>
  <c r="J34" i="1"/>
  <c r="E21" i="1"/>
  <c r="L21" i="1"/>
  <c r="K21" i="1"/>
  <c r="J21" i="1"/>
  <c r="AS21" i="1"/>
  <c r="AR21" i="1"/>
  <c r="AS19" i="1"/>
  <c r="AR20" i="1"/>
  <c r="AS20" i="1"/>
  <c r="L20" i="1"/>
  <c r="K20" i="1"/>
  <c r="J20" i="1"/>
  <c r="E20" i="1"/>
  <c r="L19" i="1"/>
  <c r="K19" i="1"/>
  <c r="J19" i="1"/>
  <c r="D19" i="1"/>
  <c r="L18" i="1"/>
  <c r="K18" i="1"/>
  <c r="J18" i="1"/>
  <c r="AS18" i="1"/>
  <c r="AR18" i="1"/>
  <c r="D18" i="1"/>
  <c r="E18" i="1"/>
  <c r="E17" i="1"/>
  <c r="AR17" i="1"/>
  <c r="AS17" i="1"/>
  <c r="L17" i="1"/>
  <c r="K17" i="1"/>
  <c r="J17" i="1"/>
  <c r="L35" i="1"/>
  <c r="K35" i="1"/>
  <c r="J35" i="1"/>
  <c r="AS35" i="1"/>
  <c r="AR35" i="1"/>
  <c r="AW35" i="1" l="1"/>
  <c r="AZ35" i="1"/>
  <c r="D35" i="1"/>
  <c r="E35" i="1"/>
  <c r="L33" i="1"/>
  <c r="J33" i="1"/>
  <c r="E33" i="1"/>
  <c r="AS33" i="1" l="1"/>
  <c r="AR33" i="1"/>
  <c r="D22" i="1" l="1"/>
  <c r="E22" i="1"/>
  <c r="L22" i="1"/>
  <c r="K22" i="1"/>
  <c r="J22" i="1"/>
  <c r="AS22" i="1"/>
  <c r="AR22" i="1"/>
  <c r="E32" i="1" l="1"/>
  <c r="D32" i="1"/>
  <c r="L32" i="1"/>
  <c r="J32" i="1"/>
  <c r="AR32" i="1"/>
  <c r="AS32" i="1"/>
  <c r="K30" i="1"/>
  <c r="K31" i="1"/>
  <c r="E31" i="1"/>
  <c r="D31" i="1"/>
  <c r="L31" i="1"/>
  <c r="J31" i="1"/>
  <c r="AS31" i="1"/>
  <c r="AR31" i="1"/>
  <c r="L30" i="1" l="1"/>
  <c r="J30" i="1"/>
  <c r="E30" i="1"/>
  <c r="D30" i="1"/>
  <c r="AS30" i="1"/>
  <c r="AR30" i="1"/>
  <c r="D49" i="1" l="1"/>
  <c r="D50" i="1"/>
  <c r="D51" i="1"/>
  <c r="D52" i="1"/>
  <c r="D48" i="1" s="1"/>
  <c r="D47" i="1"/>
  <c r="E47" i="1"/>
  <c r="E52" i="1"/>
  <c r="E48" i="1" s="1"/>
  <c r="E51" i="1"/>
  <c r="E49" i="1"/>
  <c r="E50" i="1"/>
  <c r="AS42" i="1" l="1"/>
  <c r="AS43" i="1"/>
  <c r="AS44" i="1"/>
  <c r="AS41" i="1"/>
  <c r="AR42" i="1"/>
  <c r="AR43" i="1"/>
  <c r="AR44" i="1"/>
  <c r="AR41" i="1"/>
  <c r="L42" i="1" l="1"/>
  <c r="L43" i="1"/>
  <c r="L44" i="1"/>
  <c r="L41" i="1"/>
  <c r="H42" i="1"/>
  <c r="H43" i="1"/>
  <c r="H44" i="1"/>
  <c r="J5" i="1"/>
  <c r="J42" i="1"/>
  <c r="J43" i="1"/>
  <c r="J44" i="1"/>
  <c r="K44" i="1"/>
  <c r="K43" i="1"/>
  <c r="K42" i="1"/>
  <c r="K41" i="1"/>
  <c r="K29" i="1" l="1"/>
  <c r="AR29" i="1"/>
  <c r="AS29" i="1"/>
  <c r="L29" i="1" l="1"/>
  <c r="J29" i="1"/>
  <c r="F28" i="1"/>
  <c r="F49" i="1" l="1"/>
  <c r="F52" i="1"/>
  <c r="F48" i="1" s="1"/>
  <c r="F47" i="1"/>
  <c r="AS6" i="1"/>
  <c r="AS7" i="1"/>
  <c r="AS8" i="1"/>
  <c r="AS9" i="1"/>
  <c r="AS10" i="1"/>
  <c r="AS11" i="1"/>
  <c r="AS12" i="1"/>
  <c r="AS13" i="1"/>
  <c r="AS14" i="1"/>
  <c r="AS15" i="1"/>
  <c r="AS16" i="1"/>
  <c r="AS28" i="1"/>
  <c r="AR6" i="1"/>
  <c r="AR7" i="1"/>
  <c r="AR8" i="1"/>
  <c r="AR9" i="1"/>
  <c r="AR10" i="1"/>
  <c r="AR11" i="1"/>
  <c r="AR12" i="1"/>
  <c r="AR13" i="1"/>
  <c r="AR14" i="1"/>
  <c r="AR15" i="1"/>
  <c r="AR16" i="1"/>
  <c r="AR28" i="1"/>
  <c r="AS5" i="1"/>
  <c r="AR5" i="1"/>
  <c r="L6" i="1" l="1"/>
  <c r="L7" i="1"/>
  <c r="L8" i="1"/>
  <c r="L9" i="1"/>
  <c r="L10" i="1"/>
  <c r="L11" i="1"/>
  <c r="L12" i="1"/>
  <c r="L13" i="1"/>
  <c r="L14" i="1"/>
  <c r="L15" i="1"/>
  <c r="L16" i="1"/>
  <c r="L28" i="1"/>
  <c r="L5" i="1"/>
  <c r="K28" i="1"/>
  <c r="J28" i="1"/>
  <c r="K16" i="1" l="1"/>
  <c r="J16" i="1"/>
  <c r="K15" i="1"/>
  <c r="J15" i="1"/>
  <c r="K14" i="1"/>
  <c r="J14" i="1"/>
  <c r="J13" i="1"/>
  <c r="K13" i="1"/>
  <c r="K12" i="1"/>
  <c r="J12" i="1"/>
  <c r="J11" i="1" l="1"/>
  <c r="K11" i="1"/>
  <c r="J10" i="1"/>
  <c r="K10" i="1"/>
  <c r="K9" i="1"/>
  <c r="J9" i="1"/>
  <c r="K8" i="1" l="1"/>
  <c r="J8" i="1"/>
  <c r="J7" i="1"/>
  <c r="K7" i="1"/>
  <c r="K5" i="1" l="1"/>
  <c r="J6" i="1"/>
  <c r="K6" i="1"/>
  <c r="K47" i="1" l="1"/>
  <c r="K52" i="1"/>
  <c r="K48" i="1" s="1"/>
  <c r="K49" i="1"/>
</calcChain>
</file>

<file path=xl/sharedStrings.xml><?xml version="1.0" encoding="utf-8"?>
<sst xmlns="http://schemas.openxmlformats.org/spreadsheetml/2006/main" count="870" uniqueCount="253">
  <si>
    <t>Paired Pulses</t>
  </si>
  <si>
    <t>Ca 2 mM</t>
  </si>
  <si>
    <t>50 Hz</t>
  </si>
  <si>
    <t>Datum_Alter_Nummer</t>
  </si>
  <si>
    <t>SD (pA)</t>
  </si>
  <si>
    <t>SEM (pA)</t>
  </si>
  <si>
    <t>n</t>
  </si>
  <si>
    <t>CV</t>
  </si>
  <si>
    <t>Failure rate</t>
  </si>
  <si>
    <t>A1</t>
  </si>
  <si>
    <t>R2</t>
  </si>
  <si>
    <t>PPR</t>
  </si>
  <si>
    <t>A2</t>
  </si>
  <si>
    <t>n2Avg</t>
  </si>
  <si>
    <t>1_1</t>
  </si>
  <si>
    <t>1_0</t>
  </si>
  <si>
    <t>0_1</t>
  </si>
  <si>
    <t>0_0</t>
  </si>
  <si>
    <t>P21-24</t>
  </si>
  <si>
    <t>rPPR</t>
  </si>
  <si>
    <t>aPPR</t>
  </si>
  <si>
    <t>Del1</t>
  </si>
  <si>
    <t>Del2</t>
  </si>
  <si>
    <t>tauR1</t>
  </si>
  <si>
    <t>tauR2</t>
  </si>
  <si>
    <t>tauD1</t>
  </si>
  <si>
    <t>tauD2</t>
  </si>
  <si>
    <t>total</t>
  </si>
  <si>
    <t>Frac</t>
  </si>
  <si>
    <t>Avg_1_1</t>
  </si>
  <si>
    <t>-17.73</t>
  </si>
  <si>
    <t>Avg_1_0</t>
  </si>
  <si>
    <t>Avg_0_1</t>
  </si>
  <si>
    <t>Avg_0_0</t>
  </si>
  <si>
    <t>Avg_x_x</t>
  </si>
  <si>
    <t>211101_P24</t>
  </si>
  <si>
    <t>m</t>
  </si>
  <si>
    <t>Rs (MOhm)</t>
  </si>
  <si>
    <t>Ileak (pA)</t>
  </si>
  <si>
    <t>211103_P22_p1</t>
  </si>
  <si>
    <t>211103_P22_p2</t>
  </si>
  <si>
    <t>211109_P22_p1</t>
  </si>
  <si>
    <t>211109_P22_p2</t>
  </si>
  <si>
    <t>211109_P22_p3</t>
  </si>
  <si>
    <t>211111_P22_p1</t>
  </si>
  <si>
    <t>211111_P22_p2</t>
  </si>
  <si>
    <t>211111_P22_p3</t>
  </si>
  <si>
    <t>MD</t>
  </si>
  <si>
    <t>IQR+</t>
  </si>
  <si>
    <t>IQR-</t>
  </si>
  <si>
    <t>211115_P21_p1</t>
  </si>
  <si>
    <t>211115_P21_p2</t>
  </si>
  <si>
    <t>w</t>
  </si>
  <si>
    <t>211116_P22_p1</t>
  </si>
  <si>
    <t>211116_P22_p2</t>
  </si>
  <si>
    <t>EGTA 10 mM pre</t>
  </si>
  <si>
    <t>Amplitude (A)</t>
  </si>
  <si>
    <t>1st Amplitude (pA)</t>
  </si>
  <si>
    <t>Frac 1_x</t>
  </si>
  <si>
    <t>Frac x_1</t>
  </si>
  <si>
    <t>211116_P22_p3</t>
  </si>
  <si>
    <t>211216_P23_p2</t>
  </si>
  <si>
    <t>n_total</t>
  </si>
  <si>
    <t>SD</t>
  </si>
  <si>
    <t>MPFA</t>
  </si>
  <si>
    <t>Mean</t>
  </si>
  <si>
    <t>SD(Delay)</t>
  </si>
  <si>
    <t>SEM</t>
  </si>
  <si>
    <t xml:space="preserve">ISI </t>
  </si>
  <si>
    <t>5 ms</t>
  </si>
  <si>
    <t>10 ms</t>
  </si>
  <si>
    <t>50 ms</t>
  </si>
  <si>
    <t>100 ms</t>
  </si>
  <si>
    <t>Baseline</t>
  </si>
  <si>
    <t>250515_P22</t>
  </si>
  <si>
    <t>50-60min</t>
  </si>
  <si>
    <t>250605_P24_p1</t>
  </si>
  <si>
    <t>250605_P24_p2</t>
  </si>
  <si>
    <t>250429_P24_p2</t>
  </si>
  <si>
    <t>250429_P24_p1</t>
  </si>
  <si>
    <t>250502_P24_p2</t>
  </si>
  <si>
    <t>250508_P23</t>
  </si>
  <si>
    <t>250523_P27</t>
  </si>
  <si>
    <t>250604p1_P23</t>
  </si>
  <si>
    <t>250604p2_P23</t>
  </si>
  <si>
    <t>250626_P24</t>
  </si>
  <si>
    <t>250502_P24_p1</t>
  </si>
  <si>
    <t>R(A1/A1base)</t>
  </si>
  <si>
    <t>Igor Macro Combine_LTP_Data()</t>
  </si>
  <si>
    <t>250702_P24</t>
  </si>
  <si>
    <t>250703p1_P23</t>
  </si>
  <si>
    <t>250703p2_P23</t>
  </si>
  <si>
    <t>250729p1_P23</t>
  </si>
  <si>
    <t>250729p2_P23</t>
  </si>
  <si>
    <t>250730p1_P22</t>
  </si>
  <si>
    <t>250730p2_P22</t>
  </si>
  <si>
    <t>250731p1_P23</t>
  </si>
  <si>
    <t>250731p2_P23</t>
  </si>
  <si>
    <t>250612_P25</t>
  </si>
  <si>
    <t>240313p1_P24</t>
  </si>
  <si>
    <t>240313p2_P24</t>
  </si>
  <si>
    <t>240807p2_P23</t>
  </si>
  <si>
    <t>240807p3_P23</t>
  </si>
  <si>
    <t>250804_P22</t>
  </si>
  <si>
    <t>20-30min</t>
  </si>
  <si>
    <t>30-40min</t>
  </si>
  <si>
    <r>
      <t>500 ms /</t>
    </r>
    <r>
      <rPr>
        <sz val="11"/>
        <color rgb="FF0070C0"/>
        <rFont val="Calibri"/>
        <family val="2"/>
        <scheme val="minor"/>
      </rPr>
      <t xml:space="preserve"> 1000 ms</t>
    </r>
  </si>
  <si>
    <t>20 ms</t>
  </si>
  <si>
    <t>S1</t>
  </si>
  <si>
    <t>Amplitude (pA)</t>
  </si>
  <si>
    <t>PFC</t>
  </si>
  <si>
    <t>140507_P23_p1</t>
  </si>
  <si>
    <t>140507_P23_p2</t>
  </si>
  <si>
    <t>140618_P24_p1d1_gDGG</t>
  </si>
  <si>
    <t>140618_P24_p1d2_gDGG</t>
  </si>
  <si>
    <t>140620_P22</t>
  </si>
  <si>
    <t>140624_P23_d1_EGTA</t>
  </si>
  <si>
    <t>140624_P23_d2</t>
  </si>
  <si>
    <t>140730_P22_p3</t>
  </si>
  <si>
    <t>140730_P22_p4</t>
  </si>
  <si>
    <t>140807_P24_p1</t>
  </si>
  <si>
    <t>140820_P23_p2</t>
  </si>
  <si>
    <t>140821_P24_p2</t>
  </si>
  <si>
    <t>140828_P23_p3</t>
  </si>
  <si>
    <t>150507_P23_p3</t>
  </si>
  <si>
    <t>140508_P22</t>
  </si>
  <si>
    <t>140523_P22</t>
  </si>
  <si>
    <t>140618_P24_p2_EGTA</t>
  </si>
  <si>
    <t>140619_P24</t>
  </si>
  <si>
    <t>140625_P24_p1</t>
  </si>
  <si>
    <t>140626_P22_p2</t>
  </si>
  <si>
    <t>140814_P24</t>
  </si>
  <si>
    <t>140819_P22</t>
  </si>
  <si>
    <t>140821_P24_p1</t>
  </si>
  <si>
    <t>140828_P23_p2</t>
  </si>
  <si>
    <t>160504_P21_p1</t>
  </si>
  <si>
    <t>160504_P21_p2</t>
  </si>
  <si>
    <t>160510_P24</t>
  </si>
  <si>
    <t>160511_P23</t>
  </si>
  <si>
    <t>160524_P23</t>
  </si>
  <si>
    <t>160530_P22</t>
  </si>
  <si>
    <t>160616_P21</t>
  </si>
  <si>
    <t>160622_P21_gDGG</t>
  </si>
  <si>
    <t>160623_P22_gDGG</t>
  </si>
  <si>
    <t>160707_P21_gDGG_p1</t>
  </si>
  <si>
    <t>160707_P21_gDGG_p2</t>
  </si>
  <si>
    <t>160725_P24_gDGG</t>
  </si>
  <si>
    <t>160714_P25_EGTA</t>
  </si>
  <si>
    <t>170201_P22_EGTA</t>
  </si>
  <si>
    <t>170208_P23_EGTA</t>
  </si>
  <si>
    <t>170223_P23_p1_EGTA</t>
  </si>
  <si>
    <t>170223_P23_p2_EGTA</t>
  </si>
  <si>
    <t>170508_P22_EGTA</t>
  </si>
  <si>
    <t>170518_P23_EGTA</t>
  </si>
  <si>
    <t>170301_P23_p1_EGTA30</t>
  </si>
  <si>
    <t>170302_P22_p2_EGTA30</t>
  </si>
  <si>
    <t>170404_P22_EGTA30</t>
  </si>
  <si>
    <t>170405_P24_EGTA30</t>
  </si>
  <si>
    <t>170215_P21_BAPTA</t>
  </si>
  <si>
    <t>170222_P22_p1_BAPTA</t>
  </si>
  <si>
    <t>170222_P22_p2_BAPTA</t>
  </si>
  <si>
    <t>170503_P22_BAPTA</t>
  </si>
  <si>
    <t>170504_P22_BAPTA</t>
  </si>
  <si>
    <t>170517_P22_p1_BAPTA</t>
  </si>
  <si>
    <t>170517_P22_p2_BAPTA</t>
  </si>
  <si>
    <t>170608_P23_Aga</t>
  </si>
  <si>
    <t>170609_P23_Aga</t>
  </si>
  <si>
    <t>170622_P21_p1_Aga</t>
  </si>
  <si>
    <t>170622_P21_p2_Aga</t>
  </si>
  <si>
    <t>170704_P21_p1_Aga</t>
  </si>
  <si>
    <t>170705_P21_p2_Aga</t>
  </si>
  <si>
    <t>170808_P23_p1_Aga+Cono</t>
  </si>
  <si>
    <t>170809_P21_p2_Aga+Cono</t>
  </si>
  <si>
    <t>170614_P24_p1_Cono</t>
  </si>
  <si>
    <t>170614_P24_p2_Cono</t>
  </si>
  <si>
    <t>170615_P22_Cono</t>
  </si>
  <si>
    <t>170629_P21_Cono</t>
  </si>
  <si>
    <t>170704_P21_p2_Cono</t>
  </si>
  <si>
    <t>170705_P21_p1_Cono</t>
  </si>
  <si>
    <t>170710_P22_p1_SNX</t>
  </si>
  <si>
    <t>170710_P22_p2_SNX</t>
  </si>
  <si>
    <t>170712_P21_SNX</t>
  </si>
  <si>
    <t>170713_P22_SNX</t>
  </si>
  <si>
    <t>170727_P23_p1_SNX</t>
  </si>
  <si>
    <t>170727_P23_p2_SNX</t>
  </si>
  <si>
    <t>170710_P22_p3_Verapamil</t>
  </si>
  <si>
    <t>170719_P24_Nifedipin</t>
  </si>
  <si>
    <t>170720_P23_p1_Nifedipin</t>
  </si>
  <si>
    <t>170720_P23_p2_Nifedipin</t>
  </si>
  <si>
    <t>170726_P24_p1_Nifedipin</t>
  </si>
  <si>
    <t>170726_P24_p2_Nifedipin</t>
  </si>
  <si>
    <t>170727_P23_p4_Cd</t>
  </si>
  <si>
    <t>170810_P21_p1_Cd</t>
  </si>
  <si>
    <t>170810_P21_p2_Cd</t>
  </si>
  <si>
    <t>170821_P22_Cd</t>
  </si>
  <si>
    <t>170823_P22_p2_Cd</t>
  </si>
  <si>
    <t>170823_P22_p3_Cd</t>
  </si>
  <si>
    <t>AD (abs. dev.)</t>
  </si>
  <si>
    <t>0-10min</t>
  </si>
  <si>
    <t>CV (Delay)</t>
  </si>
  <si>
    <t>CV(Delay)</t>
  </si>
  <si>
    <t>Date_Age_No</t>
  </si>
  <si>
    <t>Sex</t>
  </si>
  <si>
    <t>Notes</t>
  </si>
  <si>
    <t>P21-26</t>
  </si>
  <si>
    <t>L5PN-L5PN</t>
  </si>
  <si>
    <t>high Rs, many failures</t>
  </si>
  <si>
    <t>Ileak drop after 8 min - small n</t>
  </si>
  <si>
    <t>Zero subtraction in PM</t>
  </si>
  <si>
    <t xml:space="preserve">control </t>
  </si>
  <si>
    <t>Train</t>
  </si>
  <si>
    <t>1_x</t>
  </si>
  <si>
    <t>x_1</t>
  </si>
  <si>
    <t>Delay1</t>
  </si>
  <si>
    <t>SD Delay</t>
  </si>
  <si>
    <t>n (Delay)</t>
  </si>
  <si>
    <t>Geschlecht</t>
  </si>
  <si>
    <t>c_pre (pF)</t>
  </si>
  <si>
    <t>c_post (pF)</t>
  </si>
  <si>
    <t>tau (rise)</t>
  </si>
  <si>
    <t>tau (decay)</t>
  </si>
  <si>
    <t>(treshold 5pA)</t>
  </si>
  <si>
    <t>rAmp</t>
  </si>
  <si>
    <t>1st</t>
  </si>
  <si>
    <t>2nd</t>
  </si>
  <si>
    <t>3rd</t>
  </si>
  <si>
    <t>4th</t>
  </si>
  <si>
    <t>5th</t>
  </si>
  <si>
    <t>noisy</t>
  </si>
  <si>
    <t>f</t>
  </si>
  <si>
    <t>w.</t>
  </si>
  <si>
    <t>-</t>
  </si>
  <si>
    <t>m.</t>
  </si>
  <si>
    <t>?</t>
  </si>
  <si>
    <t>1, 5, 10, 50 µM</t>
  </si>
  <si>
    <t>50 µM</t>
  </si>
  <si>
    <t>10, 50, 100 µM</t>
  </si>
  <si>
    <t>10, 50 µM</t>
  </si>
  <si>
    <t>Median</t>
  </si>
  <si>
    <t>PPR 50Hz</t>
  </si>
  <si>
    <t>PPR 10Hz</t>
  </si>
  <si>
    <t>PPR 20Hz</t>
  </si>
  <si>
    <t>PPR 100Hz</t>
  </si>
  <si>
    <t>PPR 200Hz</t>
  </si>
  <si>
    <t>small n</t>
  </si>
  <si>
    <t>many failures, small EPSCs</t>
  </si>
  <si>
    <t>only 15 min</t>
  </si>
  <si>
    <t>new Nifedipin-Aliquots, dark</t>
  </si>
  <si>
    <r>
      <t>Rs (M</t>
    </r>
    <r>
      <rPr>
        <sz val="11"/>
        <color indexed="8"/>
        <rFont val="Calibri"/>
        <family val="2"/>
        <scheme val="minor"/>
      </rPr>
      <t>Ω</t>
    </r>
    <r>
      <rPr>
        <sz val="11"/>
        <color theme="1"/>
        <rFont val="Calibri"/>
        <family val="2"/>
        <scheme val="minor"/>
      </rPr>
      <t>) post</t>
    </r>
  </si>
  <si>
    <r>
      <t xml:space="preserve"> 1 mM </t>
    </r>
    <r>
      <rPr>
        <sz val="11"/>
        <color indexed="8"/>
        <rFont val="Calibri"/>
        <family val="2"/>
        <scheme val="minor"/>
      </rPr>
      <t>g</t>
    </r>
    <r>
      <rPr>
        <sz val="11"/>
        <color theme="1"/>
        <rFont val="Calibri"/>
        <family val="2"/>
        <scheme val="minor"/>
      </rPr>
      <t>DGG</t>
    </r>
  </si>
  <si>
    <r>
      <t xml:space="preserve">2 mM </t>
    </r>
    <r>
      <rPr>
        <sz val="11"/>
        <color indexed="8"/>
        <rFont val="Calibri"/>
        <family val="2"/>
        <scheme val="minor"/>
      </rPr>
      <t>g</t>
    </r>
    <r>
      <rPr>
        <sz val="11"/>
        <color theme="1"/>
        <rFont val="Calibri"/>
        <family val="2"/>
        <scheme val="minor"/>
      </rPr>
      <t>DGG</t>
    </r>
  </si>
  <si>
    <t>5AP-Trains</t>
  </si>
  <si>
    <t>Notes / Rs (MΩ) pre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</si>
</sst>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"/>
    <numFmt numFmtId="165" formatCode="#,##0\ _€"/>
  </numFmts>
  <fonts count="25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Arial Unicode MS"/>
      <family val="2"/>
    </font>
    <font>
      <sz val="11"/>
      <color rgb="FF0070C0"/>
      <name val="Calibri"/>
      <family val="2"/>
      <scheme val="minor"/>
    </font>
    <font>
      <sz val="11"/>
      <name val="Calibri"/>
      <family val="2"/>
      <scheme val="minor"/>
    </font>
    <font>
      <sz val="11"/>
      <color theme="0" tint="-0.34998626667073579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0"/>
      <color theme="1"/>
      <name val="Arial Unicode MS"/>
      <family val="2"/>
    </font>
    <font>
      <sz val="11"/>
      <color rgb="FFFF0000"/>
      <name val="Calibri"/>
      <family val="2"/>
      <scheme val="minor"/>
    </font>
    <font>
      <sz val="10"/>
      <color theme="1"/>
      <name val="Arial Unicode MS"/>
    </font>
    <font>
      <b/>
      <sz val="10"/>
      <color theme="1"/>
      <name val="Arial Unicode MS"/>
      <family val="2"/>
    </font>
    <font>
      <b/>
      <sz val="14"/>
      <color theme="1"/>
      <name val="Calibri"/>
      <family val="2"/>
      <scheme val="minor"/>
    </font>
    <font>
      <sz val="11"/>
      <name val="Arial"/>
      <family val="2"/>
    </font>
    <font>
      <sz val="11"/>
      <color indexed="23"/>
      <name val="Calibri"/>
      <family val="2"/>
      <scheme val="minor"/>
    </font>
    <font>
      <sz val="11"/>
      <color theme="0" tint="-0.499984740745262"/>
      <name val="Calibri"/>
      <family val="2"/>
      <scheme val="minor"/>
    </font>
    <font>
      <sz val="11"/>
      <color indexed="8"/>
      <name val="Arial"/>
      <family val="2"/>
    </font>
    <font>
      <sz val="11"/>
      <color indexed="8"/>
      <name val="Calibri"/>
      <family val="2"/>
      <scheme val="minor"/>
    </font>
    <font>
      <b/>
      <u/>
      <sz val="11"/>
      <color indexed="8"/>
      <name val="Calibri"/>
      <family val="2"/>
      <scheme val="minor"/>
    </font>
    <font>
      <b/>
      <sz val="11"/>
      <color indexed="8"/>
      <name val="Calibri"/>
      <family val="2"/>
      <scheme val="minor"/>
    </font>
    <font>
      <i/>
      <sz val="11"/>
      <color indexed="8"/>
      <name val="Calibri"/>
      <family val="2"/>
      <scheme val="minor"/>
    </font>
    <font>
      <u/>
      <sz val="11"/>
      <color indexed="8"/>
      <name val="Calibri"/>
      <family val="2"/>
      <scheme val="minor"/>
    </font>
    <font>
      <b/>
      <sz val="12"/>
      <color indexed="8"/>
      <name val="Calibri"/>
      <family val="2"/>
      <scheme val="minor"/>
    </font>
    <font>
      <i/>
      <sz val="11"/>
      <color indexed="23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41">
    <xf numFmtId="0" fontId="0" fillId="0" borderId="0" xfId="0"/>
    <xf numFmtId="0" fontId="0" fillId="0" borderId="0" xfId="0" applyFont="1"/>
    <xf numFmtId="2" fontId="0" fillId="0" borderId="0" xfId="0" applyNumberFormat="1" applyFont="1"/>
    <xf numFmtId="49" fontId="0" fillId="0" borderId="0" xfId="0" applyNumberFormat="1" applyFont="1"/>
    <xf numFmtId="0" fontId="0" fillId="0" borderId="0" xfId="0" applyFont="1" applyAlignment="1">
      <alignment horizontal="left"/>
    </xf>
    <xf numFmtId="2" fontId="0" fillId="0" borderId="0" xfId="0" applyNumberFormat="1" applyFont="1" applyAlignment="1">
      <alignment horizontal="right"/>
    </xf>
    <xf numFmtId="164" fontId="0" fillId="0" borderId="0" xfId="0" applyNumberFormat="1" applyFont="1"/>
    <xf numFmtId="49" fontId="0" fillId="0" borderId="0" xfId="0" applyNumberFormat="1" applyFont="1" applyAlignment="1">
      <alignment horizontal="right"/>
    </xf>
    <xf numFmtId="0" fontId="0" fillId="0" borderId="0" xfId="0" applyFont="1" applyBorder="1"/>
    <xf numFmtId="0" fontId="1" fillId="0" borderId="0" xfId="0" applyFont="1"/>
    <xf numFmtId="0" fontId="0" fillId="0" borderId="0" xfId="0" applyNumberFormat="1" applyFont="1"/>
    <xf numFmtId="0" fontId="0" fillId="0" borderId="1" xfId="0" applyFont="1" applyBorder="1"/>
    <xf numFmtId="2" fontId="0" fillId="0" borderId="1" xfId="0" applyNumberFormat="1" applyFont="1" applyBorder="1"/>
    <xf numFmtId="49" fontId="0" fillId="0" borderId="1" xfId="0" applyNumberFormat="1" applyFont="1" applyBorder="1"/>
    <xf numFmtId="0" fontId="0" fillId="0" borderId="1" xfId="0" applyFont="1" applyBorder="1" applyAlignment="1">
      <alignment vertical="center"/>
    </xf>
    <xf numFmtId="2" fontId="0" fillId="0" borderId="1" xfId="0" applyNumberFormat="1" applyFont="1" applyBorder="1" applyAlignment="1">
      <alignment horizontal="right"/>
    </xf>
    <xf numFmtId="49" fontId="0" fillId="0" borderId="1" xfId="0" applyNumberFormat="1" applyFont="1" applyBorder="1" applyAlignment="1">
      <alignment horizontal="right"/>
    </xf>
    <xf numFmtId="164" fontId="0" fillId="0" borderId="1" xfId="0" applyNumberFormat="1" applyFont="1" applyBorder="1"/>
    <xf numFmtId="11" fontId="0" fillId="0" borderId="0" xfId="0" applyNumberFormat="1"/>
    <xf numFmtId="0" fontId="0" fillId="0" borderId="0" xfId="0" applyNumberFormat="1"/>
    <xf numFmtId="2" fontId="0" fillId="0" borderId="0" xfId="0" applyNumberFormat="1"/>
    <xf numFmtId="0" fontId="0" fillId="0" borderId="1" xfId="0" applyNumberFormat="1" applyFont="1" applyBorder="1"/>
    <xf numFmtId="0" fontId="0" fillId="0" borderId="1" xfId="0" applyNumberFormat="1" applyBorder="1"/>
    <xf numFmtId="11" fontId="2" fillId="0" borderId="0" xfId="0" applyNumberFormat="1" applyFont="1"/>
    <xf numFmtId="0" fontId="3" fillId="0" borderId="0" xfId="0" applyFont="1"/>
    <xf numFmtId="0" fontId="4" fillId="0" borderId="0" xfId="0" applyFont="1"/>
    <xf numFmtId="0" fontId="4" fillId="0" borderId="1" xfId="0" applyFont="1" applyBorder="1"/>
    <xf numFmtId="11" fontId="7" fillId="0" borderId="0" xfId="0" applyNumberFormat="1" applyFont="1"/>
    <xf numFmtId="0" fontId="7" fillId="0" borderId="0" xfId="0" applyFont="1"/>
    <xf numFmtId="0" fontId="0" fillId="0" borderId="0" xfId="0" applyBorder="1"/>
    <xf numFmtId="0" fontId="0" fillId="0" borderId="0" xfId="0" applyNumberFormat="1" applyBorder="1"/>
    <xf numFmtId="0" fontId="0" fillId="0" borderId="0" xfId="0" applyFill="1" applyBorder="1"/>
    <xf numFmtId="11" fontId="0" fillId="0" borderId="0" xfId="0" applyNumberFormat="1" applyFont="1"/>
    <xf numFmtId="0" fontId="8" fillId="0" borderId="0" xfId="0" applyFont="1"/>
    <xf numFmtId="2" fontId="1" fillId="0" borderId="0" xfId="0" applyNumberFormat="1" applyFont="1"/>
    <xf numFmtId="0" fontId="0" fillId="0" borderId="0" xfId="0"/>
    <xf numFmtId="0" fontId="0" fillId="0" borderId="0" xfId="0" applyFont="1"/>
    <xf numFmtId="0" fontId="0" fillId="0" borderId="0" xfId="0" applyNumberFormat="1" applyFont="1"/>
    <xf numFmtId="11" fontId="0" fillId="0" borderId="0" xfId="0" applyNumberFormat="1"/>
    <xf numFmtId="0" fontId="0" fillId="0" borderId="0" xfId="0" applyNumberFormat="1"/>
    <xf numFmtId="2" fontId="0" fillId="0" borderId="0" xfId="0" applyNumberFormat="1"/>
    <xf numFmtId="0" fontId="0" fillId="0" borderId="1" xfId="0" applyBorder="1"/>
    <xf numFmtId="11" fontId="2" fillId="0" borderId="0" xfId="0" applyNumberFormat="1" applyFont="1"/>
    <xf numFmtId="0" fontId="5" fillId="0" borderId="0" xfId="0" applyFont="1"/>
    <xf numFmtId="0" fontId="2" fillId="0" borderId="0" xfId="0" applyNumberFormat="1" applyFont="1"/>
    <xf numFmtId="0" fontId="2" fillId="0" borderId="0" xfId="0" applyFont="1"/>
    <xf numFmtId="11" fontId="9" fillId="0" borderId="0" xfId="0" applyNumberFormat="1" applyFont="1"/>
    <xf numFmtId="0" fontId="9" fillId="0" borderId="0" xfId="0" applyFont="1"/>
    <xf numFmtId="0" fontId="1" fillId="0" borderId="0" xfId="0" applyNumberFormat="1" applyFont="1"/>
    <xf numFmtId="0" fontId="3" fillId="0" borderId="0" xfId="0" applyFont="1" applyAlignment="1">
      <alignment horizontal="right"/>
    </xf>
    <xf numFmtId="0" fontId="3" fillId="0" borderId="0" xfId="0" applyNumberFormat="1" applyFont="1"/>
    <xf numFmtId="0" fontId="0" fillId="0" borderId="0" xfId="0" applyFont="1" applyFill="1"/>
    <xf numFmtId="2" fontId="0" fillId="0" borderId="1" xfId="0" applyNumberFormat="1" applyBorder="1"/>
    <xf numFmtId="0" fontId="10" fillId="0" borderId="0" xfId="0" applyFont="1"/>
    <xf numFmtId="0" fontId="10" fillId="0" borderId="0" xfId="0" applyNumberFormat="1" applyFont="1"/>
    <xf numFmtId="49" fontId="0" fillId="0" borderId="0" xfId="0" applyNumberFormat="1"/>
    <xf numFmtId="49" fontId="0" fillId="0" borderId="1" xfId="0" applyNumberFormat="1" applyBorder="1"/>
    <xf numFmtId="49" fontId="1" fillId="0" borderId="0" xfId="0" applyNumberFormat="1" applyFont="1"/>
    <xf numFmtId="1" fontId="0" fillId="0" borderId="0" xfId="0" applyNumberFormat="1"/>
    <xf numFmtId="1" fontId="1" fillId="0" borderId="0" xfId="0" applyNumberFormat="1" applyFont="1"/>
    <xf numFmtId="11" fontId="1" fillId="0" borderId="0" xfId="0" applyNumberFormat="1" applyFont="1"/>
    <xf numFmtId="0" fontId="11" fillId="0" borderId="0" xfId="0" applyFont="1"/>
    <xf numFmtId="0" fontId="13" fillId="0" borderId="0" xfId="0" applyFont="1" applyBorder="1"/>
    <xf numFmtId="0" fontId="4" fillId="0" borderId="0" xfId="0" applyFont="1" applyFill="1"/>
    <xf numFmtId="0" fontId="0" fillId="0" borderId="0" xfId="0" applyFont="1" applyFill="1" applyBorder="1"/>
    <xf numFmtId="0" fontId="14" fillId="0" borderId="0" xfId="0" applyFont="1"/>
    <xf numFmtId="2" fontId="15" fillId="0" borderId="0" xfId="0" applyNumberFormat="1" applyFont="1"/>
    <xf numFmtId="0" fontId="15" fillId="0" borderId="0" xfId="0" applyFont="1"/>
    <xf numFmtId="2" fontId="12" fillId="0" borderId="0" xfId="0" applyNumberFormat="1" applyFont="1" applyBorder="1"/>
    <xf numFmtId="2" fontId="0" fillId="0" borderId="0" xfId="0" applyNumberFormat="1" applyFont="1" applyFill="1"/>
    <xf numFmtId="164" fontId="0" fillId="0" borderId="0" xfId="0" applyNumberFormat="1" applyFont="1" applyFill="1"/>
    <xf numFmtId="2" fontId="16" fillId="0" borderId="0" xfId="0" applyNumberFormat="1" applyFont="1"/>
    <xf numFmtId="2" fontId="4" fillId="0" borderId="0" xfId="0" applyNumberFormat="1" applyFont="1" applyBorder="1"/>
    <xf numFmtId="164" fontId="16" fillId="0" borderId="0" xfId="0" applyNumberFormat="1" applyFont="1" applyFill="1"/>
    <xf numFmtId="0" fontId="16" fillId="0" borderId="0" xfId="0" applyFont="1"/>
    <xf numFmtId="164" fontId="16" fillId="0" borderId="0" xfId="0" applyNumberFormat="1" applyFont="1"/>
    <xf numFmtId="2" fontId="13" fillId="0" borderId="0" xfId="0" applyNumberFormat="1" applyFont="1" applyBorder="1"/>
    <xf numFmtId="164" fontId="13" fillId="0" borderId="0" xfId="0" applyNumberFormat="1" applyFont="1" applyBorder="1"/>
    <xf numFmtId="2" fontId="13" fillId="0" borderId="0" xfId="0" applyNumberFormat="1" applyFont="1"/>
    <xf numFmtId="0" fontId="13" fillId="0" borderId="0" xfId="0" applyFont="1"/>
    <xf numFmtId="164" fontId="13" fillId="0" borderId="0" xfId="0" applyNumberFormat="1" applyFont="1"/>
    <xf numFmtId="2" fontId="4" fillId="0" borderId="0" xfId="0" applyNumberFormat="1" applyFont="1"/>
    <xf numFmtId="2" fontId="4" fillId="0" borderId="1" xfId="0" applyNumberFormat="1" applyFont="1" applyBorder="1"/>
    <xf numFmtId="2" fontId="14" fillId="0" borderId="0" xfId="0" applyNumberFormat="1" applyFont="1" applyBorder="1"/>
    <xf numFmtId="164" fontId="4" fillId="0" borderId="0" xfId="0" applyNumberFormat="1" applyFont="1" applyBorder="1"/>
    <xf numFmtId="164" fontId="5" fillId="0" borderId="0" xfId="0" applyNumberFormat="1" applyFont="1" applyBorder="1"/>
    <xf numFmtId="0" fontId="0" fillId="0" borderId="1" xfId="0" applyFont="1" applyFill="1" applyBorder="1"/>
    <xf numFmtId="0" fontId="0" fillId="0" borderId="0" xfId="0" applyFill="1"/>
    <xf numFmtId="0" fontId="0" fillId="0" borderId="1" xfId="0" applyFill="1" applyBorder="1"/>
    <xf numFmtId="0" fontId="1" fillId="0" borderId="0" xfId="0" applyFont="1" applyFill="1"/>
    <xf numFmtId="0" fontId="0" fillId="0" borderId="0" xfId="0" applyFill="1" applyAlignment="1">
      <alignment horizontal="left"/>
    </xf>
    <xf numFmtId="0" fontId="11" fillId="0" borderId="0" xfId="0" applyFont="1" applyFill="1"/>
    <xf numFmtId="11" fontId="0" fillId="0" borderId="0" xfId="0" applyNumberFormat="1" applyBorder="1"/>
    <xf numFmtId="0" fontId="2" fillId="0" borderId="0" xfId="0" applyFont="1" applyBorder="1"/>
    <xf numFmtId="11" fontId="2" fillId="0" borderId="0" xfId="0" applyNumberFormat="1" applyFont="1" applyBorder="1"/>
    <xf numFmtId="0" fontId="2" fillId="0" borderId="0" xfId="0" applyNumberFormat="1" applyFont="1" applyBorder="1"/>
    <xf numFmtId="0" fontId="0" fillId="0" borderId="0" xfId="0" applyNumberFormat="1" applyFont="1" applyBorder="1"/>
    <xf numFmtId="2" fontId="0" fillId="0" borderId="0" xfId="0" applyNumberFormat="1" applyFont="1" applyBorder="1"/>
    <xf numFmtId="0" fontId="0" fillId="0" borderId="0" xfId="0" applyFont="1" applyAlignment="1">
      <alignment horizontal="right"/>
    </xf>
    <xf numFmtId="1" fontId="0" fillId="0" borderId="0" xfId="0" applyNumberFormat="1" applyFont="1"/>
    <xf numFmtId="0" fontId="0" fillId="0" borderId="0" xfId="0" applyFont="1" applyFill="1" applyBorder="1" applyAlignment="1">
      <alignment horizontal="right"/>
    </xf>
    <xf numFmtId="165" fontId="0" fillId="0" borderId="0" xfId="0" applyNumberFormat="1" applyFont="1" applyAlignment="1">
      <alignment horizontal="right"/>
    </xf>
    <xf numFmtId="0" fontId="16" fillId="0" borderId="1" xfId="0" applyFont="1" applyBorder="1"/>
    <xf numFmtId="0" fontId="17" fillId="0" borderId="0" xfId="0" applyFont="1" applyFill="1"/>
    <xf numFmtId="49" fontId="18" fillId="0" borderId="0" xfId="0" applyNumberFormat="1" applyFont="1"/>
    <xf numFmtId="0" fontId="18" fillId="0" borderId="0" xfId="0" applyFont="1"/>
    <xf numFmtId="0" fontId="19" fillId="0" borderId="0" xfId="0" applyFont="1"/>
    <xf numFmtId="49" fontId="17" fillId="0" borderId="0" xfId="0" applyNumberFormat="1" applyFont="1" applyBorder="1"/>
    <xf numFmtId="0" fontId="18" fillId="0" borderId="0" xfId="0" applyFont="1" applyAlignment="1">
      <alignment horizontal="left"/>
    </xf>
    <xf numFmtId="2" fontId="17" fillId="0" borderId="0" xfId="0" applyNumberFormat="1" applyFont="1" applyAlignment="1">
      <alignment horizontal="right"/>
    </xf>
    <xf numFmtId="2" fontId="19" fillId="0" borderId="0" xfId="0" applyNumberFormat="1" applyFont="1" applyAlignment="1">
      <alignment horizontal="right"/>
    </xf>
    <xf numFmtId="49" fontId="18" fillId="0" borderId="0" xfId="0" applyNumberFormat="1" applyFont="1" applyAlignment="1">
      <alignment horizontal="right"/>
    </xf>
    <xf numFmtId="0" fontId="17" fillId="0" borderId="0" xfId="0" applyFont="1"/>
    <xf numFmtId="0" fontId="18" fillId="0" borderId="0" xfId="0" applyFont="1" applyBorder="1"/>
    <xf numFmtId="0" fontId="18" fillId="0" borderId="0" xfId="0" applyFont="1" applyFill="1"/>
    <xf numFmtId="0" fontId="20" fillId="0" borderId="0" xfId="0" applyFont="1"/>
    <xf numFmtId="0" fontId="21" fillId="0" borderId="0" xfId="0" applyFont="1"/>
    <xf numFmtId="2" fontId="16" fillId="0" borderId="0" xfId="0" applyNumberFormat="1" applyFont="1" applyBorder="1"/>
    <xf numFmtId="0" fontId="19" fillId="0" borderId="0" xfId="0" applyFont="1" applyBorder="1"/>
    <xf numFmtId="0" fontId="20" fillId="0" borderId="0" xfId="0" applyFont="1" applyBorder="1"/>
    <xf numFmtId="0" fontId="22" fillId="0" borderId="1" xfId="0" applyFont="1" applyBorder="1"/>
    <xf numFmtId="0" fontId="23" fillId="0" borderId="0" xfId="0" applyFont="1" applyBorder="1"/>
    <xf numFmtId="0" fontId="16" fillId="0" borderId="0" xfId="0" applyFont="1" applyBorder="1"/>
    <xf numFmtId="0" fontId="4" fillId="0" borderId="0" xfId="0" applyFont="1" applyBorder="1"/>
    <xf numFmtId="0" fontId="23" fillId="0" borderId="0" xfId="0" applyFont="1"/>
    <xf numFmtId="0" fontId="4" fillId="0" borderId="0" xfId="0" applyFont="1" applyFill="1" applyBorder="1"/>
    <xf numFmtId="0" fontId="16" fillId="0" borderId="0" xfId="0" applyFont="1" applyFill="1"/>
    <xf numFmtId="0" fontId="4" fillId="0" borderId="0" xfId="0" applyFont="1" applyAlignment="1">
      <alignment horizontal="right"/>
    </xf>
    <xf numFmtId="2" fontId="24" fillId="0" borderId="0" xfId="0" applyNumberFormat="1" applyFont="1"/>
    <xf numFmtId="0" fontId="14" fillId="0" borderId="0" xfId="0" applyFont="1" applyBorder="1"/>
    <xf numFmtId="0" fontId="0" fillId="0" borderId="0" xfId="0" applyFont="1" applyBorder="1" applyAlignment="1">
      <alignment horizontal="right"/>
    </xf>
    <xf numFmtId="0" fontId="23" fillId="0" borderId="1" xfId="0" applyFont="1" applyBorder="1"/>
    <xf numFmtId="2" fontId="18" fillId="0" borderId="0" xfId="0" applyNumberFormat="1" applyFont="1" applyBorder="1"/>
    <xf numFmtId="165" fontId="24" fillId="0" borderId="0" xfId="0" applyNumberFormat="1" applyFont="1" applyAlignment="1">
      <alignment horizontal="right"/>
    </xf>
    <xf numFmtId="2" fontId="18" fillId="0" borderId="0" xfId="0" applyNumberFormat="1" applyFont="1"/>
    <xf numFmtId="165" fontId="16" fillId="0" borderId="0" xfId="0" applyNumberFormat="1" applyFont="1" applyBorder="1" applyAlignment="1">
      <alignment horizontal="right"/>
    </xf>
    <xf numFmtId="1" fontId="2" fillId="0" borderId="0" xfId="0" applyNumberFormat="1" applyFont="1"/>
    <xf numFmtId="1" fontId="2" fillId="0" borderId="0" xfId="0" applyNumberFormat="1" applyFont="1" applyBorder="1"/>
    <xf numFmtId="1" fontId="7" fillId="0" borderId="0" xfId="0" applyNumberFormat="1" applyFont="1"/>
    <xf numFmtId="1" fontId="6" fillId="0" borderId="0" xfId="0" applyNumberFormat="1" applyFont="1"/>
    <xf numFmtId="1" fontId="0" fillId="0" borderId="0" xfId="0" applyNumberFormat="1" applyBorder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Bornschein/Documents/Grit/Daten/L5PN/Pairs%20PFC/L5PN_Analysis_S1_reanalyzed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xins on-cell"/>
      <sheetName val="on-cell sFA, pre Buffer"/>
      <sheetName val="whole-cell NSFA"/>
      <sheetName val="Tabelle2"/>
      <sheetName val="Tabelle3"/>
      <sheetName val="5er Trains"/>
      <sheetName val="Recovery"/>
      <sheetName val="Summary"/>
    </sheetNames>
    <sheetDataSet>
      <sheetData sheetId="0"/>
      <sheetData sheetId="1"/>
      <sheetData sheetId="2"/>
      <sheetData sheetId="3"/>
      <sheetData sheetId="4"/>
      <sheetData sheetId="5">
        <row r="126">
          <cell r="D126">
            <v>-3.7032827999999998E-11</v>
          </cell>
          <cell r="E126">
            <v>-3.5864506000000003E-11</v>
          </cell>
        </row>
      </sheetData>
      <sheetData sheetId="6"/>
      <sheetData sheetId="7"/>
    </sheetDataSet>
  </externalBook>
</externalLink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Y189"/>
  <sheetViews>
    <sheetView tabSelected="1" topLeftCell="A85" zoomScaleNormal="100" workbookViewId="0">
      <pane xSplit="1" topLeftCell="B1" activePane="topRight" state="frozen"/>
      <selection pane="topRight" activeCell="E27" sqref="E27"/>
    </sheetView>
  </sheetViews>
  <sheetFormatPr baseColWidth="10" defaultRowHeight="15"/>
  <cols>
    <col min="1" max="1" width="14.28515625" style="87" customWidth="1"/>
    <col min="2" max="2" width="11.42578125" style="55"/>
    <col min="3" max="3" width="22.7109375" customWidth="1"/>
    <col min="4" max="4" width="13" bestFit="1" customWidth="1"/>
    <col min="6" max="6" width="12.7109375" bestFit="1" customWidth="1"/>
    <col min="7" max="8" width="12" bestFit="1" customWidth="1"/>
    <col min="9" max="12" width="11.42578125" style="19"/>
  </cols>
  <sheetData>
    <row r="1" spans="1:233" s="35" customFormat="1" ht="18.75">
      <c r="A1" s="91" t="s">
        <v>110</v>
      </c>
      <c r="B1" s="55"/>
      <c r="I1" s="39"/>
      <c r="J1" s="39"/>
      <c r="K1" s="39"/>
      <c r="L1" s="39"/>
    </row>
    <row r="2" spans="1:233" s="36" customFormat="1">
      <c r="A2" s="103" t="s">
        <v>205</v>
      </c>
      <c r="B2" s="104"/>
      <c r="G2" s="2"/>
      <c r="H2" s="2"/>
      <c r="I2" s="37"/>
      <c r="J2" s="37"/>
      <c r="K2" s="37"/>
      <c r="L2" s="37"/>
      <c r="M2" s="2"/>
      <c r="N2" s="71"/>
      <c r="P2" s="105"/>
      <c r="S2" s="106"/>
      <c r="T2" s="106"/>
      <c r="U2" s="106"/>
      <c r="V2" s="106"/>
      <c r="W2" s="106"/>
      <c r="X2" s="106"/>
      <c r="Y2" s="106"/>
      <c r="Z2" s="106"/>
      <c r="AA2" s="105"/>
      <c r="AB2" s="105"/>
      <c r="AC2" s="105"/>
      <c r="AD2" s="105"/>
      <c r="AE2" s="105"/>
      <c r="AF2" s="105"/>
      <c r="AG2" s="105"/>
      <c r="AH2" s="105"/>
      <c r="AI2" s="105"/>
      <c r="AJ2" s="105"/>
      <c r="AK2" s="105"/>
      <c r="AL2" s="105"/>
      <c r="AM2" s="105"/>
      <c r="AN2" s="105"/>
      <c r="AO2" s="105"/>
      <c r="AP2" s="105"/>
      <c r="AQ2" s="105"/>
      <c r="AR2" s="105"/>
      <c r="AS2" s="105"/>
      <c r="AT2" s="105"/>
      <c r="AV2" s="106"/>
      <c r="AW2" s="105"/>
      <c r="AY2" s="106"/>
      <c r="BF2" s="3"/>
      <c r="BG2" s="3"/>
      <c r="BH2" s="3"/>
      <c r="BI2" s="3"/>
      <c r="BK2" s="4"/>
      <c r="BL2" s="107"/>
      <c r="BP2" s="105"/>
      <c r="BS2" s="106"/>
      <c r="BT2" s="106"/>
      <c r="BU2" s="106"/>
      <c r="BV2" s="106"/>
      <c r="BW2" s="106"/>
      <c r="BX2" s="106"/>
      <c r="BY2" s="106"/>
      <c r="BZ2" s="106"/>
      <c r="CA2" s="106"/>
      <c r="CB2" s="105"/>
      <c r="CC2" s="105"/>
      <c r="CD2" s="105"/>
      <c r="CE2" s="105"/>
      <c r="CF2" s="107"/>
      <c r="CG2" s="106"/>
      <c r="CI2" s="105"/>
      <c r="CJ2" s="105"/>
      <c r="CK2" s="105"/>
      <c r="CL2" s="108"/>
      <c r="CN2" s="106"/>
      <c r="CO2" s="4"/>
      <c r="CP2" s="105"/>
      <c r="CR2" s="105"/>
      <c r="CS2" s="105"/>
      <c r="CT2" s="108"/>
      <c r="CV2" s="106"/>
      <c r="CW2" s="4"/>
      <c r="CX2" s="105"/>
      <c r="CZ2" s="105"/>
      <c r="DA2" s="105"/>
      <c r="DB2" s="108"/>
      <c r="DD2" s="106"/>
      <c r="DE2" s="4"/>
      <c r="DF2" s="105"/>
      <c r="DH2" s="105"/>
      <c r="DJ2" s="107"/>
      <c r="DW2" s="109"/>
      <c r="DX2" s="110"/>
      <c r="DY2" s="5"/>
      <c r="DZ2" s="5"/>
      <c r="EA2" s="111"/>
      <c r="EB2" s="5"/>
      <c r="EC2" s="5"/>
      <c r="ED2" s="5"/>
      <c r="EE2" s="5"/>
      <c r="EF2" s="5"/>
      <c r="EG2" s="5"/>
      <c r="EH2" s="5"/>
      <c r="EI2" s="112"/>
      <c r="EJ2" s="106"/>
      <c r="EM2" s="104"/>
      <c r="EN2" s="5"/>
      <c r="EO2" s="5"/>
      <c r="EP2" s="5"/>
      <c r="EQ2" s="5"/>
      <c r="ER2" s="5"/>
      <c r="ES2" s="5"/>
      <c r="EU2" s="113"/>
      <c r="EZ2" s="104"/>
      <c r="FI2" s="3"/>
      <c r="FK2" s="105"/>
      <c r="FM2" s="105"/>
      <c r="FO2" s="6"/>
      <c r="FP2" s="105"/>
      <c r="FT2" s="113"/>
      <c r="FX2" s="113"/>
      <c r="GC2" s="105"/>
    </row>
    <row r="3" spans="1:233" s="36" customFormat="1">
      <c r="A3" s="114" t="s">
        <v>204</v>
      </c>
      <c r="B3" s="3"/>
      <c r="D3" s="36" t="s">
        <v>73</v>
      </c>
      <c r="F3" s="2"/>
      <c r="G3" s="2"/>
      <c r="H3" s="2"/>
      <c r="I3" s="37"/>
      <c r="J3" s="37"/>
      <c r="K3" s="37"/>
      <c r="L3" s="37"/>
      <c r="M3" s="2"/>
      <c r="N3" s="134" t="s">
        <v>0</v>
      </c>
      <c r="O3" s="105" t="s">
        <v>1</v>
      </c>
      <c r="P3" s="9" t="s">
        <v>2</v>
      </c>
      <c r="AT3" s="36" t="s">
        <v>68</v>
      </c>
      <c r="AU3" s="36" t="s">
        <v>69</v>
      </c>
      <c r="AX3" s="36" t="s">
        <v>70</v>
      </c>
      <c r="BA3" s="36" t="s">
        <v>107</v>
      </c>
      <c r="BD3" s="36" t="s">
        <v>71</v>
      </c>
      <c r="BG3" s="36" t="s">
        <v>72</v>
      </c>
      <c r="BI3" s="3"/>
      <c r="BJ3" s="36" t="s">
        <v>106</v>
      </c>
      <c r="BL3" s="3"/>
      <c r="BM3" s="105" t="s">
        <v>55</v>
      </c>
      <c r="BO3" s="9" t="s">
        <v>2</v>
      </c>
      <c r="CC3" s="36" t="s">
        <v>28</v>
      </c>
      <c r="CF3" s="3"/>
      <c r="CG3" s="36" t="s">
        <v>88</v>
      </c>
      <c r="DW3" s="5"/>
      <c r="DX3" s="5"/>
      <c r="DY3" s="5"/>
      <c r="DZ3" s="5"/>
      <c r="EA3" s="7"/>
      <c r="EB3" s="5"/>
      <c r="EC3" s="5"/>
      <c r="ED3" s="5"/>
      <c r="EE3" s="110"/>
      <c r="EF3" s="5"/>
      <c r="EG3" s="5"/>
      <c r="EH3" s="5"/>
      <c r="EM3" s="3"/>
      <c r="EN3" s="5"/>
      <c r="EO3" s="5"/>
      <c r="EP3" s="5"/>
      <c r="EQ3" s="110"/>
      <c r="ER3" s="5"/>
      <c r="ES3" s="110"/>
      <c r="ET3" s="106"/>
      <c r="EU3" s="106"/>
      <c r="EZ3" s="104"/>
      <c r="FH3" s="105"/>
      <c r="FI3" s="3"/>
      <c r="FO3" s="6"/>
      <c r="FP3" s="106"/>
      <c r="FT3" s="106"/>
      <c r="FX3" s="8"/>
      <c r="GC3" s="106"/>
      <c r="GG3" s="106"/>
      <c r="GK3" s="106"/>
      <c r="GM3" s="106"/>
      <c r="GQ3" s="106"/>
      <c r="GU3" s="106"/>
      <c r="GW3" s="106"/>
      <c r="HA3" s="106"/>
      <c r="HE3" s="106"/>
      <c r="HG3" s="106"/>
      <c r="HK3" s="106"/>
      <c r="HO3" s="106"/>
      <c r="HQ3" s="106"/>
      <c r="HU3" s="106"/>
      <c r="HY3" s="106"/>
    </row>
    <row r="4" spans="1:233" s="11" customFormat="1">
      <c r="A4" s="86" t="s">
        <v>201</v>
      </c>
      <c r="B4" s="13" t="s">
        <v>202</v>
      </c>
      <c r="C4" s="11" t="s">
        <v>203</v>
      </c>
      <c r="D4" s="11" t="s">
        <v>37</v>
      </c>
      <c r="E4" s="11" t="s">
        <v>38</v>
      </c>
      <c r="F4" s="12" t="s">
        <v>56</v>
      </c>
      <c r="G4" s="12" t="s">
        <v>4</v>
      </c>
      <c r="H4" s="12" t="s">
        <v>5</v>
      </c>
      <c r="I4" s="21" t="s">
        <v>6</v>
      </c>
      <c r="J4" s="21" t="s">
        <v>7</v>
      </c>
      <c r="K4" s="21" t="s">
        <v>8</v>
      </c>
      <c r="L4" s="21" t="s">
        <v>57</v>
      </c>
      <c r="M4" s="12" t="s">
        <v>66</v>
      </c>
      <c r="N4" s="41"/>
      <c r="O4" s="13" t="s">
        <v>9</v>
      </c>
      <c r="P4" s="13" t="s">
        <v>12</v>
      </c>
      <c r="Q4" s="11" t="s">
        <v>10</v>
      </c>
      <c r="R4" s="11" t="s">
        <v>19</v>
      </c>
      <c r="S4" s="11" t="s">
        <v>20</v>
      </c>
      <c r="T4" s="11" t="s">
        <v>21</v>
      </c>
      <c r="U4" s="11" t="s">
        <v>22</v>
      </c>
      <c r="V4" s="11" t="s">
        <v>23</v>
      </c>
      <c r="W4" s="11" t="s">
        <v>24</v>
      </c>
      <c r="X4" s="11" t="s">
        <v>25</v>
      </c>
      <c r="Y4" s="11" t="s">
        <v>26</v>
      </c>
      <c r="Z4" s="11" t="s">
        <v>62</v>
      </c>
      <c r="AA4" s="11" t="s">
        <v>13</v>
      </c>
      <c r="AC4" s="13" t="s">
        <v>9</v>
      </c>
      <c r="AD4" s="13" t="s">
        <v>12</v>
      </c>
      <c r="AE4" s="11" t="s">
        <v>10</v>
      </c>
      <c r="AF4" s="11" t="s">
        <v>19</v>
      </c>
      <c r="AG4" s="11" t="s">
        <v>28</v>
      </c>
      <c r="AI4" s="13" t="s">
        <v>9</v>
      </c>
      <c r="AJ4" s="13" t="s">
        <v>12</v>
      </c>
      <c r="AK4" s="11" t="s">
        <v>28</v>
      </c>
      <c r="AM4" s="13" t="s">
        <v>9</v>
      </c>
      <c r="AN4" s="13" t="s">
        <v>12</v>
      </c>
      <c r="AO4" s="11" t="s">
        <v>28</v>
      </c>
      <c r="AQ4" s="11" t="s">
        <v>28</v>
      </c>
      <c r="AR4" s="11" t="s">
        <v>58</v>
      </c>
      <c r="AS4" s="11" t="s">
        <v>59</v>
      </c>
      <c r="AU4" s="13" t="s">
        <v>9</v>
      </c>
      <c r="AV4" s="11" t="s">
        <v>10</v>
      </c>
      <c r="AW4" s="11" t="s">
        <v>11</v>
      </c>
      <c r="AX4" s="13" t="s">
        <v>9</v>
      </c>
      <c r="AY4" s="11" t="s">
        <v>10</v>
      </c>
      <c r="AZ4" s="11" t="s">
        <v>11</v>
      </c>
      <c r="BA4" s="13" t="s">
        <v>9</v>
      </c>
      <c r="BB4" s="11" t="s">
        <v>12</v>
      </c>
      <c r="BC4" s="11" t="s">
        <v>11</v>
      </c>
      <c r="BD4" s="13" t="s">
        <v>9</v>
      </c>
      <c r="BE4" s="11" t="s">
        <v>12</v>
      </c>
      <c r="BF4" s="11" t="s">
        <v>11</v>
      </c>
      <c r="BG4" s="13" t="s">
        <v>9</v>
      </c>
      <c r="BH4" s="11" t="s">
        <v>12</v>
      </c>
      <c r="BI4" s="11" t="s">
        <v>11</v>
      </c>
      <c r="BJ4" s="13" t="s">
        <v>9</v>
      </c>
      <c r="BK4" s="11" t="s">
        <v>12</v>
      </c>
      <c r="BL4" s="11" t="s">
        <v>11</v>
      </c>
      <c r="BO4" s="13" t="s">
        <v>9</v>
      </c>
      <c r="BP4" s="13" t="s">
        <v>12</v>
      </c>
      <c r="BQ4" s="11" t="s">
        <v>10</v>
      </c>
      <c r="BR4" s="11" t="s">
        <v>19</v>
      </c>
      <c r="BS4" s="11" t="s">
        <v>20</v>
      </c>
      <c r="BT4" s="11" t="s">
        <v>21</v>
      </c>
      <c r="BU4" s="11" t="s">
        <v>22</v>
      </c>
      <c r="BV4" s="11" t="s">
        <v>23</v>
      </c>
      <c r="BW4" s="11" t="s">
        <v>24</v>
      </c>
      <c r="BX4" s="11" t="s">
        <v>25</v>
      </c>
      <c r="BY4" s="11" t="s">
        <v>26</v>
      </c>
      <c r="BZ4" s="11" t="s">
        <v>27</v>
      </c>
      <c r="CA4" s="11" t="s">
        <v>28</v>
      </c>
      <c r="CB4" s="11" t="s">
        <v>13</v>
      </c>
      <c r="CC4" s="11" t="s">
        <v>14</v>
      </c>
      <c r="CD4" s="11" t="s">
        <v>15</v>
      </c>
      <c r="CE4" s="11" t="s">
        <v>16</v>
      </c>
      <c r="CF4" s="11" t="s">
        <v>17</v>
      </c>
      <c r="CG4" s="11" t="s">
        <v>87</v>
      </c>
      <c r="CH4" s="11" t="s">
        <v>198</v>
      </c>
      <c r="CI4" s="11" t="s">
        <v>104</v>
      </c>
      <c r="CM4" s="13"/>
      <c r="CU4" s="13"/>
      <c r="DC4" s="13"/>
      <c r="DV4" s="14"/>
      <c r="DX4" s="15"/>
      <c r="DY4" s="15"/>
      <c r="DZ4" s="15"/>
      <c r="EA4" s="15"/>
      <c r="EB4" s="16"/>
      <c r="EC4" s="15"/>
      <c r="ED4" s="15"/>
      <c r="EE4" s="15"/>
      <c r="EF4" s="15"/>
      <c r="EG4" s="15"/>
      <c r="EH4" s="15"/>
      <c r="EI4" s="15"/>
      <c r="EN4" s="13"/>
      <c r="EO4" s="15"/>
      <c r="EP4" s="15"/>
      <c r="EQ4" s="15"/>
      <c r="ER4" s="15"/>
      <c r="ES4" s="15"/>
      <c r="ET4" s="15"/>
      <c r="FA4" s="13"/>
      <c r="FJ4" s="13"/>
      <c r="FP4" s="17"/>
    </row>
    <row r="5" spans="1:233" s="1" customFormat="1">
      <c r="A5" s="51" t="s">
        <v>35</v>
      </c>
      <c r="B5" s="32" t="s">
        <v>36</v>
      </c>
      <c r="D5" s="1">
        <v>15</v>
      </c>
      <c r="E5" s="1">
        <v>-169</v>
      </c>
      <c r="F5" s="18">
        <v>-1.66511E-11</v>
      </c>
      <c r="G5" s="10">
        <v>1.04845E-11</v>
      </c>
      <c r="H5" s="10">
        <v>9.776879999999999E-13</v>
      </c>
      <c r="I5" s="37">
        <v>115</v>
      </c>
      <c r="J5" s="18">
        <f>-G5/F5</f>
        <v>0.62965810066602212</v>
      </c>
      <c r="K5" s="37">
        <f>12/I5</f>
        <v>0.10434782608695652</v>
      </c>
      <c r="L5" s="10">
        <f>F5*-1000000000000</f>
        <v>16.6511</v>
      </c>
      <c r="M5" s="2">
        <v>0.77163300000000001</v>
      </c>
      <c r="N5" t="s">
        <v>34</v>
      </c>
      <c r="O5">
        <v>-14.95</v>
      </c>
      <c r="P5">
        <v>-23.52</v>
      </c>
      <c r="Q5">
        <v>-22.78</v>
      </c>
      <c r="R5">
        <v>1.52</v>
      </c>
      <c r="S5">
        <v>1.57</v>
      </c>
      <c r="T5">
        <v>2.2000000000000002</v>
      </c>
      <c r="U5">
        <v>1.93</v>
      </c>
      <c r="V5">
        <v>0.96</v>
      </c>
      <c r="W5">
        <v>1.1100000000000001</v>
      </c>
      <c r="X5">
        <v>6.28</v>
      </c>
      <c r="Y5">
        <v>5.61</v>
      </c>
      <c r="Z5">
        <v>143</v>
      </c>
      <c r="AA5">
        <v>107</v>
      </c>
      <c r="AB5" s="3" t="s">
        <v>29</v>
      </c>
      <c r="AC5" s="7" t="s">
        <v>30</v>
      </c>
      <c r="AD5" s="1">
        <v>-24.36</v>
      </c>
      <c r="AE5" s="1">
        <v>-23.39</v>
      </c>
      <c r="AF5" s="1">
        <v>1.32</v>
      </c>
      <c r="AG5" s="10">
        <v>0.83</v>
      </c>
      <c r="AH5" t="s">
        <v>31</v>
      </c>
      <c r="AI5">
        <v>-10.78</v>
      </c>
      <c r="AJ5">
        <v>1.6</v>
      </c>
      <c r="AK5">
        <v>0.03</v>
      </c>
      <c r="AL5" t="s">
        <v>32</v>
      </c>
      <c r="AM5">
        <v>0.34</v>
      </c>
      <c r="AN5">
        <v>-25.11</v>
      </c>
      <c r="AO5">
        <v>0.13</v>
      </c>
      <c r="AP5" t="s">
        <v>33</v>
      </c>
      <c r="AQ5">
        <v>0.01</v>
      </c>
      <c r="AR5">
        <f>AG5+AK5</f>
        <v>0.86</v>
      </c>
      <c r="AS5">
        <f>AG5+AO5</f>
        <v>0.96</v>
      </c>
      <c r="AT5" s="1" t="s">
        <v>34</v>
      </c>
      <c r="AU5" s="1">
        <v>-17.809999999999999</v>
      </c>
      <c r="AV5" s="1">
        <v>-16.84</v>
      </c>
      <c r="AW5" s="1">
        <v>0.95</v>
      </c>
      <c r="AX5" s="1">
        <v>-13.53</v>
      </c>
      <c r="AY5" s="1">
        <v>-21.22</v>
      </c>
      <c r="AZ5" s="1">
        <v>1.28</v>
      </c>
      <c r="BA5" s="35">
        <v>-14.95</v>
      </c>
      <c r="BB5" s="35">
        <v>-22.78</v>
      </c>
      <c r="BC5" s="35">
        <v>1.52</v>
      </c>
      <c r="BD5" s="36">
        <v>-14.12</v>
      </c>
      <c r="BE5" s="36">
        <v>-21.64</v>
      </c>
      <c r="BF5" s="36">
        <v>1.53</v>
      </c>
      <c r="BG5" s="36">
        <v>-14.26</v>
      </c>
      <c r="BH5" s="36">
        <v>-18.18</v>
      </c>
      <c r="BI5" s="37">
        <v>1.27</v>
      </c>
      <c r="BJ5" s="24">
        <v>-14.64</v>
      </c>
      <c r="BK5" s="49">
        <v>-13.04</v>
      </c>
      <c r="BL5" s="50">
        <v>0.89</v>
      </c>
      <c r="BM5" s="10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O5" s="4"/>
      <c r="DW5" s="5"/>
      <c r="DX5" s="5"/>
      <c r="DY5" s="5"/>
      <c r="DZ5" s="5"/>
      <c r="EA5" s="7"/>
      <c r="EB5" s="5"/>
      <c r="EC5" s="5"/>
      <c r="ED5" s="5"/>
      <c r="EE5" s="5"/>
      <c r="EF5" s="5"/>
      <c r="EG5" s="5"/>
      <c r="EH5" s="5"/>
      <c r="EM5" s="3"/>
      <c r="EN5" s="5"/>
      <c r="EO5" s="5"/>
      <c r="EP5" s="5"/>
      <c r="EQ5" s="5"/>
      <c r="ER5" s="5"/>
      <c r="ES5" s="5"/>
      <c r="EZ5" s="3"/>
      <c r="FI5" s="3"/>
      <c r="FO5" s="6"/>
    </row>
    <row r="6" spans="1:233">
      <c r="A6" s="51" t="s">
        <v>39</v>
      </c>
      <c r="B6" s="38" t="s">
        <v>36</v>
      </c>
      <c r="C6" t="s">
        <v>206</v>
      </c>
      <c r="D6">
        <v>32</v>
      </c>
      <c r="E6">
        <v>-299</v>
      </c>
      <c r="F6" s="18">
        <v>-3.6425999999999998E-12</v>
      </c>
      <c r="G6" s="18">
        <v>3.6252800000000001E-12</v>
      </c>
      <c r="H6" s="18">
        <v>5.2326400000000002E-13</v>
      </c>
      <c r="I6" s="39">
        <v>48</v>
      </c>
      <c r="J6" s="19">
        <f>-G6/F6</f>
        <v>0.99524515455992979</v>
      </c>
      <c r="K6" s="39">
        <f>14/I6</f>
        <v>0.29166666666666669</v>
      </c>
      <c r="L6" s="10">
        <f t="shared" ref="L6:L33" si="0">F6*-1000000000000</f>
        <v>3.6425999999999998</v>
      </c>
      <c r="M6" s="19">
        <v>0.71317299999999995</v>
      </c>
      <c r="N6" t="s">
        <v>34</v>
      </c>
      <c r="O6">
        <v>-1.71</v>
      </c>
      <c r="P6">
        <v>-10.85</v>
      </c>
      <c r="Q6">
        <v>-10.8</v>
      </c>
      <c r="T6">
        <v>3.91</v>
      </c>
      <c r="U6">
        <v>3.27</v>
      </c>
      <c r="V6">
        <v>0.57999999999999996</v>
      </c>
      <c r="W6">
        <v>0.57999999999999996</v>
      </c>
      <c r="X6">
        <v>5.36</v>
      </c>
      <c r="Y6">
        <v>5.36</v>
      </c>
      <c r="Z6">
        <v>100</v>
      </c>
      <c r="AA6">
        <v>18</v>
      </c>
      <c r="AB6" t="s">
        <v>29</v>
      </c>
      <c r="AC6">
        <v>-2.15</v>
      </c>
      <c r="AD6">
        <v>-9.81</v>
      </c>
      <c r="AE6" s="3"/>
      <c r="AF6">
        <v>4.5599999999999996</v>
      </c>
      <c r="AG6">
        <v>0.65</v>
      </c>
      <c r="AH6" t="s">
        <v>31</v>
      </c>
      <c r="AK6">
        <v>0.03</v>
      </c>
      <c r="AL6" t="s">
        <v>32</v>
      </c>
      <c r="AM6">
        <v>1.58</v>
      </c>
      <c r="AN6">
        <v>-10.5</v>
      </c>
      <c r="AO6">
        <v>0.3</v>
      </c>
      <c r="AP6" t="s">
        <v>33</v>
      </c>
      <c r="AQ6">
        <v>0.02</v>
      </c>
      <c r="AR6">
        <f t="shared" ref="AR6:AR28" si="1">AG6+AK6</f>
        <v>0.68</v>
      </c>
      <c r="AS6">
        <f t="shared" ref="AS6:AS28" si="2">AG6+AO6</f>
        <v>0.95</v>
      </c>
      <c r="BD6" s="35"/>
      <c r="BE6" s="35"/>
      <c r="BF6" s="35"/>
      <c r="BG6" s="35"/>
      <c r="BH6" s="35"/>
      <c r="BI6" s="35"/>
      <c r="BJ6" s="35"/>
      <c r="BK6" s="35"/>
      <c r="BL6" s="35"/>
    </row>
    <row r="7" spans="1:233">
      <c r="A7" s="51" t="s">
        <v>41</v>
      </c>
      <c r="B7" s="38" t="s">
        <v>36</v>
      </c>
      <c r="D7">
        <v>16</v>
      </c>
      <c r="E7">
        <v>-92</v>
      </c>
      <c r="F7" s="18">
        <v>-6.5063100000000004E-12</v>
      </c>
      <c r="G7" s="18">
        <v>5.3736400000000001E-12</v>
      </c>
      <c r="H7" s="18">
        <v>3.8481399999999999E-13</v>
      </c>
      <c r="I7" s="39">
        <v>195</v>
      </c>
      <c r="J7" s="19">
        <f t="shared" ref="J7:J33" si="3">-G7/F7</f>
        <v>0.8259120761230252</v>
      </c>
      <c r="K7" s="39">
        <f>46/I7</f>
        <v>0.23589743589743589</v>
      </c>
      <c r="L7" s="10">
        <f t="shared" si="0"/>
        <v>6.50631</v>
      </c>
      <c r="M7">
        <v>0.79122599999999998</v>
      </c>
      <c r="N7" t="s">
        <v>34</v>
      </c>
      <c r="O7">
        <v>-6.3</v>
      </c>
      <c r="P7">
        <v>-7.42</v>
      </c>
      <c r="Q7">
        <v>-7.19</v>
      </c>
      <c r="R7">
        <v>1.1399999999999999</v>
      </c>
      <c r="S7">
        <v>1.18</v>
      </c>
      <c r="T7">
        <v>2.14</v>
      </c>
      <c r="U7">
        <v>2.0099999999999998</v>
      </c>
      <c r="V7">
        <v>0.64</v>
      </c>
      <c r="W7">
        <v>1.26</v>
      </c>
      <c r="X7">
        <v>5.87</v>
      </c>
      <c r="Y7">
        <v>3.58</v>
      </c>
      <c r="Z7">
        <v>110</v>
      </c>
      <c r="AA7">
        <v>36</v>
      </c>
      <c r="AB7" t="s">
        <v>29</v>
      </c>
      <c r="AC7">
        <v>-7.31</v>
      </c>
      <c r="AD7">
        <v>-8.43</v>
      </c>
      <c r="AE7">
        <v>-8.2200000000000006</v>
      </c>
      <c r="AF7">
        <v>1.1299999999999999</v>
      </c>
      <c r="AG7">
        <v>0.67</v>
      </c>
      <c r="AH7" t="s">
        <v>31</v>
      </c>
      <c r="AI7">
        <v>-14.38</v>
      </c>
      <c r="AJ7">
        <v>-0.76</v>
      </c>
      <c r="AK7">
        <v>0.13</v>
      </c>
      <c r="AL7" t="s">
        <v>32</v>
      </c>
      <c r="AM7">
        <v>-0.48</v>
      </c>
      <c r="AN7">
        <v>-9.93</v>
      </c>
      <c r="AO7">
        <v>0.16</v>
      </c>
      <c r="AP7" t="s">
        <v>33</v>
      </c>
      <c r="AQ7">
        <v>0.04</v>
      </c>
      <c r="AR7">
        <f t="shared" si="1"/>
        <v>0.8</v>
      </c>
      <c r="AS7">
        <f t="shared" si="2"/>
        <v>0.83000000000000007</v>
      </c>
      <c r="AT7" t="s">
        <v>34</v>
      </c>
      <c r="AU7">
        <v>-4.99</v>
      </c>
      <c r="AV7">
        <v>-8.8699999999999903</v>
      </c>
      <c r="AW7">
        <v>1.78</v>
      </c>
      <c r="AX7">
        <v>-5.55</v>
      </c>
      <c r="AY7">
        <v>-7.47</v>
      </c>
      <c r="AZ7">
        <v>1.35</v>
      </c>
      <c r="BA7" s="35">
        <v>-6.3</v>
      </c>
      <c r="BB7" s="35">
        <v>-7.19</v>
      </c>
      <c r="BC7" s="35">
        <v>1.1399999999999999</v>
      </c>
      <c r="BD7" s="35">
        <v>-2.88</v>
      </c>
      <c r="BE7" s="35">
        <v>-7.09</v>
      </c>
      <c r="BF7" s="35">
        <v>2.4700000000000002</v>
      </c>
      <c r="BG7" s="35">
        <v>-5.77</v>
      </c>
      <c r="BH7" s="35">
        <v>-4.09</v>
      </c>
      <c r="BI7" s="35">
        <v>0.71</v>
      </c>
      <c r="BJ7" s="35">
        <v>-5.08</v>
      </c>
      <c r="BK7" s="35">
        <v>-5.5</v>
      </c>
      <c r="BL7" s="35">
        <v>1.08</v>
      </c>
    </row>
    <row r="8" spans="1:233">
      <c r="A8" s="51" t="s">
        <v>42</v>
      </c>
      <c r="B8" s="38" t="s">
        <v>36</v>
      </c>
      <c r="D8">
        <v>32</v>
      </c>
      <c r="E8">
        <v>-85</v>
      </c>
      <c r="F8" s="18">
        <v>-4.52368E-12</v>
      </c>
      <c r="G8" s="18">
        <v>4.1142099999999997E-12</v>
      </c>
      <c r="H8" s="18">
        <v>5.9383600000000004E-13</v>
      </c>
      <c r="I8" s="39">
        <v>48</v>
      </c>
      <c r="J8" s="19">
        <f t="shared" si="3"/>
        <v>0.9094829873023732</v>
      </c>
      <c r="K8" s="39">
        <f>16/I8</f>
        <v>0.33333333333333331</v>
      </c>
      <c r="L8" s="10">
        <f t="shared" si="0"/>
        <v>4.5236799999999997</v>
      </c>
      <c r="M8">
        <v>0.31241400000000003</v>
      </c>
      <c r="N8" t="s">
        <v>34</v>
      </c>
      <c r="O8">
        <v>-4.04</v>
      </c>
      <c r="P8">
        <v>-5.24</v>
      </c>
      <c r="R8">
        <v>1.3</v>
      </c>
      <c r="S8">
        <v>1.3</v>
      </c>
      <c r="T8">
        <v>1.93</v>
      </c>
      <c r="U8">
        <v>1.78</v>
      </c>
      <c r="X8">
        <v>1.06</v>
      </c>
      <c r="Y8">
        <v>1.92</v>
      </c>
      <c r="Z8">
        <v>58</v>
      </c>
      <c r="AA8">
        <v>15</v>
      </c>
      <c r="AB8" t="s">
        <v>29</v>
      </c>
      <c r="AC8">
        <v>-4.43</v>
      </c>
      <c r="AD8">
        <v>-6.76</v>
      </c>
      <c r="AF8">
        <v>1.53</v>
      </c>
      <c r="AG8">
        <v>0.5</v>
      </c>
      <c r="AH8" t="s">
        <v>31</v>
      </c>
      <c r="AI8">
        <v>-8.1099999999999905</v>
      </c>
      <c r="AJ8">
        <v>-0.37</v>
      </c>
      <c r="AK8">
        <v>0.17</v>
      </c>
      <c r="AL8" t="s">
        <v>32</v>
      </c>
      <c r="AM8">
        <v>0.91</v>
      </c>
      <c r="AN8">
        <v>-8.33</v>
      </c>
      <c r="AO8">
        <v>0.28000000000000003</v>
      </c>
      <c r="AP8" t="s">
        <v>33</v>
      </c>
      <c r="AQ8">
        <v>0.05</v>
      </c>
      <c r="AR8">
        <f t="shared" si="1"/>
        <v>0.67</v>
      </c>
      <c r="AS8">
        <f t="shared" si="2"/>
        <v>0.78</v>
      </c>
      <c r="BD8" s="35"/>
      <c r="BE8" s="35"/>
      <c r="BF8" s="35"/>
      <c r="BG8" s="35"/>
      <c r="BH8" s="35"/>
      <c r="BI8" s="35"/>
      <c r="BJ8" s="35"/>
      <c r="BK8" s="35"/>
      <c r="BL8" s="35"/>
    </row>
    <row r="9" spans="1:233">
      <c r="A9" s="51" t="s">
        <v>43</v>
      </c>
      <c r="B9" s="38" t="s">
        <v>36</v>
      </c>
      <c r="D9">
        <v>18</v>
      </c>
      <c r="E9">
        <v>-82</v>
      </c>
      <c r="F9" s="18">
        <v>-4.5477499999999999E-12</v>
      </c>
      <c r="G9" s="18">
        <v>4.4714400000000002E-12</v>
      </c>
      <c r="H9" s="18">
        <v>3.6149399999999999E-13</v>
      </c>
      <c r="I9" s="39">
        <v>153</v>
      </c>
      <c r="J9" s="19">
        <f t="shared" si="3"/>
        <v>0.98322027376175036</v>
      </c>
      <c r="K9" s="39">
        <f>47/I9</f>
        <v>0.30718954248366015</v>
      </c>
      <c r="L9" s="10">
        <f t="shared" si="0"/>
        <v>4.5477499999999997</v>
      </c>
      <c r="M9">
        <v>0.57392500000000002</v>
      </c>
      <c r="N9" t="s">
        <v>34</v>
      </c>
      <c r="O9">
        <v>-3.33</v>
      </c>
      <c r="P9">
        <v>-5.07</v>
      </c>
      <c r="R9">
        <v>1.52</v>
      </c>
      <c r="S9">
        <v>1.52</v>
      </c>
      <c r="T9">
        <v>2.21</v>
      </c>
      <c r="U9">
        <v>2.17</v>
      </c>
      <c r="V9">
        <v>0.65</v>
      </c>
      <c r="W9">
        <v>0.68</v>
      </c>
      <c r="X9">
        <v>7.86</v>
      </c>
      <c r="Y9">
        <v>8.09</v>
      </c>
      <c r="Z9">
        <v>78</v>
      </c>
      <c r="AA9">
        <v>53</v>
      </c>
      <c r="AB9" t="s">
        <v>29</v>
      </c>
      <c r="AC9">
        <v>-5.84</v>
      </c>
      <c r="AD9">
        <v>-5.52</v>
      </c>
      <c r="AF9">
        <v>0.93999999999999895</v>
      </c>
      <c r="AG9">
        <v>0.42</v>
      </c>
      <c r="AH9" t="s">
        <v>31</v>
      </c>
      <c r="AI9">
        <v>-7.61</v>
      </c>
      <c r="AJ9">
        <v>0.39</v>
      </c>
      <c r="AK9">
        <v>0.15</v>
      </c>
      <c r="AL9" t="s">
        <v>32</v>
      </c>
      <c r="AM9">
        <v>0.71</v>
      </c>
      <c r="AN9">
        <v>-7.48</v>
      </c>
      <c r="AO9">
        <v>0.37</v>
      </c>
      <c r="AP9" t="s">
        <v>33</v>
      </c>
      <c r="AQ9">
        <v>0.05</v>
      </c>
      <c r="AR9">
        <f t="shared" si="1"/>
        <v>0.56999999999999995</v>
      </c>
      <c r="AS9">
        <f t="shared" si="2"/>
        <v>0.79</v>
      </c>
      <c r="AT9" t="s">
        <v>34</v>
      </c>
      <c r="AU9">
        <v>-6.68</v>
      </c>
      <c r="AV9">
        <v>-4.6500000000000004</v>
      </c>
      <c r="AW9">
        <v>0.7</v>
      </c>
      <c r="AX9">
        <v>-5.17</v>
      </c>
      <c r="AY9">
        <v>-3.36</v>
      </c>
      <c r="AZ9">
        <v>0.65</v>
      </c>
      <c r="BA9" s="35">
        <v>-3.33</v>
      </c>
      <c r="BB9" s="35"/>
      <c r="BC9" s="35">
        <v>1.52</v>
      </c>
      <c r="BD9" s="35">
        <v>-3.27</v>
      </c>
      <c r="BE9" s="35">
        <v>-5.72</v>
      </c>
      <c r="BF9" s="35">
        <v>1.75</v>
      </c>
      <c r="BG9" s="35">
        <v>-2.73</v>
      </c>
      <c r="BH9" s="35">
        <v>-4.78</v>
      </c>
      <c r="BI9" s="35">
        <v>1.75</v>
      </c>
      <c r="BJ9" s="35">
        <v>-5.01</v>
      </c>
      <c r="BK9" s="35">
        <v>-5.82</v>
      </c>
      <c r="BL9" s="35">
        <v>1.1599999999999999</v>
      </c>
    </row>
    <row r="10" spans="1:233">
      <c r="A10" s="51" t="s">
        <v>44</v>
      </c>
      <c r="B10" s="38" t="s">
        <v>36</v>
      </c>
      <c r="D10">
        <v>16</v>
      </c>
      <c r="E10">
        <v>-304</v>
      </c>
      <c r="F10" s="18">
        <v>-6.3902E-12</v>
      </c>
      <c r="G10" s="18">
        <v>5.3802300000000004E-12</v>
      </c>
      <c r="H10" s="18">
        <v>7.4610400000000001E-13</v>
      </c>
      <c r="I10" s="39">
        <v>52</v>
      </c>
      <c r="J10" s="19">
        <f t="shared" si="3"/>
        <v>0.84195017370348357</v>
      </c>
      <c r="K10" s="39">
        <f>14/I10</f>
        <v>0.26923076923076922</v>
      </c>
      <c r="L10" s="10">
        <f t="shared" si="0"/>
        <v>6.3902000000000001</v>
      </c>
      <c r="M10">
        <v>0.51206499999999999</v>
      </c>
      <c r="N10" t="s">
        <v>34</v>
      </c>
      <c r="O10">
        <v>-4.38</v>
      </c>
      <c r="P10">
        <v>-6</v>
      </c>
      <c r="R10">
        <v>1.37</v>
      </c>
      <c r="S10">
        <v>1.37</v>
      </c>
      <c r="T10">
        <v>2.63</v>
      </c>
      <c r="U10">
        <v>2.42</v>
      </c>
      <c r="V10">
        <v>0.33</v>
      </c>
      <c r="W10">
        <v>0.74</v>
      </c>
      <c r="X10">
        <v>7.23</v>
      </c>
      <c r="Y10">
        <v>7.08</v>
      </c>
      <c r="Z10">
        <v>64</v>
      </c>
      <c r="AA10">
        <v>22</v>
      </c>
      <c r="AB10" t="s">
        <v>29</v>
      </c>
      <c r="AC10">
        <v>-6.3</v>
      </c>
      <c r="AD10">
        <v>-5.04</v>
      </c>
      <c r="AF10">
        <v>0.8</v>
      </c>
      <c r="AG10">
        <v>0.69</v>
      </c>
      <c r="AH10" t="s">
        <v>31</v>
      </c>
      <c r="AI10">
        <v>-17.47</v>
      </c>
      <c r="AJ10">
        <v>3.96</v>
      </c>
      <c r="AK10">
        <v>0.06</v>
      </c>
      <c r="AL10" t="s">
        <v>32</v>
      </c>
      <c r="AM10">
        <v>1.74</v>
      </c>
      <c r="AN10">
        <v>-10.07</v>
      </c>
      <c r="AO10">
        <v>0.23</v>
      </c>
      <c r="AP10" t="s">
        <v>33</v>
      </c>
      <c r="AQ10">
        <v>0.02</v>
      </c>
      <c r="AR10">
        <f t="shared" si="1"/>
        <v>0.75</v>
      </c>
      <c r="AS10">
        <f t="shared" si="2"/>
        <v>0.91999999999999993</v>
      </c>
      <c r="BD10" s="35"/>
      <c r="BE10" s="35"/>
      <c r="BF10" s="35"/>
      <c r="BG10" s="35"/>
      <c r="BH10" s="35"/>
      <c r="BI10" s="35"/>
      <c r="BJ10" s="35"/>
      <c r="BK10" s="35"/>
      <c r="BL10" s="35"/>
    </row>
    <row r="11" spans="1:233">
      <c r="A11" s="51" t="s">
        <v>45</v>
      </c>
      <c r="B11" s="38" t="s">
        <v>36</v>
      </c>
      <c r="C11" t="s">
        <v>207</v>
      </c>
      <c r="D11">
        <v>28</v>
      </c>
      <c r="E11">
        <v>-94</v>
      </c>
      <c r="F11" s="18">
        <v>-4.50118E-12</v>
      </c>
      <c r="G11" s="18">
        <v>4.30959E-12</v>
      </c>
      <c r="H11" s="18">
        <v>8.2938000000000005E-13</v>
      </c>
      <c r="I11" s="39">
        <v>27</v>
      </c>
      <c r="J11" s="19">
        <f t="shared" si="3"/>
        <v>0.95743560577448583</v>
      </c>
      <c r="K11" s="39">
        <f>10/I11</f>
        <v>0.37037037037037035</v>
      </c>
      <c r="L11" s="10">
        <f t="shared" si="0"/>
        <v>4.5011799999999997</v>
      </c>
      <c r="M11">
        <v>1.29423</v>
      </c>
      <c r="N11" t="s">
        <v>34</v>
      </c>
      <c r="O11">
        <v>-4.05</v>
      </c>
      <c r="P11">
        <v>-7.61</v>
      </c>
      <c r="Q11">
        <v>-7.6</v>
      </c>
      <c r="R11">
        <v>1.88</v>
      </c>
      <c r="S11">
        <v>1.88</v>
      </c>
      <c r="T11">
        <v>3.39</v>
      </c>
      <c r="U11">
        <v>3.41</v>
      </c>
      <c r="X11">
        <v>2.5299999999999998</v>
      </c>
      <c r="Y11">
        <v>2.95</v>
      </c>
      <c r="Z11">
        <v>62</v>
      </c>
      <c r="AA11">
        <v>14</v>
      </c>
      <c r="AB11" t="s">
        <v>29</v>
      </c>
      <c r="AC11">
        <v>-5</v>
      </c>
      <c r="AD11">
        <v>-7.77</v>
      </c>
      <c r="AE11">
        <v>-7.66</v>
      </c>
      <c r="AF11">
        <v>1.53</v>
      </c>
      <c r="AG11">
        <v>0.06</v>
      </c>
      <c r="AH11" t="s">
        <v>31</v>
      </c>
      <c r="AI11">
        <v>-7.11</v>
      </c>
      <c r="AJ11">
        <v>0.66</v>
      </c>
      <c r="AK11">
        <v>0.32</v>
      </c>
      <c r="AL11" t="s">
        <v>32</v>
      </c>
      <c r="AM11">
        <v>-1.39</v>
      </c>
      <c r="AN11">
        <v>-12.22</v>
      </c>
      <c r="AO11">
        <v>0.02</v>
      </c>
      <c r="AP11" t="s">
        <v>33</v>
      </c>
      <c r="AQ11">
        <v>0</v>
      </c>
      <c r="AR11">
        <f t="shared" si="1"/>
        <v>0.38</v>
      </c>
      <c r="AS11">
        <f t="shared" si="2"/>
        <v>0.08</v>
      </c>
      <c r="BD11" s="35"/>
      <c r="BE11" s="35"/>
      <c r="BF11" s="35"/>
      <c r="BG11" s="35"/>
      <c r="BH11" s="35"/>
      <c r="BI11" s="35"/>
      <c r="BJ11" s="35"/>
      <c r="BK11" s="35"/>
      <c r="BL11" s="35"/>
    </row>
    <row r="12" spans="1:233">
      <c r="A12" s="51" t="s">
        <v>46</v>
      </c>
      <c r="B12" s="38" t="s">
        <v>36</v>
      </c>
      <c r="D12">
        <v>19</v>
      </c>
      <c r="E12">
        <v>-125</v>
      </c>
      <c r="F12" s="18">
        <v>-6.70266E-12</v>
      </c>
      <c r="G12" s="18">
        <v>6.2222499999999997E-12</v>
      </c>
      <c r="H12" s="18">
        <v>4.9191200000000001E-13</v>
      </c>
      <c r="I12" s="39">
        <v>160</v>
      </c>
      <c r="J12" s="19">
        <f t="shared" si="3"/>
        <v>0.92832547078324124</v>
      </c>
      <c r="K12" s="39">
        <f>36/I12</f>
        <v>0.22500000000000001</v>
      </c>
      <c r="L12" s="10">
        <f t="shared" si="0"/>
        <v>6.7026599999999998</v>
      </c>
      <c r="M12">
        <v>0.81381499999999996</v>
      </c>
      <c r="N12" t="s">
        <v>34</v>
      </c>
      <c r="O12">
        <v>-4.49</v>
      </c>
      <c r="P12">
        <v>-4.6500000000000004</v>
      </c>
      <c r="R12">
        <v>1.04</v>
      </c>
      <c r="S12">
        <v>1.04</v>
      </c>
      <c r="T12">
        <v>2.0299999999999998</v>
      </c>
      <c r="U12">
        <v>2.14</v>
      </c>
      <c r="V12">
        <v>0.56999999999999995</v>
      </c>
      <c r="W12">
        <v>0.5</v>
      </c>
      <c r="X12">
        <v>6.5</v>
      </c>
      <c r="Y12">
        <v>7.02</v>
      </c>
      <c r="Z12">
        <v>94</v>
      </c>
      <c r="AA12">
        <v>45</v>
      </c>
      <c r="AB12" t="s">
        <v>29</v>
      </c>
      <c r="AC12">
        <v>-5.72</v>
      </c>
      <c r="AD12">
        <v>-6.7</v>
      </c>
      <c r="AF12">
        <v>1.17</v>
      </c>
      <c r="AG12">
        <v>0.63</v>
      </c>
      <c r="AH12" t="s">
        <v>31</v>
      </c>
      <c r="AI12">
        <v>-8.41</v>
      </c>
      <c r="AJ12">
        <v>2.81</v>
      </c>
      <c r="AK12">
        <v>0.1</v>
      </c>
      <c r="AL12" t="s">
        <v>32</v>
      </c>
      <c r="AM12">
        <v>1.38</v>
      </c>
      <c r="AN12">
        <v>-4.5999999999999996</v>
      </c>
      <c r="AO12">
        <v>0.18</v>
      </c>
      <c r="AP12" t="s">
        <v>33</v>
      </c>
      <c r="AQ12">
        <v>0.1</v>
      </c>
      <c r="AR12">
        <f t="shared" si="1"/>
        <v>0.73</v>
      </c>
      <c r="AS12">
        <f t="shared" si="2"/>
        <v>0.81</v>
      </c>
      <c r="AT12" t="s">
        <v>34</v>
      </c>
      <c r="AU12">
        <v>-6.85</v>
      </c>
      <c r="AV12">
        <v>-4.28</v>
      </c>
      <c r="AW12">
        <v>0.63</v>
      </c>
      <c r="AX12">
        <v>-4.99</v>
      </c>
      <c r="AY12">
        <v>-4.7300000000000004</v>
      </c>
      <c r="AZ12">
        <v>0.95</v>
      </c>
      <c r="BA12" s="35">
        <v>-4.49</v>
      </c>
      <c r="BB12" s="35"/>
      <c r="BC12" s="35">
        <v>1.04</v>
      </c>
      <c r="BD12" s="35">
        <v>-4.42</v>
      </c>
      <c r="BE12" s="35">
        <v>-9.02</v>
      </c>
      <c r="BF12" s="35">
        <v>2.04</v>
      </c>
      <c r="BG12" s="35">
        <v>-2.6</v>
      </c>
      <c r="BH12" s="35">
        <v>-3.03</v>
      </c>
      <c r="BI12" s="35">
        <v>1.17</v>
      </c>
      <c r="BJ12" s="35">
        <v>-2.86</v>
      </c>
      <c r="BK12" s="35">
        <v>-3.44</v>
      </c>
      <c r="BL12" s="35">
        <v>1.2</v>
      </c>
    </row>
    <row r="13" spans="1:233">
      <c r="A13" s="51" t="s">
        <v>50</v>
      </c>
      <c r="B13" s="38" t="s">
        <v>52</v>
      </c>
      <c r="D13">
        <v>20</v>
      </c>
      <c r="E13">
        <v>-197</v>
      </c>
      <c r="F13" s="18">
        <v>-8.3017599999999996E-12</v>
      </c>
      <c r="G13" s="18">
        <v>5.7037600000000003E-12</v>
      </c>
      <c r="H13" s="18">
        <v>7.4256600000000005E-13</v>
      </c>
      <c r="I13" s="39">
        <v>59</v>
      </c>
      <c r="J13" s="19">
        <f t="shared" si="3"/>
        <v>0.68705431137493744</v>
      </c>
      <c r="K13" s="39">
        <f>10/I13</f>
        <v>0.16949152542372881</v>
      </c>
      <c r="L13" s="10">
        <f t="shared" si="0"/>
        <v>8.3017599999999998</v>
      </c>
      <c r="M13">
        <v>0.490174</v>
      </c>
      <c r="N13" t="s">
        <v>34</v>
      </c>
      <c r="O13">
        <v>-8.14</v>
      </c>
      <c r="P13">
        <v>-11.54</v>
      </c>
      <c r="R13">
        <v>1.42</v>
      </c>
      <c r="S13">
        <v>1.42</v>
      </c>
      <c r="T13">
        <v>2.2200000000000002</v>
      </c>
      <c r="U13">
        <v>2.25</v>
      </c>
      <c r="V13">
        <v>0.41</v>
      </c>
      <c r="W13">
        <v>0.5</v>
      </c>
      <c r="X13">
        <v>5.04</v>
      </c>
      <c r="Y13">
        <v>4.25</v>
      </c>
      <c r="Z13">
        <v>62</v>
      </c>
      <c r="AA13">
        <v>39</v>
      </c>
      <c r="AB13" t="s">
        <v>29</v>
      </c>
      <c r="AC13">
        <v>-9.06</v>
      </c>
      <c r="AD13">
        <v>-11.47</v>
      </c>
      <c r="AF13">
        <v>1.27</v>
      </c>
      <c r="AG13">
        <v>0.84</v>
      </c>
      <c r="AH13" t="s">
        <v>31</v>
      </c>
      <c r="AK13">
        <v>0</v>
      </c>
      <c r="AL13" t="s">
        <v>32</v>
      </c>
      <c r="AM13">
        <v>-1.1599999999999999</v>
      </c>
      <c r="AN13">
        <v>-13.76</v>
      </c>
      <c r="AO13">
        <v>0.15</v>
      </c>
      <c r="AP13" t="s">
        <v>33</v>
      </c>
      <c r="AQ13">
        <v>0.02</v>
      </c>
      <c r="AR13">
        <f t="shared" si="1"/>
        <v>0.84</v>
      </c>
      <c r="AS13">
        <f t="shared" si="2"/>
        <v>0.99</v>
      </c>
      <c r="BD13" s="35"/>
      <c r="BE13" s="35"/>
      <c r="BF13" s="35"/>
      <c r="BG13" s="35"/>
      <c r="BH13" s="35"/>
      <c r="BI13" s="35"/>
      <c r="BJ13" s="35"/>
      <c r="BK13" s="35"/>
      <c r="BL13" s="35"/>
    </row>
    <row r="14" spans="1:233">
      <c r="A14" s="51" t="s">
        <v>51</v>
      </c>
      <c r="B14" s="38" t="s">
        <v>52</v>
      </c>
      <c r="D14">
        <v>15</v>
      </c>
      <c r="E14">
        <v>-173</v>
      </c>
      <c r="F14" s="18">
        <v>-4.3067900000000001E-12</v>
      </c>
      <c r="G14" s="18">
        <v>3.4581800000000001E-12</v>
      </c>
      <c r="H14" s="18">
        <v>5.5375199999999998E-13</v>
      </c>
      <c r="I14" s="39">
        <v>39</v>
      </c>
      <c r="J14" s="19">
        <f t="shared" si="3"/>
        <v>0.80295997715235712</v>
      </c>
      <c r="K14" s="39">
        <f>10/I14</f>
        <v>0.25641025641025639</v>
      </c>
      <c r="L14" s="10">
        <f t="shared" si="0"/>
        <v>4.3067900000000003</v>
      </c>
      <c r="M14">
        <v>0.77355399999999996</v>
      </c>
      <c r="N14" t="s">
        <v>34</v>
      </c>
      <c r="O14">
        <v>-3.01</v>
      </c>
      <c r="P14">
        <v>-5.82</v>
      </c>
      <c r="Q14">
        <v>-5.66</v>
      </c>
      <c r="R14">
        <v>1.88</v>
      </c>
      <c r="S14">
        <v>1.93</v>
      </c>
      <c r="T14">
        <v>3.08</v>
      </c>
      <c r="U14">
        <v>2.62</v>
      </c>
      <c r="V14">
        <v>0.31</v>
      </c>
      <c r="W14">
        <v>1.22</v>
      </c>
      <c r="X14">
        <v>6.79</v>
      </c>
      <c r="Y14">
        <v>3.9</v>
      </c>
      <c r="Z14">
        <v>68</v>
      </c>
      <c r="AA14">
        <v>20</v>
      </c>
      <c r="AB14" t="s">
        <v>29</v>
      </c>
      <c r="AC14">
        <v>-4.92</v>
      </c>
      <c r="AD14">
        <v>-6.43</v>
      </c>
      <c r="AE14">
        <v>-6.43</v>
      </c>
      <c r="AF14">
        <v>1.31</v>
      </c>
      <c r="AG14">
        <v>0.62</v>
      </c>
      <c r="AH14" t="s">
        <v>31</v>
      </c>
      <c r="AI14">
        <v>-3.47</v>
      </c>
      <c r="AJ14">
        <v>-1.06</v>
      </c>
      <c r="AK14">
        <v>0.12</v>
      </c>
      <c r="AL14" t="s">
        <v>32</v>
      </c>
      <c r="AM14">
        <v>1.67</v>
      </c>
      <c r="AN14">
        <v>-7.28</v>
      </c>
      <c r="AO14">
        <v>0.24</v>
      </c>
      <c r="AP14" t="s">
        <v>33</v>
      </c>
      <c r="AQ14">
        <v>0.03</v>
      </c>
      <c r="AR14">
        <f t="shared" si="1"/>
        <v>0.74</v>
      </c>
      <c r="AS14">
        <f t="shared" si="2"/>
        <v>0.86</v>
      </c>
      <c r="BD14" s="35"/>
      <c r="BE14" s="35"/>
      <c r="BF14" s="35"/>
      <c r="BG14" s="35"/>
      <c r="BH14" s="35"/>
      <c r="BI14" s="35"/>
      <c r="BJ14" s="35"/>
      <c r="BK14" s="35"/>
      <c r="BL14" s="35"/>
    </row>
    <row r="15" spans="1:233">
      <c r="A15" s="51" t="s">
        <v>53</v>
      </c>
      <c r="B15" s="38" t="s">
        <v>52</v>
      </c>
      <c r="D15">
        <v>11</v>
      </c>
      <c r="E15">
        <v>-229</v>
      </c>
      <c r="F15" s="18">
        <v>-8.2045400000000001E-12</v>
      </c>
      <c r="G15" s="18">
        <v>7.68428E-12</v>
      </c>
      <c r="H15" s="18">
        <v>9.11956E-13</v>
      </c>
      <c r="I15" s="39">
        <v>71</v>
      </c>
      <c r="J15" s="19">
        <f t="shared" si="3"/>
        <v>0.93658876670721336</v>
      </c>
      <c r="K15" s="39">
        <f>17/I15</f>
        <v>0.23943661971830985</v>
      </c>
      <c r="L15" s="10">
        <f t="shared" si="0"/>
        <v>8.2045399999999997</v>
      </c>
      <c r="M15">
        <v>0.475773</v>
      </c>
      <c r="N15" t="s">
        <v>34</v>
      </c>
      <c r="O15">
        <v>-6.54</v>
      </c>
      <c r="P15">
        <v>-14.92</v>
      </c>
      <c r="R15">
        <v>2.2799999999999998</v>
      </c>
      <c r="S15">
        <v>2.2799999999999998</v>
      </c>
      <c r="T15">
        <v>2.4900000000000002</v>
      </c>
      <c r="U15">
        <v>2.39</v>
      </c>
      <c r="V15">
        <v>0.18</v>
      </c>
      <c r="W15">
        <v>0.39</v>
      </c>
      <c r="X15">
        <v>6.22</v>
      </c>
      <c r="Y15">
        <v>3.58</v>
      </c>
      <c r="Z15">
        <v>80</v>
      </c>
      <c r="AA15">
        <v>35</v>
      </c>
      <c r="AB15" t="s">
        <v>29</v>
      </c>
      <c r="AC15">
        <v>-9.35</v>
      </c>
      <c r="AD15">
        <v>-15.7</v>
      </c>
      <c r="AF15">
        <v>1.68</v>
      </c>
      <c r="AG15">
        <v>0.69</v>
      </c>
      <c r="AH15" t="s">
        <v>31</v>
      </c>
      <c r="AI15">
        <v>-17.07</v>
      </c>
      <c r="AJ15">
        <v>3.46</v>
      </c>
      <c r="AK15">
        <v>0.06</v>
      </c>
      <c r="AL15" t="s">
        <v>32</v>
      </c>
      <c r="AM15">
        <v>2.02</v>
      </c>
      <c r="AN15">
        <v>-19.14</v>
      </c>
      <c r="AO15">
        <v>0.21</v>
      </c>
      <c r="AP15" t="s">
        <v>33</v>
      </c>
      <c r="AQ15">
        <v>0.04</v>
      </c>
      <c r="AR15">
        <f t="shared" si="1"/>
        <v>0.75</v>
      </c>
      <c r="AS15">
        <f t="shared" si="2"/>
        <v>0.89999999999999991</v>
      </c>
      <c r="BD15" s="35"/>
      <c r="BE15" s="35"/>
      <c r="BF15" s="35"/>
      <c r="BG15" s="35"/>
      <c r="BH15" s="35"/>
      <c r="BI15" s="35"/>
      <c r="BJ15" s="35"/>
      <c r="BK15" s="35"/>
      <c r="BL15" s="35"/>
    </row>
    <row r="16" spans="1:233">
      <c r="A16" s="51" t="s">
        <v>54</v>
      </c>
      <c r="B16" s="38" t="s">
        <v>52</v>
      </c>
      <c r="D16">
        <v>20</v>
      </c>
      <c r="E16">
        <v>-100</v>
      </c>
      <c r="F16" s="18">
        <v>-5.71782E-12</v>
      </c>
      <c r="G16" s="18">
        <v>4.0560600000000004E-12</v>
      </c>
      <c r="H16" s="18">
        <v>4.9926599999999997E-13</v>
      </c>
      <c r="I16" s="39">
        <v>66</v>
      </c>
      <c r="J16" s="19">
        <f t="shared" si="3"/>
        <v>0.70937175357041682</v>
      </c>
      <c r="K16" s="39">
        <f>10/I16</f>
        <v>0.15151515151515152</v>
      </c>
      <c r="L16" s="10">
        <f t="shared" si="0"/>
        <v>5.7178199999999997</v>
      </c>
      <c r="M16">
        <v>0.627328</v>
      </c>
      <c r="N16" t="s">
        <v>34</v>
      </c>
      <c r="O16">
        <v>-4.42</v>
      </c>
      <c r="P16">
        <v>-5.86</v>
      </c>
      <c r="R16">
        <v>1.32</v>
      </c>
      <c r="S16">
        <v>1.32</v>
      </c>
      <c r="T16">
        <v>2.2000000000000002</v>
      </c>
      <c r="U16">
        <v>2.0299999999999998</v>
      </c>
      <c r="V16">
        <v>0.97</v>
      </c>
      <c r="W16">
        <v>0.67</v>
      </c>
      <c r="X16">
        <v>3.24</v>
      </c>
      <c r="Y16">
        <v>4.83</v>
      </c>
      <c r="Z16">
        <v>82</v>
      </c>
      <c r="AA16">
        <v>31</v>
      </c>
      <c r="AB16" t="s">
        <v>29</v>
      </c>
      <c r="AC16">
        <v>-4.87</v>
      </c>
      <c r="AD16">
        <v>-5.92</v>
      </c>
      <c r="AF16">
        <v>1.22</v>
      </c>
      <c r="AG16">
        <v>0.7</v>
      </c>
      <c r="AH16" t="s">
        <v>31</v>
      </c>
      <c r="AI16">
        <v>-4.87</v>
      </c>
      <c r="AJ16">
        <v>-5.92</v>
      </c>
      <c r="AK16">
        <v>0.1</v>
      </c>
      <c r="AL16" s="35" t="s">
        <v>32</v>
      </c>
      <c r="AM16">
        <v>-8.61</v>
      </c>
      <c r="AN16">
        <v>3.95</v>
      </c>
      <c r="AO16">
        <v>0.21</v>
      </c>
      <c r="AP16" t="s">
        <v>33</v>
      </c>
      <c r="AQ16">
        <v>0</v>
      </c>
      <c r="AR16">
        <f t="shared" si="1"/>
        <v>0.79999999999999993</v>
      </c>
      <c r="AS16">
        <f t="shared" si="2"/>
        <v>0.90999999999999992</v>
      </c>
      <c r="BD16" s="35"/>
      <c r="BE16" s="35"/>
      <c r="BF16" s="35"/>
      <c r="BG16" s="35"/>
      <c r="BH16" s="35"/>
      <c r="BI16" s="35"/>
      <c r="BJ16" s="35"/>
      <c r="BK16" s="35"/>
      <c r="BL16" s="35"/>
    </row>
    <row r="17" spans="1:87" s="35" customFormat="1">
      <c r="A17" s="51" t="s">
        <v>79</v>
      </c>
      <c r="B17" s="38" t="s">
        <v>36</v>
      </c>
      <c r="D17" s="136">
        <v>12.318199999999999</v>
      </c>
      <c r="E17" s="58">
        <f>-0.0000000000306019*1000000000000</f>
        <v>-30.601900000000001</v>
      </c>
      <c r="F17" s="42">
        <v>-1.5252E-11</v>
      </c>
      <c r="G17" s="42">
        <v>4.9886200000000002E-12</v>
      </c>
      <c r="H17" s="42">
        <v>6.7266500000000004E-13</v>
      </c>
      <c r="I17" s="44">
        <v>55</v>
      </c>
      <c r="J17" s="39">
        <f t="shared" si="3"/>
        <v>0.3270797272488854</v>
      </c>
      <c r="K17" s="39">
        <f>1/I17</f>
        <v>1.8181818181818181E-2</v>
      </c>
      <c r="L17" s="37">
        <f t="shared" si="0"/>
        <v>15.252000000000001</v>
      </c>
      <c r="M17" s="45">
        <v>0.33331</v>
      </c>
      <c r="N17" s="35" t="s">
        <v>34</v>
      </c>
      <c r="O17" s="35">
        <v>-15.56</v>
      </c>
      <c r="P17" s="35">
        <v>-11.02</v>
      </c>
      <c r="R17" s="35">
        <v>0.71</v>
      </c>
      <c r="S17" s="35">
        <v>0.71</v>
      </c>
      <c r="T17" s="35">
        <v>2.69</v>
      </c>
      <c r="U17" s="35">
        <v>2.59</v>
      </c>
      <c r="V17" s="35">
        <v>1.77</v>
      </c>
      <c r="W17" s="35">
        <v>2.38</v>
      </c>
      <c r="X17" s="35">
        <v>2.23</v>
      </c>
      <c r="Y17" s="35">
        <v>1.89</v>
      </c>
      <c r="Z17" s="35">
        <v>89</v>
      </c>
      <c r="AA17" s="35">
        <v>61</v>
      </c>
      <c r="AB17" s="35" t="s">
        <v>29</v>
      </c>
      <c r="AC17" s="35">
        <v>-16.899999999999999</v>
      </c>
      <c r="AD17" s="35">
        <v>-12.46</v>
      </c>
      <c r="AF17" s="35">
        <v>0.74</v>
      </c>
      <c r="AG17" s="35">
        <v>0.88</v>
      </c>
      <c r="AH17" s="35" t="s">
        <v>31</v>
      </c>
      <c r="AI17" s="35">
        <v>-19.68</v>
      </c>
      <c r="AJ17" s="35">
        <v>2.71</v>
      </c>
      <c r="AK17" s="35">
        <v>0.04</v>
      </c>
      <c r="AL17" s="35" t="s">
        <v>32</v>
      </c>
      <c r="AM17" s="35">
        <v>1.62</v>
      </c>
      <c r="AN17" s="35">
        <v>-12.59</v>
      </c>
      <c r="AO17" s="35">
        <v>7.0000000000000007E-2</v>
      </c>
      <c r="AP17" s="35" t="s">
        <v>33</v>
      </c>
      <c r="AQ17" s="35">
        <v>0.01</v>
      </c>
      <c r="AR17" s="35">
        <f t="shared" si="1"/>
        <v>0.92</v>
      </c>
      <c r="AS17" s="35">
        <f t="shared" si="2"/>
        <v>0.95</v>
      </c>
    </row>
    <row r="18" spans="1:87" s="35" customFormat="1">
      <c r="A18" s="51" t="s">
        <v>86</v>
      </c>
      <c r="B18" s="38" t="s">
        <v>52</v>
      </c>
      <c r="D18" s="58">
        <f>18278300*0.000001</f>
        <v>18.278299999999998</v>
      </c>
      <c r="E18" s="58">
        <f>-0.000000000390672*1000000000000</f>
        <v>-390.67200000000003</v>
      </c>
      <c r="F18" s="42">
        <v>-3.7251399999999996E-12</v>
      </c>
      <c r="G18" s="42">
        <v>3.7474599999999999E-12</v>
      </c>
      <c r="H18" s="42">
        <v>5.2474899999999999E-13</v>
      </c>
      <c r="I18" s="44">
        <v>51</v>
      </c>
      <c r="J18" s="39">
        <f t="shared" si="3"/>
        <v>1.0059917211165219</v>
      </c>
      <c r="K18" s="39">
        <f>16/I18</f>
        <v>0.31372549019607843</v>
      </c>
      <c r="L18" s="37">
        <f t="shared" si="0"/>
        <v>3.7251399999999997</v>
      </c>
      <c r="M18" s="45">
        <v>0.851051</v>
      </c>
      <c r="N18" s="35" t="s">
        <v>34</v>
      </c>
      <c r="O18" s="35">
        <v>-2.91</v>
      </c>
      <c r="P18" s="35">
        <v>-3.25</v>
      </c>
      <c r="R18" s="35">
        <v>1.1200000000000001</v>
      </c>
      <c r="S18" s="35">
        <v>1.1200000000000001</v>
      </c>
      <c r="T18" s="35">
        <v>3.11</v>
      </c>
      <c r="U18" s="35">
        <v>2.83</v>
      </c>
      <c r="V18" s="35">
        <v>1.04</v>
      </c>
      <c r="W18" s="35">
        <v>0.64</v>
      </c>
      <c r="X18" s="35">
        <v>3.18</v>
      </c>
      <c r="Y18" s="35">
        <v>4.2699999999999996</v>
      </c>
      <c r="Z18" s="35">
        <v>55</v>
      </c>
      <c r="AA18" s="35">
        <v>29</v>
      </c>
      <c r="AB18" s="35" t="s">
        <v>29</v>
      </c>
      <c r="AC18" s="35">
        <v>-4.5599999999999996</v>
      </c>
      <c r="AD18" s="35">
        <v>-5.45</v>
      </c>
      <c r="AF18" s="35">
        <v>1.2</v>
      </c>
      <c r="AG18" s="35">
        <v>0.49</v>
      </c>
      <c r="AH18" s="35" t="s">
        <v>31</v>
      </c>
      <c r="AI18" s="35">
        <v>-4.53</v>
      </c>
      <c r="AJ18" s="35">
        <v>2.52</v>
      </c>
      <c r="AK18" s="35">
        <v>0.18</v>
      </c>
      <c r="AL18" s="35" t="s">
        <v>32</v>
      </c>
      <c r="AM18" s="35">
        <v>1.33</v>
      </c>
      <c r="AN18" s="35">
        <v>-4.5199999999999996</v>
      </c>
      <c r="AO18" s="35">
        <v>0.24</v>
      </c>
      <c r="AP18" s="35" t="s">
        <v>33</v>
      </c>
      <c r="AQ18" s="35">
        <v>0.09</v>
      </c>
      <c r="AR18" s="35">
        <f t="shared" si="1"/>
        <v>0.66999999999999993</v>
      </c>
      <c r="AS18" s="35">
        <f t="shared" si="2"/>
        <v>0.73</v>
      </c>
    </row>
    <row r="19" spans="1:87" s="35" customFormat="1">
      <c r="A19" s="51" t="s">
        <v>81</v>
      </c>
      <c r="B19" s="38" t="s">
        <v>36</v>
      </c>
      <c r="D19" s="58">
        <f>14150000*0.000001</f>
        <v>14.149999999999999</v>
      </c>
      <c r="E19" s="139" t="s">
        <v>208</v>
      </c>
      <c r="F19" s="42">
        <v>-3.1246399999999998E-11</v>
      </c>
      <c r="G19" s="42">
        <v>1.17495E-11</v>
      </c>
      <c r="H19" s="42">
        <v>1.2525E-12</v>
      </c>
      <c r="I19" s="44">
        <v>88</v>
      </c>
      <c r="J19" s="39">
        <f t="shared" si="3"/>
        <v>0.37602731834707359</v>
      </c>
      <c r="K19" s="39">
        <f>1/I19</f>
        <v>1.1363636363636364E-2</v>
      </c>
      <c r="L19" s="37">
        <f t="shared" si="0"/>
        <v>31.246399999999998</v>
      </c>
      <c r="M19" s="45">
        <v>0.29875400000000002</v>
      </c>
      <c r="N19" s="35" t="s">
        <v>34</v>
      </c>
      <c r="O19" s="35">
        <v>-29.86</v>
      </c>
      <c r="P19" s="35">
        <v>-35.92</v>
      </c>
      <c r="R19" s="35">
        <v>1.2</v>
      </c>
      <c r="S19" s="35">
        <v>1.2</v>
      </c>
      <c r="T19" s="35">
        <v>2.38</v>
      </c>
      <c r="U19" s="35">
        <v>2.16</v>
      </c>
      <c r="V19" s="35">
        <v>1.1100000000000001</v>
      </c>
      <c r="W19" s="35">
        <v>0.84</v>
      </c>
      <c r="X19" s="35">
        <v>3.83</v>
      </c>
      <c r="Y19" s="35">
        <v>4.0999999999999996</v>
      </c>
      <c r="Z19" s="35">
        <v>112</v>
      </c>
      <c r="AA19" s="35">
        <v>65</v>
      </c>
      <c r="AB19" s="35" t="s">
        <v>29</v>
      </c>
      <c r="AC19" s="35">
        <v>-30.44</v>
      </c>
      <c r="AD19" s="35">
        <v>-35.71</v>
      </c>
      <c r="AF19" s="35">
        <v>1.17</v>
      </c>
      <c r="AG19" s="35">
        <v>0.97</v>
      </c>
      <c r="AH19" s="35" t="s">
        <v>31</v>
      </c>
      <c r="AK19" s="35">
        <v>0</v>
      </c>
      <c r="AL19" s="35" t="s">
        <v>32</v>
      </c>
      <c r="AM19" s="35">
        <v>3.48</v>
      </c>
      <c r="AN19" s="35">
        <v>-51.07</v>
      </c>
      <c r="AO19" s="35">
        <v>0.03</v>
      </c>
      <c r="AP19" s="35" t="s">
        <v>33</v>
      </c>
      <c r="AQ19" s="35">
        <v>0</v>
      </c>
      <c r="AR19" s="35">
        <f>AG19+AK19</f>
        <v>0.97</v>
      </c>
      <c r="AS19" s="35">
        <f t="shared" ref="AS19:AS21" si="4">AG19+AO19</f>
        <v>1</v>
      </c>
    </row>
    <row r="20" spans="1:87" s="35" customFormat="1">
      <c r="A20" s="51" t="s">
        <v>83</v>
      </c>
      <c r="B20" s="38" t="s">
        <v>52</v>
      </c>
      <c r="D20" s="136">
        <v>18.401199999999999</v>
      </c>
      <c r="E20" s="58">
        <f>-0.000000000154637*1000000000000</f>
        <v>-154.637</v>
      </c>
      <c r="F20" s="42">
        <v>-5.1267900000000002E-12</v>
      </c>
      <c r="G20" s="42">
        <v>4.3234900000000002E-12</v>
      </c>
      <c r="H20" s="42">
        <v>5.6287099999999998E-13</v>
      </c>
      <c r="I20" s="44">
        <v>59</v>
      </c>
      <c r="J20" s="39">
        <f t="shared" si="3"/>
        <v>0.84331326229473025</v>
      </c>
      <c r="K20" s="39">
        <f>12/I20</f>
        <v>0.20338983050847459</v>
      </c>
      <c r="L20" s="37">
        <f t="shared" si="0"/>
        <v>5.1267900000000006</v>
      </c>
      <c r="M20" s="45">
        <v>1.1365799999999999</v>
      </c>
      <c r="N20" s="35" t="s">
        <v>34</v>
      </c>
      <c r="O20" s="35">
        <v>-3.47</v>
      </c>
      <c r="P20" s="35">
        <v>-6.01</v>
      </c>
      <c r="Q20" s="35">
        <v>-5.7</v>
      </c>
      <c r="R20" s="35">
        <v>1.64</v>
      </c>
      <c r="S20" s="35">
        <v>1.73</v>
      </c>
      <c r="T20" s="35">
        <v>5.29</v>
      </c>
      <c r="U20" s="35">
        <v>5.27</v>
      </c>
      <c r="V20" s="35">
        <v>1.24</v>
      </c>
      <c r="W20" s="35">
        <v>1.24</v>
      </c>
      <c r="X20" s="35">
        <v>7.74</v>
      </c>
      <c r="Y20" s="35">
        <v>7.74</v>
      </c>
      <c r="Z20" s="35">
        <v>69</v>
      </c>
      <c r="AA20" s="35">
        <v>42</v>
      </c>
      <c r="AB20" s="35" t="s">
        <v>29</v>
      </c>
      <c r="AC20" s="35">
        <v>-4.2</v>
      </c>
      <c r="AD20" s="35">
        <v>-7.78</v>
      </c>
      <c r="AE20" s="35">
        <v>-7.29</v>
      </c>
      <c r="AF20" s="35">
        <v>1.85</v>
      </c>
      <c r="AG20" s="35">
        <v>0.7</v>
      </c>
      <c r="AH20" s="35" t="s">
        <v>31</v>
      </c>
      <c r="AI20" s="35">
        <v>-6.48</v>
      </c>
      <c r="AJ20" s="35">
        <v>-1.57</v>
      </c>
      <c r="AK20" s="35">
        <v>0.14000000000000001</v>
      </c>
      <c r="AL20" s="35" t="s">
        <v>32</v>
      </c>
      <c r="AM20" s="35">
        <v>1.43</v>
      </c>
      <c r="AN20" s="35">
        <v>-6.37</v>
      </c>
      <c r="AO20" s="35">
        <v>0.12</v>
      </c>
      <c r="AP20" s="35" t="s">
        <v>33</v>
      </c>
      <c r="AQ20" s="35">
        <v>0.04</v>
      </c>
      <c r="AR20" s="35">
        <f t="shared" ref="AR20:AR21" si="5">AG20+AK20</f>
        <v>0.84</v>
      </c>
      <c r="AS20" s="35">
        <f t="shared" si="4"/>
        <v>0.82</v>
      </c>
    </row>
    <row r="21" spans="1:87" s="35" customFormat="1">
      <c r="A21" s="51" t="s">
        <v>84</v>
      </c>
      <c r="B21" s="38" t="s">
        <v>52</v>
      </c>
      <c r="D21" s="136">
        <v>17.120899999999999</v>
      </c>
      <c r="E21" s="58">
        <f>-0.000000000042883*1000000000000</f>
        <v>-42.882999999999996</v>
      </c>
      <c r="F21" s="42">
        <v>-1.1214099999999999E-11</v>
      </c>
      <c r="G21" s="42">
        <v>9.2180300000000001E-12</v>
      </c>
      <c r="H21" s="42">
        <v>1.0939799999999999E-12</v>
      </c>
      <c r="I21" s="44">
        <v>71</v>
      </c>
      <c r="J21" s="39">
        <f t="shared" si="3"/>
        <v>0.82200354910336104</v>
      </c>
      <c r="K21" s="39">
        <f>9/I21</f>
        <v>0.12676056338028169</v>
      </c>
      <c r="L21" s="37">
        <f t="shared" si="0"/>
        <v>11.214099999999998</v>
      </c>
      <c r="M21" s="45">
        <v>0.56832199999999999</v>
      </c>
      <c r="N21" s="35" t="s">
        <v>34</v>
      </c>
      <c r="O21" s="35">
        <v>-11.75</v>
      </c>
      <c r="P21" s="35">
        <v>-25.71</v>
      </c>
      <c r="Q21" s="35">
        <v>-25.09</v>
      </c>
      <c r="R21" s="35">
        <v>2.14</v>
      </c>
      <c r="S21" s="35">
        <v>2.19</v>
      </c>
      <c r="T21" s="35">
        <v>2.4900000000000002</v>
      </c>
      <c r="U21" s="35">
        <v>2.33</v>
      </c>
      <c r="V21" s="35">
        <v>1.01</v>
      </c>
      <c r="W21" s="35">
        <v>1.03</v>
      </c>
      <c r="X21" s="35">
        <v>6.43</v>
      </c>
      <c r="Y21" s="35">
        <v>6.37</v>
      </c>
      <c r="Z21" s="35">
        <v>72</v>
      </c>
      <c r="AA21" s="35">
        <v>52</v>
      </c>
      <c r="AB21" s="35" t="s">
        <v>29</v>
      </c>
      <c r="AC21" s="35">
        <v>-13.83</v>
      </c>
      <c r="AD21" s="35">
        <v>-26.01</v>
      </c>
      <c r="AE21" s="35">
        <v>-25.34</v>
      </c>
      <c r="AF21" s="35">
        <v>1.88</v>
      </c>
      <c r="AG21" s="35">
        <v>0.85</v>
      </c>
      <c r="AH21" s="35" t="s">
        <v>31</v>
      </c>
      <c r="AI21" s="35">
        <v>-7.85</v>
      </c>
      <c r="AJ21" s="35">
        <v>-3.23</v>
      </c>
      <c r="AK21" s="35">
        <v>0.01</v>
      </c>
      <c r="AL21" s="35" t="s">
        <v>32</v>
      </c>
      <c r="AM21" s="35">
        <v>2.1</v>
      </c>
      <c r="AN21" s="35">
        <v>-27.16</v>
      </c>
      <c r="AO21" s="35">
        <v>0.14000000000000001</v>
      </c>
      <c r="AP21" s="35" t="s">
        <v>33</v>
      </c>
      <c r="AQ21" s="35">
        <v>0</v>
      </c>
      <c r="AR21" s="35">
        <f t="shared" si="5"/>
        <v>0.86</v>
      </c>
      <c r="AS21" s="35">
        <f t="shared" si="4"/>
        <v>0.99</v>
      </c>
    </row>
    <row r="22" spans="1:87" s="35" customFormat="1">
      <c r="A22" s="51" t="s">
        <v>76</v>
      </c>
      <c r="B22" s="38" t="s">
        <v>52</v>
      </c>
      <c r="D22" s="58">
        <f>17897900*0.000001</f>
        <v>17.8979</v>
      </c>
      <c r="E22" s="58">
        <f>-0.000000000251234*1000000000000</f>
        <v>-251.23400000000001</v>
      </c>
      <c r="F22" s="38">
        <v>-9.4419299999999995E-12</v>
      </c>
      <c r="G22" s="38">
        <v>5.7542300000000002E-12</v>
      </c>
      <c r="H22" s="38">
        <v>7.0299099999999999E-13</v>
      </c>
      <c r="I22" s="39">
        <v>67</v>
      </c>
      <c r="J22" s="39">
        <f t="shared" si="3"/>
        <v>0.60943366451562342</v>
      </c>
      <c r="K22" s="39">
        <f>9/I22</f>
        <v>0.13432835820895522</v>
      </c>
      <c r="L22" s="37">
        <f t="shared" si="0"/>
        <v>9.4419299999999993</v>
      </c>
      <c r="M22" s="35">
        <v>0.48287799999999997</v>
      </c>
      <c r="N22" s="35" t="s">
        <v>34</v>
      </c>
      <c r="O22" s="35">
        <v>-9.92</v>
      </c>
      <c r="P22" s="35">
        <v>-11.15</v>
      </c>
      <c r="R22" s="35">
        <v>1.1200000000000001</v>
      </c>
      <c r="S22" s="35">
        <v>1.1200000000000001</v>
      </c>
      <c r="T22" s="35">
        <v>2.13</v>
      </c>
      <c r="U22" s="35">
        <v>2.21</v>
      </c>
      <c r="V22" s="35">
        <v>1.31</v>
      </c>
      <c r="W22" s="35">
        <v>1.06</v>
      </c>
      <c r="X22" s="35">
        <v>2.84</v>
      </c>
      <c r="Y22" s="35">
        <v>3.27</v>
      </c>
      <c r="Z22" s="35">
        <v>84</v>
      </c>
      <c r="AA22" s="35">
        <v>23</v>
      </c>
      <c r="AB22" s="35" t="s">
        <v>29</v>
      </c>
      <c r="AC22" s="35">
        <v>-11.94</v>
      </c>
      <c r="AD22" s="35">
        <v>-11.56</v>
      </c>
      <c r="AF22" s="35">
        <v>0.97</v>
      </c>
      <c r="AG22" s="35">
        <v>0.85</v>
      </c>
      <c r="AH22" s="35" t="s">
        <v>31</v>
      </c>
      <c r="AK22" s="35">
        <v>0.04</v>
      </c>
      <c r="AL22" s="35" t="s">
        <v>32</v>
      </c>
      <c r="AM22" s="35">
        <v>1.5</v>
      </c>
      <c r="AN22" s="35">
        <v>-9.98</v>
      </c>
      <c r="AO22" s="35">
        <v>0.12</v>
      </c>
      <c r="AP22" s="35" t="s">
        <v>33</v>
      </c>
      <c r="AQ22" s="35">
        <v>0</v>
      </c>
      <c r="AR22" s="35">
        <f t="shared" si="1"/>
        <v>0.89</v>
      </c>
      <c r="AS22" s="35">
        <f t="shared" si="2"/>
        <v>0.97</v>
      </c>
    </row>
    <row r="23" spans="1:87" s="35" customFormat="1">
      <c r="A23" s="51" t="s">
        <v>89</v>
      </c>
      <c r="B23" s="38" t="s">
        <v>52</v>
      </c>
      <c r="D23" s="58">
        <f>16275900*0.000001</f>
        <v>16.2759</v>
      </c>
      <c r="E23" s="58">
        <f>-0.000000000333062*1000000000000</f>
        <v>-333.06200000000001</v>
      </c>
      <c r="F23" s="46">
        <v>-1.82132E-11</v>
      </c>
      <c r="G23" s="46">
        <v>6.6836799999999996E-12</v>
      </c>
      <c r="H23" s="46">
        <v>7.6167599999999995E-13</v>
      </c>
      <c r="I23" s="44">
        <v>77</v>
      </c>
      <c r="J23" s="39">
        <f t="shared" si="3"/>
        <v>0.36696901148617483</v>
      </c>
      <c r="K23" s="39">
        <f>2/77</f>
        <v>2.5974025974025976E-2</v>
      </c>
      <c r="L23" s="37">
        <f t="shared" si="0"/>
        <v>18.213200000000001</v>
      </c>
      <c r="M23" s="47">
        <v>0.58083700000000005</v>
      </c>
      <c r="N23" s="35" t="s">
        <v>34</v>
      </c>
      <c r="O23" s="35">
        <v>-16.899999999999999</v>
      </c>
      <c r="P23" s="35">
        <v>-15.43</v>
      </c>
      <c r="Q23" s="35">
        <v>-15.26</v>
      </c>
      <c r="R23" s="35">
        <v>0.9</v>
      </c>
      <c r="S23" s="35">
        <v>0.91</v>
      </c>
      <c r="T23" s="35">
        <v>4.4400000000000004</v>
      </c>
      <c r="U23" s="35">
        <v>4.25</v>
      </c>
      <c r="V23" s="35">
        <v>4.24</v>
      </c>
      <c r="W23" s="35">
        <v>2.12</v>
      </c>
      <c r="X23" s="35">
        <v>3.7</v>
      </c>
      <c r="Y23" s="35">
        <v>4.9800000000000004</v>
      </c>
      <c r="Z23" s="35">
        <v>14</v>
      </c>
      <c r="AA23" s="35">
        <v>12</v>
      </c>
      <c r="AB23" s="35" t="s">
        <v>29</v>
      </c>
      <c r="AC23" s="35">
        <v>-16.91</v>
      </c>
      <c r="AD23" s="35">
        <v>-15.43</v>
      </c>
      <c r="AE23" s="35">
        <v>-15.25</v>
      </c>
      <c r="AF23" s="35">
        <v>0.9</v>
      </c>
      <c r="AG23" s="35">
        <v>1</v>
      </c>
      <c r="AH23" s="35" t="s">
        <v>31</v>
      </c>
      <c r="AK23" s="35">
        <v>0</v>
      </c>
      <c r="AL23" s="35" t="s">
        <v>32</v>
      </c>
      <c r="AO23" s="35">
        <v>0</v>
      </c>
      <c r="AP23" s="35" t="s">
        <v>33</v>
      </c>
      <c r="AQ23" s="35">
        <v>0</v>
      </c>
      <c r="AR23" s="35">
        <f t="shared" ref="AR23:AR24" si="6">AG23+AK23</f>
        <v>1</v>
      </c>
      <c r="AS23" s="35">
        <f t="shared" ref="AS23:AS24" si="7">AG23+AO23</f>
        <v>1</v>
      </c>
      <c r="AT23" s="35" t="s">
        <v>34</v>
      </c>
      <c r="AU23" s="35">
        <v>-20.75</v>
      </c>
      <c r="AV23" s="35">
        <v>-11.7</v>
      </c>
      <c r="AW23" s="35">
        <v>0.56000000000000005</v>
      </c>
      <c r="AX23" s="35">
        <v>-20.72</v>
      </c>
      <c r="AY23" s="35">
        <v>-12.51</v>
      </c>
      <c r="AZ23" s="35">
        <v>0.6</v>
      </c>
      <c r="BA23" s="35">
        <v>-16.899999999999999</v>
      </c>
      <c r="BB23" s="35">
        <v>-15.26</v>
      </c>
      <c r="BC23" s="35">
        <v>0.9</v>
      </c>
      <c r="BD23" s="35">
        <v>-17.48</v>
      </c>
      <c r="BE23" s="35">
        <v>-18.86</v>
      </c>
      <c r="BF23" s="35">
        <v>1.08</v>
      </c>
      <c r="BG23" s="35">
        <v>-18.079999999999998</v>
      </c>
      <c r="BH23" s="35">
        <v>-22.33</v>
      </c>
      <c r="BI23" s="35">
        <v>1.23</v>
      </c>
      <c r="BJ23" s="35">
        <v>-15.62</v>
      </c>
      <c r="BK23" s="35">
        <v>-18.64</v>
      </c>
      <c r="BL23" s="35">
        <v>1.19</v>
      </c>
    </row>
    <row r="24" spans="1:87" s="35" customFormat="1">
      <c r="A24" s="51" t="s">
        <v>92</v>
      </c>
      <c r="B24" s="38" t="s">
        <v>52</v>
      </c>
      <c r="D24" s="58">
        <f>16005900*0.000001</f>
        <v>16.0059</v>
      </c>
      <c r="E24" s="58">
        <f>-0.000000000168606*1000000000000</f>
        <v>-168.60599999999999</v>
      </c>
      <c r="F24" s="38">
        <v>-5.9102000000000004E-12</v>
      </c>
      <c r="G24" s="38">
        <v>5.8837399999999997E-12</v>
      </c>
      <c r="H24" s="38">
        <v>7.0831899999999998E-13</v>
      </c>
      <c r="I24" s="44">
        <v>69</v>
      </c>
      <c r="J24" s="39">
        <f t="shared" si="3"/>
        <v>0.9955229941457141</v>
      </c>
      <c r="K24" s="39">
        <f>21/69</f>
        <v>0.30434782608695654</v>
      </c>
      <c r="L24" s="37">
        <f t="shared" si="0"/>
        <v>5.9102000000000006</v>
      </c>
      <c r="M24" s="35">
        <v>0.809199</v>
      </c>
      <c r="N24" s="35" t="s">
        <v>34</v>
      </c>
      <c r="O24" s="35">
        <v>-5.63</v>
      </c>
      <c r="P24" s="35">
        <v>-11.29</v>
      </c>
      <c r="Q24" s="35">
        <v>-11.22</v>
      </c>
      <c r="R24" s="35">
        <v>1.99</v>
      </c>
      <c r="S24" s="35">
        <v>2.0099999999999998</v>
      </c>
      <c r="T24" s="35">
        <v>2.35</v>
      </c>
      <c r="U24" s="35">
        <v>2.31</v>
      </c>
      <c r="V24" s="35">
        <v>1.17</v>
      </c>
      <c r="W24" s="35">
        <v>1.06</v>
      </c>
      <c r="X24" s="35">
        <v>4.3499999999999996</v>
      </c>
      <c r="Y24" s="35">
        <v>4.47</v>
      </c>
      <c r="Z24" s="35">
        <v>21</v>
      </c>
      <c r="AA24" s="35">
        <v>16</v>
      </c>
      <c r="AB24" s="35" t="s">
        <v>29</v>
      </c>
      <c r="AC24" s="35">
        <v>-7.63</v>
      </c>
      <c r="AD24" s="35">
        <v>-10.25</v>
      </c>
      <c r="AE24" s="35">
        <v>-10.25</v>
      </c>
      <c r="AF24" s="35">
        <v>1.34</v>
      </c>
      <c r="AG24" s="35">
        <v>0.71</v>
      </c>
      <c r="AH24" s="35" t="s">
        <v>31</v>
      </c>
      <c r="AK24" s="35">
        <v>0</v>
      </c>
      <c r="AL24" s="35" t="s">
        <v>32</v>
      </c>
      <c r="AM24" s="35">
        <v>0.21</v>
      </c>
      <c r="AN24" s="35">
        <v>-13.85</v>
      </c>
      <c r="AO24" s="35">
        <v>0.25</v>
      </c>
      <c r="AP24" s="35" t="s">
        <v>33</v>
      </c>
      <c r="AQ24" s="35">
        <v>0.05</v>
      </c>
      <c r="AR24" s="35">
        <f t="shared" si="6"/>
        <v>0.71</v>
      </c>
      <c r="AS24" s="35">
        <f t="shared" si="7"/>
        <v>0.96</v>
      </c>
      <c r="AT24" s="35" t="s">
        <v>34</v>
      </c>
      <c r="AU24" s="35">
        <v>-7.28</v>
      </c>
      <c r="AV24" s="35">
        <v>-11.09</v>
      </c>
      <c r="AW24" s="35">
        <v>1.52</v>
      </c>
      <c r="AX24" s="35">
        <v>-4.57</v>
      </c>
      <c r="AY24" s="35">
        <v>-11.71</v>
      </c>
      <c r="AZ24" s="35">
        <v>2.56</v>
      </c>
      <c r="BA24" s="35">
        <v>-5.63</v>
      </c>
      <c r="BB24" s="35">
        <v>-11.22</v>
      </c>
      <c r="BC24" s="35">
        <v>1.99</v>
      </c>
      <c r="BD24" s="35">
        <v>-7.21</v>
      </c>
      <c r="BE24" s="35">
        <v>-14.04</v>
      </c>
      <c r="BF24" s="35">
        <v>1.95</v>
      </c>
      <c r="BG24" s="35">
        <v>-5.99</v>
      </c>
      <c r="BH24" s="35">
        <v>-5.93</v>
      </c>
      <c r="BI24" s="35">
        <v>0.99</v>
      </c>
      <c r="BJ24" s="35">
        <v>-4.2</v>
      </c>
      <c r="BK24" s="35">
        <v>-8.06</v>
      </c>
      <c r="BL24" s="35">
        <v>1.92</v>
      </c>
    </row>
    <row r="25" spans="1:87" s="35" customFormat="1">
      <c r="A25" s="51" t="s">
        <v>94</v>
      </c>
      <c r="B25" s="38" t="s">
        <v>36</v>
      </c>
      <c r="D25" s="58">
        <f>23285700*0.000001</f>
        <v>23.285699999999999</v>
      </c>
      <c r="E25" s="58">
        <f>-0.000000000105178*1000000000000</f>
        <v>-105.178</v>
      </c>
      <c r="F25" s="42">
        <v>-8.49688E-12</v>
      </c>
      <c r="G25" s="42">
        <v>5.3965600000000002E-12</v>
      </c>
      <c r="H25" s="42">
        <v>8.2296800000000003E-13</v>
      </c>
      <c r="I25" s="44">
        <v>43</v>
      </c>
      <c r="J25" s="39">
        <f t="shared" si="3"/>
        <v>0.6351225390967038</v>
      </c>
      <c r="K25" s="39">
        <f>3/43</f>
        <v>6.9767441860465115E-2</v>
      </c>
      <c r="L25" s="37">
        <f t="shared" si="0"/>
        <v>8.4968800000000009</v>
      </c>
      <c r="M25" s="45">
        <v>0.93182699999999996</v>
      </c>
      <c r="N25" s="35" t="s">
        <v>34</v>
      </c>
      <c r="O25" s="35">
        <v>-10</v>
      </c>
      <c r="P25" s="35">
        <v>-8.56</v>
      </c>
      <c r="Q25" s="35">
        <v>-8.5399999999999903</v>
      </c>
      <c r="R25" s="35">
        <v>0.85</v>
      </c>
      <c r="S25" s="35">
        <v>0.86</v>
      </c>
      <c r="T25" s="35">
        <v>2.86</v>
      </c>
      <c r="U25" s="35">
        <v>2.4700000000000002</v>
      </c>
      <c r="V25" s="35">
        <v>1.17</v>
      </c>
      <c r="W25" s="35">
        <v>2.14</v>
      </c>
      <c r="X25" s="35">
        <v>2.92</v>
      </c>
      <c r="Y25" s="35">
        <v>3.1</v>
      </c>
      <c r="Z25" s="35">
        <v>12</v>
      </c>
      <c r="AA25" s="35">
        <v>8</v>
      </c>
      <c r="AB25" s="35" t="s">
        <v>29</v>
      </c>
      <c r="AC25" s="35">
        <v>-11.65</v>
      </c>
      <c r="AD25" s="35">
        <v>-8.91</v>
      </c>
      <c r="AE25" s="35">
        <v>-8.84</v>
      </c>
      <c r="AF25" s="35">
        <v>0.76</v>
      </c>
      <c r="AG25" s="35">
        <v>0.75</v>
      </c>
      <c r="AH25" s="35" t="s">
        <v>31</v>
      </c>
      <c r="AK25" s="35">
        <v>0</v>
      </c>
      <c r="AL25" s="35" t="s">
        <v>32</v>
      </c>
      <c r="AM25" s="35">
        <v>4.9400000000000004</v>
      </c>
      <c r="AN25" s="35">
        <v>-9.1199999999999903</v>
      </c>
      <c r="AO25" s="35">
        <v>0.25</v>
      </c>
      <c r="AP25" s="35" t="s">
        <v>33</v>
      </c>
      <c r="AQ25" s="35">
        <v>0</v>
      </c>
      <c r="AR25" s="35">
        <f t="shared" ref="AR25:AR27" si="8">AG25+AK25</f>
        <v>0.75</v>
      </c>
      <c r="AS25" s="35">
        <f t="shared" ref="AS25:AS27" si="9">AG25+AO25</f>
        <v>1</v>
      </c>
      <c r="AT25" s="35" t="s">
        <v>34</v>
      </c>
      <c r="AU25" s="35">
        <v>-8.91</v>
      </c>
      <c r="AV25" s="35">
        <v>-9.99</v>
      </c>
      <c r="AW25" s="35">
        <v>1.1200000000000001</v>
      </c>
      <c r="AX25" s="35">
        <v>-4.6399999999999997</v>
      </c>
      <c r="AY25" s="35">
        <v>-8.56</v>
      </c>
      <c r="AZ25" s="35">
        <v>1.85</v>
      </c>
      <c r="BA25" s="35">
        <v>-10</v>
      </c>
      <c r="BB25" s="35">
        <v>-8.5399999999999903</v>
      </c>
      <c r="BC25" s="35">
        <v>0.85</v>
      </c>
      <c r="BD25" s="35">
        <v>-4.8099999999999996</v>
      </c>
      <c r="BE25" s="35">
        <v>-11.85</v>
      </c>
      <c r="BF25" s="33">
        <v>2.46</v>
      </c>
      <c r="BG25" s="35">
        <v>-6.59</v>
      </c>
      <c r="BH25" s="35">
        <v>-10.69</v>
      </c>
      <c r="BI25" s="33">
        <v>1.62</v>
      </c>
      <c r="BJ25" s="35">
        <v>-7.58</v>
      </c>
      <c r="BK25" s="35">
        <v>-3.82</v>
      </c>
      <c r="BL25" s="33">
        <v>0.5</v>
      </c>
    </row>
    <row r="26" spans="1:87" s="35" customFormat="1">
      <c r="A26" s="51" t="s">
        <v>96</v>
      </c>
      <c r="B26" s="38" t="s">
        <v>52</v>
      </c>
      <c r="D26" s="58">
        <f>21.9305</f>
        <v>21.930499999999999</v>
      </c>
      <c r="E26" s="136">
        <v>-26.788699999999999</v>
      </c>
      <c r="F26" s="42">
        <v>-3.6024400000000001E-12</v>
      </c>
      <c r="G26" s="42">
        <v>3.9345600000000001E-12</v>
      </c>
      <c r="H26" s="42">
        <v>4.1706300000000001E-13</v>
      </c>
      <c r="I26" s="44">
        <v>89</v>
      </c>
      <c r="J26" s="39">
        <f t="shared" si="3"/>
        <v>1.0921930691420259</v>
      </c>
      <c r="K26" s="39">
        <f>32/89</f>
        <v>0.3595505617977528</v>
      </c>
      <c r="L26" s="37">
        <f t="shared" si="0"/>
        <v>3.6024400000000001</v>
      </c>
      <c r="M26" s="45">
        <v>1.08832</v>
      </c>
      <c r="N26" s="35" t="s">
        <v>34</v>
      </c>
      <c r="O26" s="35">
        <v>-3.54</v>
      </c>
      <c r="P26" s="35">
        <v>-7.07</v>
      </c>
      <c r="Q26" s="35">
        <v>-7.06</v>
      </c>
      <c r="R26" s="35">
        <v>1.99</v>
      </c>
      <c r="S26" s="35">
        <v>2</v>
      </c>
      <c r="T26" s="35">
        <v>2.61</v>
      </c>
      <c r="U26" s="35">
        <v>2.38</v>
      </c>
      <c r="V26" s="35">
        <v>1.77</v>
      </c>
      <c r="W26" s="35">
        <v>0.99</v>
      </c>
      <c r="X26" s="35">
        <v>3.3</v>
      </c>
      <c r="Y26" s="35">
        <v>12.98</v>
      </c>
      <c r="Z26" s="35">
        <v>22</v>
      </c>
      <c r="AA26" s="35">
        <v>19</v>
      </c>
      <c r="AB26" s="35" t="s">
        <v>29</v>
      </c>
      <c r="AC26" s="35">
        <v>-3.74</v>
      </c>
      <c r="AD26" s="35">
        <v>-8.6999999999999904</v>
      </c>
      <c r="AE26" s="35">
        <v>-8.6099999999999905</v>
      </c>
      <c r="AF26" s="35">
        <v>2.2999999999999998</v>
      </c>
      <c r="AG26" s="35">
        <v>0.55000000000000004</v>
      </c>
      <c r="AH26" s="35" t="s">
        <v>31</v>
      </c>
      <c r="AI26" s="35">
        <v>-12.85</v>
      </c>
      <c r="AJ26" s="35">
        <v>-1.61</v>
      </c>
      <c r="AK26" s="35">
        <v>0.18</v>
      </c>
      <c r="AL26" s="35" t="s">
        <v>32</v>
      </c>
      <c r="AM26" s="35">
        <v>2.9</v>
      </c>
      <c r="AN26" s="35">
        <v>-8.17</v>
      </c>
      <c r="AO26" s="35">
        <v>0.23</v>
      </c>
      <c r="AP26" s="35" t="s">
        <v>33</v>
      </c>
      <c r="AQ26" s="35">
        <v>0.05</v>
      </c>
      <c r="AR26" s="35">
        <f t="shared" si="8"/>
        <v>0.73</v>
      </c>
      <c r="AS26" s="35">
        <f t="shared" si="9"/>
        <v>0.78</v>
      </c>
      <c r="AT26" s="35" t="s">
        <v>34</v>
      </c>
      <c r="AU26" s="35">
        <v>-2.42</v>
      </c>
      <c r="AV26" s="35">
        <v>-8.5500000000000007</v>
      </c>
      <c r="AW26" s="35">
        <v>3.54</v>
      </c>
      <c r="AX26" s="35">
        <v>-2.36</v>
      </c>
      <c r="AY26" s="35">
        <v>-8.31</v>
      </c>
      <c r="AZ26" s="35">
        <v>3.52</v>
      </c>
      <c r="BA26" s="35">
        <v>-3.54</v>
      </c>
      <c r="BB26" s="35">
        <v>-7.06</v>
      </c>
      <c r="BC26" s="35">
        <v>1.99</v>
      </c>
      <c r="BD26" s="35">
        <v>-2.0299999999999998</v>
      </c>
      <c r="BE26" s="35">
        <v>-4.72</v>
      </c>
      <c r="BF26" s="33">
        <v>2.33</v>
      </c>
      <c r="BG26" s="35">
        <v>-5.17</v>
      </c>
      <c r="BH26" s="35">
        <v>-6.15</v>
      </c>
      <c r="BI26" s="35">
        <v>1.19</v>
      </c>
      <c r="BJ26" s="35">
        <v>-4.3099999999999996</v>
      </c>
      <c r="BK26" s="35">
        <v>-5.96</v>
      </c>
      <c r="BL26" s="35">
        <v>1.38</v>
      </c>
    </row>
    <row r="27" spans="1:87" s="35" customFormat="1">
      <c r="A27" s="51" t="s">
        <v>97</v>
      </c>
      <c r="B27" s="38" t="s">
        <v>52</v>
      </c>
      <c r="D27" s="58">
        <f>13700800*0.000001</f>
        <v>13.700799999999999</v>
      </c>
      <c r="E27" s="136">
        <v>-79.481800000000007</v>
      </c>
      <c r="F27" s="42">
        <v>-1.31719E-11</v>
      </c>
      <c r="G27" s="42">
        <v>1.03726E-11</v>
      </c>
      <c r="H27" s="42">
        <v>1.4668999999999999E-12</v>
      </c>
      <c r="I27" s="44">
        <v>50</v>
      </c>
      <c r="J27" s="39">
        <f t="shared" si="3"/>
        <v>0.7874794069192752</v>
      </c>
      <c r="K27" s="39">
        <f>10/50</f>
        <v>0.2</v>
      </c>
      <c r="L27" s="37">
        <f t="shared" si="0"/>
        <v>13.171899999999999</v>
      </c>
      <c r="M27" s="45">
        <v>0.529976</v>
      </c>
      <c r="N27" s="35" t="s">
        <v>34</v>
      </c>
      <c r="O27" s="35">
        <v>-13.05</v>
      </c>
      <c r="P27" s="35">
        <v>-15.78</v>
      </c>
      <c r="R27" s="35">
        <v>1.21</v>
      </c>
      <c r="S27" s="35">
        <v>1.21</v>
      </c>
      <c r="T27" s="35">
        <v>2.9</v>
      </c>
      <c r="U27" s="35">
        <v>2.87</v>
      </c>
      <c r="V27" s="35">
        <v>0.61</v>
      </c>
      <c r="W27" s="35">
        <v>0.53</v>
      </c>
      <c r="X27" s="35">
        <v>4.45</v>
      </c>
      <c r="Y27" s="35">
        <v>4.58</v>
      </c>
      <c r="Z27" s="35">
        <v>51</v>
      </c>
      <c r="AA27" s="35">
        <v>41</v>
      </c>
      <c r="AB27" s="35" t="s">
        <v>29</v>
      </c>
      <c r="AC27" s="35">
        <v>-15.1</v>
      </c>
      <c r="AD27" s="35">
        <v>-15.88</v>
      </c>
      <c r="AF27" s="35">
        <v>1.05</v>
      </c>
      <c r="AG27" s="35">
        <v>0.75</v>
      </c>
      <c r="AH27" s="35" t="s">
        <v>31</v>
      </c>
      <c r="AI27" s="35">
        <v>-18.850000000000001</v>
      </c>
      <c r="AJ27" s="35">
        <v>1.21</v>
      </c>
      <c r="AK27" s="35">
        <v>0.06</v>
      </c>
      <c r="AL27" s="35" t="s">
        <v>32</v>
      </c>
      <c r="AM27" s="35">
        <v>1.06</v>
      </c>
      <c r="AN27" s="35">
        <v>-21.1</v>
      </c>
      <c r="AO27" s="35">
        <v>0.18</v>
      </c>
      <c r="AP27" s="35" t="s">
        <v>33</v>
      </c>
      <c r="AQ27" s="35">
        <v>0.02</v>
      </c>
      <c r="AR27" s="35">
        <f t="shared" si="8"/>
        <v>0.81</v>
      </c>
      <c r="AS27" s="35">
        <f t="shared" si="9"/>
        <v>0.92999999999999994</v>
      </c>
    </row>
    <row r="28" spans="1:87">
      <c r="A28" s="51" t="s">
        <v>60</v>
      </c>
      <c r="B28" s="38" t="s">
        <v>52</v>
      </c>
      <c r="C28" t="s">
        <v>55</v>
      </c>
      <c r="D28" s="58">
        <v>18</v>
      </c>
      <c r="E28" s="58">
        <v>-86</v>
      </c>
      <c r="F28">
        <f xml:space="preserve"> -0.00000000000830351</f>
        <v>-8.30351E-12</v>
      </c>
      <c r="G28" s="18">
        <v>5.9172699999999999E-12</v>
      </c>
      <c r="H28" s="18">
        <v>7.2291E-13</v>
      </c>
      <c r="I28" s="39">
        <v>67</v>
      </c>
      <c r="J28" s="19">
        <f t="shared" si="3"/>
        <v>0.71262273424130274</v>
      </c>
      <c r="K28" s="39">
        <f>11/I28</f>
        <v>0.16417910447761194</v>
      </c>
      <c r="L28" s="10">
        <f t="shared" si="0"/>
        <v>8.3035099999999993</v>
      </c>
      <c r="M28">
        <v>0.54834300000000002</v>
      </c>
      <c r="N28" t="s">
        <v>34</v>
      </c>
      <c r="O28">
        <v>-7.04</v>
      </c>
      <c r="P28">
        <v>-9.9700000000000006</v>
      </c>
      <c r="R28">
        <v>1.42</v>
      </c>
      <c r="S28">
        <v>1.42</v>
      </c>
      <c r="T28">
        <v>2.23</v>
      </c>
      <c r="U28">
        <v>2.11</v>
      </c>
      <c r="V28">
        <v>0.52</v>
      </c>
      <c r="W28">
        <v>23.36</v>
      </c>
      <c r="X28">
        <v>6.41</v>
      </c>
      <c r="Y28">
        <v>1.9</v>
      </c>
      <c r="Z28">
        <v>80</v>
      </c>
      <c r="AA28">
        <v>35</v>
      </c>
      <c r="AB28" t="s">
        <v>29</v>
      </c>
      <c r="AC28">
        <v>-8.77</v>
      </c>
      <c r="AD28">
        <v>-12.05</v>
      </c>
      <c r="AF28">
        <v>1.37</v>
      </c>
      <c r="AG28">
        <v>0.78</v>
      </c>
      <c r="AH28" t="s">
        <v>31</v>
      </c>
      <c r="AI28">
        <v>-12.04</v>
      </c>
      <c r="AJ28">
        <v>-2.23</v>
      </c>
      <c r="AK28">
        <v>0.08</v>
      </c>
      <c r="AL28" t="s">
        <v>32</v>
      </c>
      <c r="AM28">
        <v>2.6</v>
      </c>
      <c r="AN28">
        <v>-10.36</v>
      </c>
      <c r="AO28">
        <v>0.13</v>
      </c>
      <c r="AP28" t="s">
        <v>33</v>
      </c>
      <c r="AQ28">
        <v>0.03</v>
      </c>
      <c r="AR28">
        <f t="shared" si="1"/>
        <v>0.86</v>
      </c>
      <c r="AS28">
        <f t="shared" si="2"/>
        <v>0.91</v>
      </c>
      <c r="BD28" s="35"/>
      <c r="BE28" s="35"/>
      <c r="BF28" s="35"/>
      <c r="BG28" s="35"/>
      <c r="BH28" s="35"/>
      <c r="BI28" s="35"/>
      <c r="BJ28" s="35"/>
      <c r="BK28" s="35"/>
      <c r="BL28" s="35"/>
      <c r="BM28" t="s">
        <v>34</v>
      </c>
      <c r="BN28" t="s">
        <v>105</v>
      </c>
      <c r="BO28">
        <v>-5.42</v>
      </c>
      <c r="BP28">
        <v>-2.4</v>
      </c>
      <c r="BR28">
        <v>0.44</v>
      </c>
      <c r="BS28">
        <v>0.44</v>
      </c>
      <c r="BT28">
        <v>2.6</v>
      </c>
      <c r="BU28">
        <v>3.28</v>
      </c>
      <c r="BX28">
        <v>2.62</v>
      </c>
      <c r="BY28">
        <v>1.83</v>
      </c>
      <c r="BZ28">
        <v>186</v>
      </c>
      <c r="CA28">
        <v>1</v>
      </c>
      <c r="CB28">
        <v>21</v>
      </c>
      <c r="CI28">
        <f>33.3391370521864/100</f>
        <v>0.33339137052186402</v>
      </c>
    </row>
    <row r="29" spans="1:87">
      <c r="A29" s="51" t="s">
        <v>61</v>
      </c>
      <c r="B29" s="38" t="s">
        <v>36</v>
      </c>
      <c r="C29" s="35" t="s">
        <v>55</v>
      </c>
      <c r="D29" s="58">
        <v>10</v>
      </c>
      <c r="E29" s="58">
        <v>-137</v>
      </c>
      <c r="F29" s="18">
        <v>-1.3631900000000001E-11</v>
      </c>
      <c r="G29" s="18">
        <v>7.64399E-12</v>
      </c>
      <c r="H29" s="18">
        <v>1.1657E-12</v>
      </c>
      <c r="I29" s="39">
        <v>43</v>
      </c>
      <c r="J29" s="19">
        <f t="shared" si="3"/>
        <v>0.56074281648192836</v>
      </c>
      <c r="K29" s="37">
        <f>4/I29</f>
        <v>9.3023255813953487E-2</v>
      </c>
      <c r="L29" s="10">
        <f t="shared" si="0"/>
        <v>13.6319</v>
      </c>
      <c r="M29">
        <v>0.90899300000000005</v>
      </c>
      <c r="N29" t="s">
        <v>34</v>
      </c>
      <c r="O29">
        <v>-11.86</v>
      </c>
      <c r="P29">
        <v>-12.54</v>
      </c>
      <c r="Q29">
        <v>-12.17</v>
      </c>
      <c r="R29">
        <v>1.03</v>
      </c>
      <c r="S29">
        <v>1.06</v>
      </c>
      <c r="T29">
        <v>1.94</v>
      </c>
      <c r="U29">
        <v>1.96</v>
      </c>
      <c r="V29">
        <v>1.36</v>
      </c>
      <c r="W29">
        <v>1.71</v>
      </c>
      <c r="X29">
        <v>5.43</v>
      </c>
      <c r="Y29">
        <v>4.55</v>
      </c>
      <c r="Z29">
        <v>63</v>
      </c>
      <c r="AA29">
        <v>31</v>
      </c>
      <c r="AB29" t="s">
        <v>29</v>
      </c>
      <c r="AC29">
        <v>-13.99</v>
      </c>
      <c r="AD29">
        <v>-13.98</v>
      </c>
      <c r="AE29">
        <v>-13.64</v>
      </c>
      <c r="AF29">
        <v>0.97</v>
      </c>
      <c r="AG29">
        <v>0.78</v>
      </c>
      <c r="AH29" t="s">
        <v>31</v>
      </c>
      <c r="AI29">
        <v>-20.37</v>
      </c>
      <c r="AJ29">
        <v>2.71</v>
      </c>
      <c r="AK29">
        <v>0.06</v>
      </c>
      <c r="AL29" t="s">
        <v>32</v>
      </c>
      <c r="AM29">
        <v>2.57</v>
      </c>
      <c r="AN29">
        <v>-14.56</v>
      </c>
      <c r="AO29">
        <v>0.08</v>
      </c>
      <c r="AP29" t="s">
        <v>33</v>
      </c>
      <c r="AQ29">
        <v>0.08</v>
      </c>
      <c r="AR29">
        <f t="shared" ref="AR29:AR31" si="10">AG29+AK29</f>
        <v>0.84000000000000008</v>
      </c>
      <c r="AS29">
        <f t="shared" ref="AS29:AS31" si="11">AG29+AO29</f>
        <v>0.86</v>
      </c>
      <c r="BD29" s="35"/>
      <c r="BE29" s="35"/>
      <c r="BF29" s="35"/>
      <c r="BG29" s="35"/>
      <c r="BH29" s="35"/>
      <c r="BI29" s="35"/>
      <c r="BJ29" s="35"/>
      <c r="BK29" s="35"/>
      <c r="BL29" s="35"/>
      <c r="BM29" t="s">
        <v>34</v>
      </c>
      <c r="BN29" t="s">
        <v>75</v>
      </c>
      <c r="BO29">
        <v>-9.31</v>
      </c>
      <c r="BP29">
        <v>-3.62</v>
      </c>
      <c r="BQ29">
        <v>-3.23</v>
      </c>
      <c r="BR29">
        <v>0.35</v>
      </c>
      <c r="BS29">
        <v>0.39</v>
      </c>
      <c r="BT29">
        <v>2.83</v>
      </c>
      <c r="BU29">
        <v>3.34</v>
      </c>
      <c r="BV29">
        <v>1.06</v>
      </c>
      <c r="BW29">
        <v>2.96</v>
      </c>
      <c r="BX29">
        <v>6.05</v>
      </c>
      <c r="BY29">
        <v>2.44</v>
      </c>
      <c r="BZ29">
        <v>51</v>
      </c>
      <c r="CA29">
        <v>1</v>
      </c>
      <c r="CB29">
        <v>25</v>
      </c>
      <c r="CC29">
        <v>0.61</v>
      </c>
      <c r="CD29">
        <v>0.28999999999999998</v>
      </c>
      <c r="CE29">
        <v>0.08</v>
      </c>
      <c r="CF29">
        <v>0.02</v>
      </c>
      <c r="CG29">
        <f>62.2006021564965/100</f>
        <v>0.62200602156496498</v>
      </c>
      <c r="CI29">
        <f>67.0478983127419/100</f>
        <v>0.67047898312741905</v>
      </c>
    </row>
    <row r="30" spans="1:87">
      <c r="A30" s="51" t="s">
        <v>78</v>
      </c>
      <c r="B30" s="38" t="s">
        <v>36</v>
      </c>
      <c r="C30" s="35" t="s">
        <v>55</v>
      </c>
      <c r="D30" s="58">
        <f>14756900*0.000001</f>
        <v>14.7569</v>
      </c>
      <c r="E30" s="58">
        <f>-0.0000000000965069*1000000000000</f>
        <v>-96.506900000000002</v>
      </c>
      <c r="F30" s="18">
        <v>-1.7904099999999999E-11</v>
      </c>
      <c r="G30" s="18">
        <v>6.85786E-12</v>
      </c>
      <c r="H30" s="18">
        <v>9.5101400000000009E-13</v>
      </c>
      <c r="I30" s="39">
        <v>52</v>
      </c>
      <c r="J30" s="19">
        <f t="shared" si="3"/>
        <v>0.38303293658994308</v>
      </c>
      <c r="K30" s="37">
        <f>2/I30</f>
        <v>3.8461538461538464E-2</v>
      </c>
      <c r="L30" s="10">
        <f t="shared" si="0"/>
        <v>17.9041</v>
      </c>
      <c r="M30">
        <v>0.595503</v>
      </c>
      <c r="N30" t="s">
        <v>34</v>
      </c>
      <c r="O30">
        <v>-16.96</v>
      </c>
      <c r="P30">
        <v>-17.37</v>
      </c>
      <c r="Q30">
        <v>-16.89</v>
      </c>
      <c r="R30">
        <v>1</v>
      </c>
      <c r="S30">
        <v>1.02</v>
      </c>
      <c r="T30">
        <v>2.14</v>
      </c>
      <c r="U30">
        <v>2.14</v>
      </c>
      <c r="V30">
        <v>0.5</v>
      </c>
      <c r="W30">
        <v>0.48</v>
      </c>
      <c r="X30">
        <v>5.45</v>
      </c>
      <c r="Y30">
        <v>5.17</v>
      </c>
      <c r="Z30">
        <v>65</v>
      </c>
      <c r="AA30">
        <v>45</v>
      </c>
      <c r="AB30" t="s">
        <v>29</v>
      </c>
      <c r="AC30">
        <v>-18.28</v>
      </c>
      <c r="AD30">
        <v>-17.36</v>
      </c>
      <c r="AE30">
        <v>-16.850000000000001</v>
      </c>
      <c r="AF30">
        <v>0.92</v>
      </c>
      <c r="AG30">
        <v>0.92</v>
      </c>
      <c r="AH30" t="s">
        <v>31</v>
      </c>
      <c r="AI30">
        <v>-29.63</v>
      </c>
      <c r="AJ30">
        <v>-0.97</v>
      </c>
      <c r="AK30">
        <v>0.02</v>
      </c>
      <c r="AL30" t="s">
        <v>32</v>
      </c>
      <c r="AM30">
        <v>-0.43</v>
      </c>
      <c r="AN30">
        <v>-20.34</v>
      </c>
      <c r="AO30">
        <v>0.06</v>
      </c>
      <c r="AP30" t="s">
        <v>33</v>
      </c>
      <c r="AQ30">
        <v>0</v>
      </c>
      <c r="AR30">
        <f t="shared" si="10"/>
        <v>0.94000000000000006</v>
      </c>
      <c r="AS30">
        <f t="shared" si="11"/>
        <v>0.98</v>
      </c>
      <c r="BD30" s="35"/>
      <c r="BE30" s="35"/>
      <c r="BF30" s="35"/>
      <c r="BG30" s="35"/>
      <c r="BH30" s="35"/>
      <c r="BI30" s="35"/>
      <c r="BJ30" s="35"/>
      <c r="BK30" s="35"/>
      <c r="BL30" s="35"/>
      <c r="BM30" t="s">
        <v>34</v>
      </c>
      <c r="BN30" t="s">
        <v>75</v>
      </c>
      <c r="BO30">
        <v>-11.42</v>
      </c>
      <c r="BP30">
        <v>-7.75</v>
      </c>
      <c r="BQ30">
        <v>-7.19</v>
      </c>
      <c r="BR30">
        <v>0.63</v>
      </c>
      <c r="BS30">
        <v>0.68</v>
      </c>
      <c r="BT30">
        <v>1.85</v>
      </c>
      <c r="BU30">
        <v>2.19</v>
      </c>
      <c r="BV30">
        <v>0.83</v>
      </c>
      <c r="BW30">
        <v>0.39</v>
      </c>
      <c r="BX30">
        <v>6.26</v>
      </c>
      <c r="BY30">
        <v>7.42</v>
      </c>
      <c r="BZ30">
        <v>73</v>
      </c>
      <c r="CA30">
        <v>1</v>
      </c>
      <c r="CB30">
        <v>58</v>
      </c>
      <c r="CC30">
        <v>0.88</v>
      </c>
      <c r="CD30">
        <v>7.0000000000000007E-2</v>
      </c>
      <c r="CE30">
        <v>0.05</v>
      </c>
      <c r="CF30">
        <v>0</v>
      </c>
      <c r="CG30">
        <f>63.9871967233353/100</f>
        <v>0.63987196723335305</v>
      </c>
      <c r="CI30">
        <f>72.4928564117239/100</f>
        <v>0.72492856411723905</v>
      </c>
    </row>
    <row r="31" spans="1:87">
      <c r="A31" s="51" t="s">
        <v>80</v>
      </c>
      <c r="B31" s="38" t="s">
        <v>52</v>
      </c>
      <c r="C31" s="35" t="s">
        <v>55</v>
      </c>
      <c r="D31" s="58">
        <f>19073900*0.000001</f>
        <v>19.073899999999998</v>
      </c>
      <c r="E31" s="58">
        <f>-0.000000000130401*1000000000000</f>
        <v>-130.40099999999998</v>
      </c>
      <c r="F31" s="18">
        <v>-2.9136399999999999E-11</v>
      </c>
      <c r="G31" s="18">
        <v>9.1775099999999997E-12</v>
      </c>
      <c r="H31" s="18">
        <v>1.12967E-12</v>
      </c>
      <c r="I31" s="39">
        <v>66</v>
      </c>
      <c r="J31" s="19">
        <f t="shared" si="3"/>
        <v>0.31498434947351078</v>
      </c>
      <c r="K31" s="37">
        <f>1/I31</f>
        <v>1.5151515151515152E-2</v>
      </c>
      <c r="L31" s="10">
        <f t="shared" si="0"/>
        <v>29.136399999999998</v>
      </c>
      <c r="M31">
        <v>0.223603</v>
      </c>
      <c r="N31" t="s">
        <v>34</v>
      </c>
      <c r="O31">
        <v>-26.76</v>
      </c>
      <c r="P31">
        <v>-26.44</v>
      </c>
      <c r="Q31">
        <v>-26.31</v>
      </c>
      <c r="R31">
        <v>0.98</v>
      </c>
      <c r="S31">
        <v>0.99</v>
      </c>
      <c r="T31">
        <v>2.4700000000000002</v>
      </c>
      <c r="U31">
        <v>2.4</v>
      </c>
      <c r="V31">
        <v>1.29</v>
      </c>
      <c r="W31">
        <v>1.29</v>
      </c>
      <c r="X31">
        <v>3.54</v>
      </c>
      <c r="Y31">
        <v>3.54</v>
      </c>
      <c r="Z31">
        <v>90</v>
      </c>
      <c r="AA31">
        <v>68</v>
      </c>
      <c r="AB31" t="s">
        <v>29</v>
      </c>
      <c r="AC31">
        <v>-27.85</v>
      </c>
      <c r="AD31">
        <v>-27.2</v>
      </c>
      <c r="AE31">
        <v>-27.08</v>
      </c>
      <c r="AF31">
        <v>0.97</v>
      </c>
      <c r="AG31">
        <v>0.9</v>
      </c>
      <c r="AH31" t="s">
        <v>31</v>
      </c>
      <c r="AI31">
        <v>-20.79</v>
      </c>
      <c r="AJ31">
        <v>-0.15</v>
      </c>
      <c r="AK31">
        <v>0.02</v>
      </c>
      <c r="AL31" t="s">
        <v>32</v>
      </c>
      <c r="AM31">
        <v>-1.27</v>
      </c>
      <c r="AN31">
        <v>-50.28</v>
      </c>
      <c r="AO31">
        <v>7.0000000000000007E-2</v>
      </c>
      <c r="AP31" t="s">
        <v>33</v>
      </c>
      <c r="AQ31">
        <v>0.01</v>
      </c>
      <c r="AR31">
        <f t="shared" si="10"/>
        <v>0.92</v>
      </c>
      <c r="AS31">
        <f t="shared" si="11"/>
        <v>0.97</v>
      </c>
      <c r="BD31" s="35"/>
      <c r="BE31" s="35"/>
      <c r="BF31" s="35"/>
      <c r="BG31" s="35"/>
      <c r="BH31" s="35"/>
      <c r="BI31" s="35"/>
      <c r="BJ31" s="35"/>
      <c r="BK31" s="35"/>
      <c r="BL31" s="35"/>
      <c r="BM31" t="s">
        <v>34</v>
      </c>
      <c r="BN31" t="s">
        <v>75</v>
      </c>
      <c r="BO31">
        <v>-18.71</v>
      </c>
      <c r="BP31">
        <v>-11.2</v>
      </c>
      <c r="BQ31">
        <v>-11.1</v>
      </c>
      <c r="BR31">
        <v>0.59</v>
      </c>
      <c r="BS31">
        <v>0.6</v>
      </c>
      <c r="BT31">
        <v>2.34</v>
      </c>
      <c r="BU31">
        <v>2.37</v>
      </c>
      <c r="BV31">
        <v>0.73</v>
      </c>
      <c r="BW31">
        <v>0.59</v>
      </c>
      <c r="BX31">
        <v>3.66</v>
      </c>
      <c r="BY31">
        <v>3.65</v>
      </c>
      <c r="BZ31">
        <v>76</v>
      </c>
      <c r="CA31">
        <v>1</v>
      </c>
      <c r="CB31">
        <v>56</v>
      </c>
      <c r="CC31">
        <v>0.8</v>
      </c>
      <c r="CD31">
        <v>0.17</v>
      </c>
      <c r="CE31">
        <v>0.03</v>
      </c>
      <c r="CF31">
        <v>0</v>
      </c>
      <c r="CG31">
        <f>67.2062254715552/100</f>
        <v>0.67206225471555203</v>
      </c>
      <c r="CI31">
        <f>62.9377885168376/100</f>
        <v>0.62937788516837601</v>
      </c>
    </row>
    <row r="32" spans="1:87">
      <c r="A32" s="51" t="s">
        <v>74</v>
      </c>
      <c r="B32" s="38" t="s">
        <v>36</v>
      </c>
      <c r="C32" s="35" t="s">
        <v>55</v>
      </c>
      <c r="D32" s="58">
        <f>14341800*0.000001</f>
        <v>14.341799999999999</v>
      </c>
      <c r="E32" s="58">
        <f>-0.00000000009398*1000000000000</f>
        <v>-93.97999999999999</v>
      </c>
      <c r="F32" s="18">
        <v>-5.2328500000000002E-11</v>
      </c>
      <c r="G32" s="18">
        <v>1.46395E-11</v>
      </c>
      <c r="H32" s="18">
        <v>2.67279E-12</v>
      </c>
      <c r="I32" s="39">
        <v>30</v>
      </c>
      <c r="J32" s="19">
        <f t="shared" si="3"/>
        <v>0.27976150663596316</v>
      </c>
      <c r="K32" s="37">
        <v>0</v>
      </c>
      <c r="L32" s="10">
        <f t="shared" si="0"/>
        <v>52.328500000000005</v>
      </c>
      <c r="M32" s="25">
        <v>9.1860499999999998E-2</v>
      </c>
      <c r="N32" t="s">
        <v>34</v>
      </c>
      <c r="O32">
        <v>-42.94</v>
      </c>
      <c r="P32">
        <v>-41.79</v>
      </c>
      <c r="Q32">
        <v>-40.22</v>
      </c>
      <c r="R32">
        <v>0.94</v>
      </c>
      <c r="S32">
        <v>0.97</v>
      </c>
      <c r="T32">
        <v>1.63</v>
      </c>
      <c r="U32">
        <v>1.67</v>
      </c>
      <c r="V32">
        <v>0.4</v>
      </c>
      <c r="W32">
        <v>0.4</v>
      </c>
      <c r="X32">
        <v>5.93</v>
      </c>
      <c r="Y32">
        <v>5.93</v>
      </c>
      <c r="Z32">
        <v>92</v>
      </c>
      <c r="AA32">
        <v>38</v>
      </c>
      <c r="AB32" t="s">
        <v>29</v>
      </c>
      <c r="AC32">
        <v>-42.94</v>
      </c>
      <c r="AD32">
        <v>-41.79</v>
      </c>
      <c r="AE32">
        <v>-40.22</v>
      </c>
      <c r="AF32">
        <v>0.94</v>
      </c>
      <c r="AG32">
        <v>0.99</v>
      </c>
      <c r="AH32" t="s">
        <v>31</v>
      </c>
      <c r="AK32">
        <v>0</v>
      </c>
      <c r="AL32" t="s">
        <v>32</v>
      </c>
      <c r="AO32">
        <v>0.01</v>
      </c>
      <c r="AP32" t="s">
        <v>33</v>
      </c>
      <c r="AQ32">
        <v>0</v>
      </c>
      <c r="AR32">
        <f>AG32+AK32</f>
        <v>0.99</v>
      </c>
      <c r="AS32">
        <f>AG32+AO32</f>
        <v>1</v>
      </c>
      <c r="BD32" s="35"/>
      <c r="BE32" s="35"/>
      <c r="BF32" s="35"/>
      <c r="BG32" s="35"/>
      <c r="BH32" s="35"/>
      <c r="BI32" s="35"/>
      <c r="BJ32" s="35"/>
      <c r="BK32" s="35"/>
      <c r="BL32" s="35"/>
      <c r="BM32" t="s">
        <v>34</v>
      </c>
      <c r="BN32" t="s">
        <v>75</v>
      </c>
      <c r="BO32">
        <v>-38.402700000000003</v>
      </c>
      <c r="BP32">
        <v>-22.128399999999999</v>
      </c>
      <c r="BQ32">
        <v>-22.128399999999999</v>
      </c>
      <c r="BR32">
        <v>0.62</v>
      </c>
      <c r="BS32">
        <v>0.62</v>
      </c>
      <c r="BT32">
        <v>1.97</v>
      </c>
      <c r="BU32">
        <v>2.16</v>
      </c>
      <c r="BV32">
        <v>0.94</v>
      </c>
      <c r="BW32">
        <v>1.1100000000000001</v>
      </c>
      <c r="BX32">
        <v>2.71</v>
      </c>
      <c r="BY32">
        <v>2.85</v>
      </c>
      <c r="BZ32">
        <v>124</v>
      </c>
      <c r="CA32">
        <v>1</v>
      </c>
      <c r="CB32">
        <v>60</v>
      </c>
      <c r="CC32">
        <v>0.93</v>
      </c>
      <c r="CD32">
        <v>0.06</v>
      </c>
      <c r="CE32">
        <v>0.02</v>
      </c>
      <c r="CF32">
        <v>0</v>
      </c>
      <c r="CG32">
        <f>75.4763218830376/100</f>
        <v>0.754763218830376</v>
      </c>
      <c r="CI32">
        <f>94.1016255908384/100</f>
        <v>0.941016255908384</v>
      </c>
    </row>
    <row r="33" spans="1:87">
      <c r="A33" s="51" t="s">
        <v>77</v>
      </c>
      <c r="B33" s="38" t="s">
        <v>52</v>
      </c>
      <c r="C33" s="35" t="s">
        <v>55</v>
      </c>
      <c r="D33" s="136">
        <v>9.8978300000000008</v>
      </c>
      <c r="E33" s="58">
        <f>-0.0000000000682516*1000000000000</f>
        <v>-68.251599999999996</v>
      </c>
      <c r="F33" s="42">
        <v>-1.34691E-11</v>
      </c>
      <c r="G33" s="42">
        <v>7.2217899999999997E-12</v>
      </c>
      <c r="H33" s="42">
        <v>8.6316899999999997E-13</v>
      </c>
      <c r="I33" s="44">
        <v>70</v>
      </c>
      <c r="J33" s="39">
        <f t="shared" si="3"/>
        <v>0.53617465160998135</v>
      </c>
      <c r="K33" s="37">
        <f>6/I33</f>
        <v>8.5714285714285715E-2</v>
      </c>
      <c r="L33" s="37">
        <f t="shared" si="0"/>
        <v>13.469100000000001</v>
      </c>
      <c r="M33" s="45">
        <v>0.61608399999999996</v>
      </c>
      <c r="N33" t="s">
        <v>34</v>
      </c>
      <c r="O33">
        <v>-10.78</v>
      </c>
      <c r="P33">
        <v>-14.04</v>
      </c>
      <c r="R33" s="35">
        <v>1.3</v>
      </c>
      <c r="S33">
        <v>1.3</v>
      </c>
      <c r="T33">
        <v>3.23</v>
      </c>
      <c r="U33">
        <v>2.76</v>
      </c>
      <c r="V33">
        <v>2.72</v>
      </c>
      <c r="W33">
        <v>2.72</v>
      </c>
      <c r="X33">
        <v>2.88</v>
      </c>
      <c r="Y33">
        <v>2.88</v>
      </c>
      <c r="Z33">
        <v>71</v>
      </c>
      <c r="AA33">
        <v>42</v>
      </c>
      <c r="AB33" t="s">
        <v>29</v>
      </c>
      <c r="AC33">
        <v>-12.27</v>
      </c>
      <c r="AD33">
        <v>-13.46</v>
      </c>
      <c r="AF33">
        <v>0.86</v>
      </c>
      <c r="AG33">
        <v>0.86</v>
      </c>
      <c r="AH33" t="s">
        <v>31</v>
      </c>
      <c r="AI33">
        <v>-17.29</v>
      </c>
      <c r="AJ33">
        <v>-0.35</v>
      </c>
      <c r="AK33">
        <v>0.06</v>
      </c>
      <c r="AL33" t="s">
        <v>32</v>
      </c>
      <c r="AM33">
        <v>-2.1</v>
      </c>
      <c r="AN33">
        <v>-22.11</v>
      </c>
      <c r="AO33">
        <v>0.08</v>
      </c>
      <c r="AP33" s="35" t="s">
        <v>33</v>
      </c>
      <c r="AQ33" s="35">
        <v>0</v>
      </c>
      <c r="AR33">
        <f>AG33+AK33</f>
        <v>0.91999999999999993</v>
      </c>
      <c r="AS33">
        <f>AG33+AO33</f>
        <v>0.94</v>
      </c>
      <c r="BD33" s="35"/>
      <c r="BE33" s="35"/>
      <c r="BF33" s="35"/>
      <c r="BG33" s="35"/>
      <c r="BH33" s="35"/>
      <c r="BI33" s="35"/>
      <c r="BJ33" s="35"/>
      <c r="BK33" s="35"/>
      <c r="BL33" s="35"/>
      <c r="BM33" t="s">
        <v>34</v>
      </c>
      <c r="BN33" s="35" t="s">
        <v>75</v>
      </c>
      <c r="BO33">
        <v>-7.38</v>
      </c>
      <c r="BP33">
        <v>-4.49</v>
      </c>
      <c r="BS33">
        <v>0.61</v>
      </c>
      <c r="BT33">
        <v>2.65</v>
      </c>
      <c r="BU33">
        <v>2.61</v>
      </c>
      <c r="BV33">
        <v>0.61</v>
      </c>
      <c r="BW33">
        <v>4.29</v>
      </c>
      <c r="BX33">
        <v>4.9800000000000004</v>
      </c>
      <c r="BY33">
        <v>1.6</v>
      </c>
      <c r="BZ33">
        <v>56</v>
      </c>
      <c r="CA33">
        <v>1</v>
      </c>
      <c r="CB33">
        <v>39</v>
      </c>
      <c r="CC33">
        <v>0.59</v>
      </c>
      <c r="CD33">
        <v>0.21</v>
      </c>
      <c r="CE33">
        <v>0.18</v>
      </c>
      <c r="CF33">
        <v>0.02</v>
      </c>
      <c r="CG33" s="29">
        <f>48.583434853262/100</f>
        <v>0.48583434853261998</v>
      </c>
      <c r="CH33" s="29"/>
      <c r="CI33" s="29">
        <f>66.1571574139081/100</f>
        <v>0.66157157413908096</v>
      </c>
    </row>
    <row r="34" spans="1:87" s="35" customFormat="1">
      <c r="A34" s="51" t="s">
        <v>82</v>
      </c>
      <c r="B34" s="38" t="s">
        <v>52</v>
      </c>
      <c r="D34" s="136">
        <v>18.445699999999999</v>
      </c>
      <c r="E34" s="58">
        <f>0.00000000000928579*1000000000000</f>
        <v>9.2857900000000004</v>
      </c>
      <c r="F34" s="42">
        <v>-5.3034199999999996E-12</v>
      </c>
      <c r="G34" s="42">
        <v>4.4535399999999996E-12</v>
      </c>
      <c r="H34" s="42">
        <v>5.4408599999999997E-13</v>
      </c>
      <c r="I34" s="44">
        <v>67</v>
      </c>
      <c r="J34" s="39">
        <f t="shared" ref="J34:J40" si="12">-G34/F34</f>
        <v>0.83974869046766043</v>
      </c>
      <c r="K34" s="37">
        <f>15/I34</f>
        <v>0.22388059701492538</v>
      </c>
      <c r="L34" s="37">
        <f t="shared" ref="L34:L40" si="13">F34*-1000000000000</f>
        <v>5.30342</v>
      </c>
      <c r="M34" s="45">
        <v>0.56023000000000001</v>
      </c>
      <c r="N34" s="35" t="s">
        <v>34</v>
      </c>
      <c r="O34" s="35">
        <v>-5.2</v>
      </c>
      <c r="P34" s="35">
        <v>-3.19</v>
      </c>
      <c r="Q34" s="35">
        <v>-3.04</v>
      </c>
      <c r="R34" s="35">
        <v>0.59</v>
      </c>
      <c r="S34" s="35">
        <v>0.61</v>
      </c>
      <c r="T34" s="35">
        <v>2.46</v>
      </c>
      <c r="U34" s="35">
        <v>2.87</v>
      </c>
      <c r="V34" s="35">
        <v>2.0699999999999998</v>
      </c>
      <c r="W34" s="35">
        <v>2.0299999999999998</v>
      </c>
      <c r="X34" s="35">
        <v>5.14</v>
      </c>
      <c r="Y34" s="35">
        <v>4.08</v>
      </c>
      <c r="Z34" s="35">
        <v>69</v>
      </c>
      <c r="AA34" s="35">
        <v>50</v>
      </c>
      <c r="AB34" s="35" t="s">
        <v>29</v>
      </c>
      <c r="AC34" s="35">
        <v>-6.38</v>
      </c>
      <c r="AD34" s="35">
        <v>-5.09</v>
      </c>
      <c r="AE34" s="35">
        <v>-4.9800000000000004</v>
      </c>
      <c r="AF34" s="35">
        <v>0.8</v>
      </c>
      <c r="AG34" s="35">
        <v>0.42</v>
      </c>
      <c r="AH34" s="35" t="s">
        <v>31</v>
      </c>
      <c r="AI34" s="35">
        <v>-7.85</v>
      </c>
      <c r="AJ34" s="35">
        <v>1.05</v>
      </c>
      <c r="AK34" s="35">
        <v>0.36</v>
      </c>
      <c r="AL34" s="35" t="s">
        <v>32</v>
      </c>
      <c r="AM34" s="35">
        <v>1.1299999999999999</v>
      </c>
      <c r="AN34" s="35">
        <v>-6.06</v>
      </c>
      <c r="AO34" s="35">
        <v>0.16</v>
      </c>
      <c r="AP34" s="35" t="s">
        <v>33</v>
      </c>
      <c r="AQ34" s="35">
        <v>0.06</v>
      </c>
      <c r="AR34" s="35">
        <f t="shared" ref="AR34:AR40" si="14">AG34+AK34</f>
        <v>0.78</v>
      </c>
      <c r="AS34" s="35">
        <f t="shared" ref="AS34:AS40" si="15">AG34+AO34</f>
        <v>0.57999999999999996</v>
      </c>
    </row>
    <row r="35" spans="1:87" s="35" customFormat="1">
      <c r="A35" s="51" t="s">
        <v>85</v>
      </c>
      <c r="B35" s="38" t="s">
        <v>36</v>
      </c>
      <c r="C35" s="35" t="s">
        <v>209</v>
      </c>
      <c r="D35" s="58">
        <f>14544300*0.000001</f>
        <v>14.5443</v>
      </c>
      <c r="E35" s="58">
        <f>-0.0000000000742557*1000000000000</f>
        <v>-74.25569999999999</v>
      </c>
      <c r="F35" s="42">
        <v>-1.56571E-11</v>
      </c>
      <c r="G35" s="42">
        <v>7.2005199999999997E-12</v>
      </c>
      <c r="H35" s="42">
        <v>9.0718100000000005E-13</v>
      </c>
      <c r="I35" s="44">
        <v>63</v>
      </c>
      <c r="J35" s="39">
        <f t="shared" si="12"/>
        <v>0.45988848509621832</v>
      </c>
      <c r="K35" s="37">
        <f>5/I35</f>
        <v>7.9365079365079361E-2</v>
      </c>
      <c r="L35" s="37">
        <f t="shared" si="13"/>
        <v>15.6571</v>
      </c>
      <c r="M35" s="45">
        <v>0.42204000000000003</v>
      </c>
      <c r="N35" s="35" t="s">
        <v>34</v>
      </c>
      <c r="O35" s="35">
        <v>-14.85</v>
      </c>
      <c r="P35" s="35">
        <v>-13.48</v>
      </c>
      <c r="R35" s="35">
        <v>0.91</v>
      </c>
      <c r="S35" s="35">
        <v>0.91</v>
      </c>
      <c r="T35" s="35">
        <v>3.04</v>
      </c>
      <c r="U35" s="35">
        <v>2.97</v>
      </c>
      <c r="V35" s="35">
        <v>0.95</v>
      </c>
      <c r="W35" s="35">
        <v>20.87</v>
      </c>
      <c r="X35" s="35">
        <v>5.88</v>
      </c>
      <c r="Y35" s="35">
        <v>1.98</v>
      </c>
      <c r="Z35" s="35">
        <v>10</v>
      </c>
      <c r="AA35" s="35">
        <v>7</v>
      </c>
      <c r="AB35" s="35" t="s">
        <v>29</v>
      </c>
      <c r="AC35" s="35">
        <v>-14.81</v>
      </c>
      <c r="AD35" s="35">
        <v>-13.46</v>
      </c>
      <c r="AG35" s="35">
        <v>0.91</v>
      </c>
      <c r="AH35" s="35" t="s">
        <v>31</v>
      </c>
      <c r="AK35" s="35">
        <v>0</v>
      </c>
      <c r="AL35" s="35" t="s">
        <v>32</v>
      </c>
      <c r="AO35" s="35">
        <v>0</v>
      </c>
      <c r="AP35" s="35" t="s">
        <v>33</v>
      </c>
      <c r="AQ35" s="35">
        <v>0</v>
      </c>
      <c r="AR35" s="35">
        <f t="shared" si="14"/>
        <v>0.91</v>
      </c>
      <c r="AS35" s="35">
        <f t="shared" si="15"/>
        <v>0.91</v>
      </c>
      <c r="AT35" s="35" t="s">
        <v>34</v>
      </c>
      <c r="AU35" s="35">
        <v>-14.51</v>
      </c>
      <c r="AV35" s="35">
        <v>-14.79</v>
      </c>
      <c r="AW35" s="35">
        <f>AV35/AU35</f>
        <v>1.0192970365265335</v>
      </c>
      <c r="AX35" s="35">
        <v>-16.7</v>
      </c>
      <c r="AY35" s="35">
        <v>-14.65</v>
      </c>
      <c r="AZ35" s="35">
        <f>AY35/AX35</f>
        <v>0.87724550898203602</v>
      </c>
      <c r="BA35" s="35">
        <v>-14.85</v>
      </c>
      <c r="BC35" s="35">
        <v>0.91</v>
      </c>
      <c r="BD35" s="35">
        <v>-16.190000000000001</v>
      </c>
      <c r="BE35" s="35">
        <v>-20.64</v>
      </c>
      <c r="BF35" s="35">
        <v>1.27</v>
      </c>
      <c r="BG35" s="35">
        <v>-14.39</v>
      </c>
      <c r="BH35" s="35">
        <v>-20.11</v>
      </c>
      <c r="BI35" s="35">
        <v>1.4</v>
      </c>
      <c r="BJ35" s="35">
        <v>-20.91</v>
      </c>
      <c r="BK35" s="35">
        <v>-13.65</v>
      </c>
      <c r="BL35" s="35">
        <v>0.65</v>
      </c>
      <c r="BM35" s="35" t="s">
        <v>34</v>
      </c>
      <c r="BN35" s="35" t="s">
        <v>75</v>
      </c>
      <c r="BO35" s="35">
        <v>-13.16</v>
      </c>
      <c r="BP35" s="35">
        <v>-12.94</v>
      </c>
      <c r="BS35" s="35">
        <v>0.98</v>
      </c>
      <c r="BT35" s="35">
        <v>3.05</v>
      </c>
      <c r="BU35" s="35">
        <v>3.01</v>
      </c>
      <c r="BV35" s="35">
        <v>1.1000000000000001</v>
      </c>
      <c r="BW35" s="35">
        <v>1.48</v>
      </c>
      <c r="BX35" s="35">
        <v>5.65</v>
      </c>
      <c r="BY35" s="35">
        <v>3.92</v>
      </c>
      <c r="BZ35" s="35">
        <v>41</v>
      </c>
      <c r="CA35" s="35">
        <v>1</v>
      </c>
      <c r="CB35" s="35">
        <v>35</v>
      </c>
      <c r="CC35" s="35">
        <v>0.93</v>
      </c>
      <c r="CD35" s="35">
        <v>0.02</v>
      </c>
      <c r="CE35" s="35">
        <v>0.05</v>
      </c>
      <c r="CF35" s="35">
        <v>0</v>
      </c>
      <c r="CG35" s="39">
        <f>91.4719282160773/100</f>
        <v>0.91471928216077303</v>
      </c>
      <c r="CH35" s="35">
        <v>1.09395</v>
      </c>
      <c r="CI35" s="35">
        <f>89.6805672619786/100</f>
        <v>0.89680567261978594</v>
      </c>
    </row>
    <row r="36" spans="1:87" s="35" customFormat="1">
      <c r="A36" s="51" t="s">
        <v>90</v>
      </c>
      <c r="B36" s="38" t="s">
        <v>36</v>
      </c>
      <c r="C36" s="35" t="s">
        <v>209</v>
      </c>
      <c r="D36" s="58">
        <f>12389100*0.000001</f>
        <v>12.389099999999999</v>
      </c>
      <c r="E36" s="58">
        <f>-0.0000000000182354*1000000000000</f>
        <v>-18.235400000000002</v>
      </c>
      <c r="F36" s="42">
        <v>-1.0956900000000001E-11</v>
      </c>
      <c r="G36" s="42">
        <v>5.8803600000000002E-12</v>
      </c>
      <c r="H36" s="42">
        <v>7.7212999999999996E-13</v>
      </c>
      <c r="I36" s="44">
        <v>58</v>
      </c>
      <c r="J36" s="39">
        <f t="shared" si="12"/>
        <v>0.53668099553705884</v>
      </c>
      <c r="K36" s="37">
        <f>4/I36</f>
        <v>6.8965517241379309E-2</v>
      </c>
      <c r="L36" s="37">
        <f t="shared" si="13"/>
        <v>10.956900000000001</v>
      </c>
      <c r="M36" s="45">
        <v>0.60333999999999999</v>
      </c>
      <c r="N36" s="35" t="s">
        <v>34</v>
      </c>
      <c r="O36" s="35">
        <v>-10.14</v>
      </c>
      <c r="P36" s="35">
        <v>-5.43</v>
      </c>
      <c r="R36" s="35">
        <v>0.54</v>
      </c>
      <c r="S36" s="35">
        <v>0.54</v>
      </c>
      <c r="T36" s="35">
        <v>2.2000000000000002</v>
      </c>
      <c r="U36" s="35">
        <v>2.2999999999999998</v>
      </c>
      <c r="V36" s="35">
        <v>0.28000000000000003</v>
      </c>
      <c r="W36" s="35">
        <v>8.9600000000000009</v>
      </c>
      <c r="X36" s="35">
        <v>15.17</v>
      </c>
      <c r="Y36" s="35">
        <v>1.86</v>
      </c>
      <c r="Z36" s="35">
        <v>11</v>
      </c>
      <c r="AA36" s="35">
        <v>5</v>
      </c>
      <c r="AB36" s="35" t="s">
        <v>29</v>
      </c>
      <c r="AC36" s="35">
        <v>-10.1</v>
      </c>
      <c r="AD36" s="35">
        <v>-5.36</v>
      </c>
      <c r="AG36" s="35">
        <v>0.53</v>
      </c>
      <c r="AH36" s="35" t="s">
        <v>31</v>
      </c>
      <c r="AK36" s="35">
        <v>0.27</v>
      </c>
      <c r="AL36" s="35" t="s">
        <v>32</v>
      </c>
      <c r="AO36" s="35">
        <v>0</v>
      </c>
      <c r="AP36" s="35" t="s">
        <v>33</v>
      </c>
      <c r="AQ36" s="35">
        <v>0</v>
      </c>
      <c r="AR36" s="35">
        <f t="shared" si="14"/>
        <v>0.8</v>
      </c>
      <c r="AS36" s="35">
        <f t="shared" si="15"/>
        <v>0.53</v>
      </c>
      <c r="AT36" s="35" t="s">
        <v>34</v>
      </c>
      <c r="AU36" s="35">
        <v>-11.81</v>
      </c>
      <c r="AV36" s="35">
        <v>-5.87</v>
      </c>
      <c r="AW36" s="35">
        <v>0.5</v>
      </c>
      <c r="AX36" s="35">
        <v>-8.7200000000000006</v>
      </c>
      <c r="AY36" s="35">
        <v>-9.5399999999999903</v>
      </c>
      <c r="AZ36" s="35">
        <v>1.0900000000000001</v>
      </c>
      <c r="BA36" s="35">
        <v>-10.14</v>
      </c>
      <c r="BC36" s="35">
        <v>0.54</v>
      </c>
      <c r="BD36" s="35">
        <v>-10.93</v>
      </c>
      <c r="BE36" s="35">
        <v>-11.7</v>
      </c>
      <c r="BF36" s="35">
        <v>1.07</v>
      </c>
      <c r="BG36" s="35">
        <v>-13.65</v>
      </c>
      <c r="BH36" s="35">
        <v>-3.41</v>
      </c>
      <c r="BI36" s="33">
        <v>0.25</v>
      </c>
      <c r="BJ36" s="35">
        <v>-5.7</v>
      </c>
      <c r="BK36" s="35">
        <v>-5.09</v>
      </c>
      <c r="BL36" s="35">
        <v>0.89</v>
      </c>
      <c r="BM36" s="35" t="s">
        <v>34</v>
      </c>
      <c r="BN36" s="35" t="s">
        <v>75</v>
      </c>
      <c r="BO36" s="35">
        <v>-5.36</v>
      </c>
      <c r="BP36" s="35">
        <v>-1.46</v>
      </c>
      <c r="BS36" s="35">
        <v>0.27</v>
      </c>
      <c r="BT36" s="35">
        <v>2.12</v>
      </c>
      <c r="BU36" s="35">
        <v>2.15</v>
      </c>
      <c r="BV36" s="35">
        <v>0.57999999999999996</v>
      </c>
      <c r="BW36" s="35">
        <v>0.71</v>
      </c>
      <c r="BX36" s="35">
        <v>3.1</v>
      </c>
      <c r="BY36" s="35">
        <v>3.42</v>
      </c>
      <c r="BZ36" s="35">
        <v>40</v>
      </c>
      <c r="CA36" s="35">
        <v>1</v>
      </c>
      <c r="CB36" s="35">
        <v>24</v>
      </c>
      <c r="CC36" s="35">
        <v>0.53</v>
      </c>
      <c r="CD36" s="35">
        <v>0.25</v>
      </c>
      <c r="CE36" s="35">
        <v>0.08</v>
      </c>
      <c r="CF36" s="35">
        <v>0.15</v>
      </c>
      <c r="CG36" s="39">
        <f>58.425166857425/100</f>
        <v>0.58425166857424993</v>
      </c>
      <c r="CH36" s="35">
        <v>0.99513399999999996</v>
      </c>
      <c r="CI36" s="35">
        <f>66.1662656985821/100</f>
        <v>0.66166265698582094</v>
      </c>
    </row>
    <row r="37" spans="1:87" s="35" customFormat="1">
      <c r="A37" s="51" t="s">
        <v>91</v>
      </c>
      <c r="B37" s="38" t="s">
        <v>36</v>
      </c>
      <c r="C37" s="35" t="s">
        <v>209</v>
      </c>
      <c r="D37" s="136">
        <v>18.356100000000001</v>
      </c>
      <c r="E37" s="58">
        <f>-0.000000000128987*1000000000000</f>
        <v>-128.98700000000002</v>
      </c>
      <c r="F37" s="42">
        <v>-5.4374400000000002E-11</v>
      </c>
      <c r="G37" s="42">
        <v>1.7255400000000001E-11</v>
      </c>
      <c r="H37" s="42">
        <v>2.8758999999999999E-12</v>
      </c>
      <c r="I37" s="44">
        <v>36</v>
      </c>
      <c r="J37" s="39">
        <f t="shared" si="12"/>
        <v>0.3173441913841808</v>
      </c>
      <c r="K37" s="37">
        <v>0</v>
      </c>
      <c r="L37" s="37">
        <f t="shared" si="13"/>
        <v>54.374400000000001</v>
      </c>
      <c r="M37" s="45">
        <v>0.198186</v>
      </c>
      <c r="N37" s="35" t="s">
        <v>34</v>
      </c>
      <c r="O37" s="35">
        <v>-45.7</v>
      </c>
      <c r="P37" s="35">
        <v>-47.29</v>
      </c>
      <c r="Q37" s="35">
        <v>-44.41</v>
      </c>
      <c r="R37" s="35">
        <v>0.97</v>
      </c>
      <c r="S37" s="35">
        <v>1.03</v>
      </c>
      <c r="T37" s="35">
        <v>2.4300000000000002</v>
      </c>
      <c r="U37" s="35">
        <v>2.25</v>
      </c>
      <c r="V37" s="35">
        <v>1.45</v>
      </c>
      <c r="W37" s="35">
        <v>1.22</v>
      </c>
      <c r="X37" s="35">
        <v>6.59</v>
      </c>
      <c r="Y37" s="35">
        <v>6.41</v>
      </c>
      <c r="Z37" s="35">
        <v>11</v>
      </c>
      <c r="AA37" s="35">
        <v>8</v>
      </c>
      <c r="AB37" s="35" t="s">
        <v>29</v>
      </c>
      <c r="AC37" s="35">
        <v>-45.7</v>
      </c>
      <c r="AD37" s="35">
        <v>-47.29</v>
      </c>
      <c r="AE37" s="35">
        <v>-44.41</v>
      </c>
      <c r="AF37" s="35">
        <v>0.97</v>
      </c>
      <c r="AG37" s="35">
        <v>1</v>
      </c>
      <c r="AH37" s="35" t="s">
        <v>31</v>
      </c>
      <c r="AK37" s="35">
        <v>0</v>
      </c>
      <c r="AL37" s="35" t="s">
        <v>32</v>
      </c>
      <c r="AO37" s="35">
        <v>0</v>
      </c>
      <c r="AP37" s="35" t="s">
        <v>33</v>
      </c>
      <c r="AQ37" s="35">
        <v>0</v>
      </c>
      <c r="AR37" s="35">
        <f t="shared" si="14"/>
        <v>1</v>
      </c>
      <c r="AS37" s="35">
        <f t="shared" si="15"/>
        <v>1</v>
      </c>
      <c r="AT37" s="35" t="s">
        <v>34</v>
      </c>
      <c r="AU37" s="35">
        <v>-52.42</v>
      </c>
      <c r="AV37" s="35">
        <v>-42.43</v>
      </c>
      <c r="AW37" s="35">
        <v>0.81</v>
      </c>
      <c r="AX37" s="35">
        <v>-38.56</v>
      </c>
      <c r="AY37" s="35">
        <v>-42.74</v>
      </c>
      <c r="AZ37" s="35">
        <v>1.1100000000000001</v>
      </c>
      <c r="BA37" s="35">
        <v>-45.7</v>
      </c>
      <c r="BB37" s="35">
        <v>-44.41</v>
      </c>
      <c r="BC37" s="35">
        <v>0.97</v>
      </c>
      <c r="BD37" s="35">
        <v>-50.26</v>
      </c>
      <c r="BE37" s="35">
        <v>-46.52</v>
      </c>
      <c r="BF37" s="35">
        <v>0.93</v>
      </c>
      <c r="BG37" s="35">
        <v>-51.69</v>
      </c>
      <c r="BH37" s="35">
        <v>-48.79</v>
      </c>
      <c r="BI37" s="35">
        <v>0.93999999999999895</v>
      </c>
      <c r="BJ37" s="35">
        <v>-49.25</v>
      </c>
      <c r="BK37" s="35">
        <v>-43.57</v>
      </c>
      <c r="BL37" s="35">
        <v>0.88</v>
      </c>
      <c r="BM37" s="35" t="s">
        <v>34</v>
      </c>
      <c r="BN37" s="35" t="s">
        <v>75</v>
      </c>
      <c r="BO37" s="35">
        <v>-72.92</v>
      </c>
      <c r="BP37" s="35">
        <v>-48.5</v>
      </c>
      <c r="BQ37" s="35">
        <v>-45.59</v>
      </c>
      <c r="BR37" s="35">
        <v>0.63</v>
      </c>
      <c r="BS37" s="35">
        <v>0.67</v>
      </c>
      <c r="BT37" s="35">
        <v>2.27</v>
      </c>
      <c r="BU37" s="35">
        <v>2.21</v>
      </c>
      <c r="BV37" s="35">
        <v>1.07</v>
      </c>
      <c r="BW37" s="35">
        <v>1.06</v>
      </c>
      <c r="BX37" s="35">
        <v>5.89</v>
      </c>
      <c r="BY37" s="35">
        <v>6.34</v>
      </c>
      <c r="BZ37" s="35">
        <v>57</v>
      </c>
      <c r="CA37" s="35">
        <v>1</v>
      </c>
      <c r="CB37" s="35">
        <v>53</v>
      </c>
      <c r="CC37" s="35">
        <v>1</v>
      </c>
      <c r="CD37" s="35">
        <v>0</v>
      </c>
      <c r="CE37" s="35">
        <v>0</v>
      </c>
      <c r="CF37" s="35">
        <v>0</v>
      </c>
      <c r="CG37" s="39">
        <f>157.600916931465/100</f>
        <v>1.5760091693146501</v>
      </c>
      <c r="CH37" s="35">
        <v>1.25135</v>
      </c>
      <c r="CI37" s="35">
        <f>144.955878719067/100</f>
        <v>1.4495587871906699</v>
      </c>
    </row>
    <row r="38" spans="1:87" s="35" customFormat="1">
      <c r="A38" s="51" t="s">
        <v>93</v>
      </c>
      <c r="B38" s="38" t="s">
        <v>52</v>
      </c>
      <c r="C38" s="35" t="s">
        <v>209</v>
      </c>
      <c r="D38" s="136">
        <f>20620500*0.000001</f>
        <v>20.6205</v>
      </c>
      <c r="E38" s="58">
        <f>-0.0000000000947786*1000000000000</f>
        <v>-94.778599999999997</v>
      </c>
      <c r="F38" s="42">
        <v>-1.12716E-11</v>
      </c>
      <c r="G38" s="42">
        <v>8.2888499999999998E-12</v>
      </c>
      <c r="H38" s="42">
        <v>1.0700899999999999E-12</v>
      </c>
      <c r="I38" s="44">
        <v>60</v>
      </c>
      <c r="J38" s="39">
        <f t="shared" si="12"/>
        <v>0.73537474715213458</v>
      </c>
      <c r="K38" s="37">
        <f>9/60</f>
        <v>0.15</v>
      </c>
      <c r="L38" s="37">
        <f t="shared" si="13"/>
        <v>11.271599999999999</v>
      </c>
      <c r="M38" s="45">
        <v>0.67110899999999996</v>
      </c>
      <c r="N38" s="35" t="s">
        <v>34</v>
      </c>
      <c r="O38" s="35">
        <v>-13.38</v>
      </c>
      <c r="P38" s="35">
        <v>-15.76</v>
      </c>
      <c r="Q38" s="35">
        <v>-15.55</v>
      </c>
      <c r="R38" s="35">
        <v>1.1599999999999999</v>
      </c>
      <c r="S38" s="35">
        <v>1.18</v>
      </c>
      <c r="T38" s="35">
        <v>3.35</v>
      </c>
      <c r="U38" s="35">
        <v>3.2</v>
      </c>
      <c r="V38" s="35">
        <v>2.04</v>
      </c>
      <c r="W38" s="35">
        <v>1.71</v>
      </c>
      <c r="X38" s="35">
        <v>4.41</v>
      </c>
      <c r="Y38" s="35">
        <v>5.87</v>
      </c>
      <c r="Z38" s="35">
        <v>22</v>
      </c>
      <c r="AA38" s="35">
        <v>17</v>
      </c>
      <c r="AB38" s="35" t="s">
        <v>29</v>
      </c>
      <c r="AC38" s="35">
        <v>-13.99</v>
      </c>
      <c r="AD38" s="35">
        <v>-16.79</v>
      </c>
      <c r="AE38" s="35">
        <v>-16.45</v>
      </c>
      <c r="AF38" s="35">
        <v>1.18</v>
      </c>
      <c r="AG38" s="35">
        <v>0.82</v>
      </c>
      <c r="AH38" s="35" t="s">
        <v>31</v>
      </c>
      <c r="AI38" s="35">
        <v>-30.59</v>
      </c>
      <c r="AJ38" s="35">
        <v>9.3699999999999992</v>
      </c>
      <c r="AK38" s="35">
        <v>0.09</v>
      </c>
      <c r="AL38" s="35" t="s">
        <v>32</v>
      </c>
      <c r="AM38" s="35">
        <v>1.75</v>
      </c>
      <c r="AN38" s="35">
        <v>-18.64</v>
      </c>
      <c r="AO38" s="35">
        <v>0.09</v>
      </c>
      <c r="AP38" s="35" t="s">
        <v>33</v>
      </c>
      <c r="AQ38" s="35">
        <v>0</v>
      </c>
      <c r="AR38" s="35">
        <f t="shared" si="14"/>
        <v>0.90999999999999992</v>
      </c>
      <c r="AS38" s="35">
        <f t="shared" si="15"/>
        <v>0.90999999999999992</v>
      </c>
      <c r="AT38" s="35" t="s">
        <v>34</v>
      </c>
      <c r="AU38" s="35">
        <v>-8.99</v>
      </c>
      <c r="AV38" s="35">
        <v>-19.57</v>
      </c>
      <c r="AW38" s="35">
        <v>2.1800000000000002</v>
      </c>
      <c r="AX38" s="35">
        <v>-12.8</v>
      </c>
      <c r="AY38" s="35">
        <v>-15.28</v>
      </c>
      <c r="AZ38" s="35">
        <v>1.19</v>
      </c>
      <c r="BA38" s="35">
        <v>-13.38</v>
      </c>
      <c r="BB38" s="35">
        <v>-15.55</v>
      </c>
      <c r="BC38" s="35">
        <v>1.1599999999999999</v>
      </c>
      <c r="BD38" s="35">
        <v>-11.39</v>
      </c>
      <c r="BE38" s="35">
        <v>-13.59</v>
      </c>
      <c r="BF38" s="35">
        <v>1.19</v>
      </c>
      <c r="BG38" s="35">
        <v>-8.3800000000000008</v>
      </c>
      <c r="BH38" s="35">
        <v>-13.59</v>
      </c>
      <c r="BI38" s="35">
        <v>1.62</v>
      </c>
      <c r="BJ38" s="35">
        <v>-9.58</v>
      </c>
      <c r="BK38" s="35">
        <v>-9.81</v>
      </c>
      <c r="BL38" s="35">
        <v>1.02</v>
      </c>
      <c r="BM38" s="35" t="s">
        <v>34</v>
      </c>
      <c r="BN38" s="35" t="s">
        <v>75</v>
      </c>
      <c r="BO38" s="35">
        <v>-9.2200000000000006</v>
      </c>
      <c r="BP38" s="35">
        <v>-12.7</v>
      </c>
      <c r="BQ38" s="35">
        <v>-12.24</v>
      </c>
      <c r="BR38" s="35">
        <v>1.33</v>
      </c>
      <c r="BS38" s="35">
        <v>1.38</v>
      </c>
      <c r="BT38" s="35">
        <v>3.53</v>
      </c>
      <c r="BU38" s="35">
        <v>3.21</v>
      </c>
      <c r="BV38" s="35">
        <v>0.86</v>
      </c>
      <c r="BW38" s="35">
        <v>2.4900000000000002</v>
      </c>
      <c r="BX38" s="35">
        <v>6.49</v>
      </c>
      <c r="BY38" s="35">
        <v>4.0999999999999996</v>
      </c>
      <c r="BZ38" s="35">
        <v>47</v>
      </c>
      <c r="CA38" s="35">
        <v>1</v>
      </c>
      <c r="CB38" s="35">
        <v>44</v>
      </c>
      <c r="CC38" s="35">
        <v>0.85</v>
      </c>
      <c r="CD38" s="35">
        <v>0.04</v>
      </c>
      <c r="CE38" s="35">
        <v>0.11</v>
      </c>
      <c r="CF38" s="35">
        <v>0</v>
      </c>
      <c r="CG38" s="39">
        <f>85.2334064167282/100</f>
        <v>0.85233406416728197</v>
      </c>
      <c r="CH38" s="35">
        <v>1.42567</v>
      </c>
      <c r="CI38" s="35">
        <f>74.6694211802289/100</f>
        <v>0.7466942118022889</v>
      </c>
    </row>
    <row r="39" spans="1:87" s="35" customFormat="1">
      <c r="A39" s="51" t="s">
        <v>95</v>
      </c>
      <c r="B39" s="38" t="s">
        <v>36</v>
      </c>
      <c r="C39" s="35" t="s">
        <v>209</v>
      </c>
      <c r="D39" s="136">
        <f>15649500*0.000001</f>
        <v>15.6495</v>
      </c>
      <c r="E39" s="58">
        <f>-0.00000000000886225*1000000000000</f>
        <v>-8.8622500000000013</v>
      </c>
      <c r="F39" s="42">
        <v>-2.5675100000000001E-11</v>
      </c>
      <c r="G39" s="42">
        <v>1.5668599999999999E-11</v>
      </c>
      <c r="H39" s="42">
        <v>2.5759E-12</v>
      </c>
      <c r="I39" s="44">
        <v>37</v>
      </c>
      <c r="J39" s="39">
        <f t="shared" si="12"/>
        <v>0.61026441961277655</v>
      </c>
      <c r="K39" s="37">
        <f>1/37</f>
        <v>2.7027027027027029E-2</v>
      </c>
      <c r="L39" s="37">
        <f t="shared" si="13"/>
        <v>25.6751</v>
      </c>
      <c r="M39" s="45">
        <v>0.54500300000000002</v>
      </c>
      <c r="N39" s="35" t="s">
        <v>34</v>
      </c>
      <c r="O39" s="35">
        <v>-19.88</v>
      </c>
      <c r="P39" s="35">
        <v>-31.72</v>
      </c>
      <c r="Q39" s="35">
        <v>-31.22</v>
      </c>
      <c r="R39" s="35">
        <v>1.57</v>
      </c>
      <c r="S39" s="35">
        <v>1.59</v>
      </c>
      <c r="T39" s="35">
        <v>2.31</v>
      </c>
      <c r="U39" s="35">
        <v>2.2000000000000002</v>
      </c>
      <c r="V39" s="35">
        <v>1.05</v>
      </c>
      <c r="W39" s="35">
        <v>1.1299999999999999</v>
      </c>
      <c r="X39" s="35">
        <v>5.1100000000000003</v>
      </c>
      <c r="Y39" s="35">
        <v>4.6500000000000004</v>
      </c>
      <c r="Z39" s="35">
        <v>22</v>
      </c>
      <c r="AA39" s="35">
        <v>18</v>
      </c>
      <c r="AB39" s="35" t="s">
        <v>29</v>
      </c>
      <c r="AC39" s="35">
        <v>-21.84</v>
      </c>
      <c r="AD39" s="35">
        <v>-33.15</v>
      </c>
      <c r="AE39" s="35">
        <v>-32.75</v>
      </c>
      <c r="AF39" s="35">
        <v>1.5</v>
      </c>
      <c r="AG39" s="35">
        <v>0.82</v>
      </c>
      <c r="AH39" s="35" t="s">
        <v>31</v>
      </c>
      <c r="AI39" s="35">
        <v>-29.31</v>
      </c>
      <c r="AJ39" s="35">
        <v>-2.19</v>
      </c>
      <c r="AK39" s="35">
        <v>0.09</v>
      </c>
      <c r="AL39" s="35" t="s">
        <v>32</v>
      </c>
      <c r="AM39" s="35">
        <v>-1.19</v>
      </c>
      <c r="AN39" s="35">
        <v>-53.25</v>
      </c>
      <c r="AO39" s="35">
        <v>0.09</v>
      </c>
      <c r="AP39" s="35" t="s">
        <v>33</v>
      </c>
      <c r="AQ39" s="35">
        <v>0</v>
      </c>
      <c r="AR39" s="35">
        <f t="shared" si="14"/>
        <v>0.90999999999999992</v>
      </c>
      <c r="AS39" s="35">
        <f t="shared" si="15"/>
        <v>0.90999999999999992</v>
      </c>
      <c r="AT39" s="35" t="s">
        <v>34</v>
      </c>
      <c r="AU39" s="35">
        <v>-29.5</v>
      </c>
      <c r="AV39" s="35">
        <v>-26.24</v>
      </c>
      <c r="AW39" s="35">
        <v>0.89</v>
      </c>
      <c r="AX39" s="35">
        <v>-22.63</v>
      </c>
      <c r="AY39" s="35">
        <v>-36.64</v>
      </c>
      <c r="AZ39" s="35">
        <v>1.62</v>
      </c>
      <c r="BA39" s="35">
        <v>-19.88</v>
      </c>
      <c r="BB39" s="35">
        <v>-31.22</v>
      </c>
      <c r="BC39" s="35">
        <v>1.57</v>
      </c>
      <c r="BD39" s="35">
        <v>-23.49</v>
      </c>
      <c r="BE39" s="35">
        <v>-35.32</v>
      </c>
      <c r="BF39" s="35">
        <v>1.5</v>
      </c>
      <c r="BG39" s="35">
        <v>-28.84</v>
      </c>
      <c r="BH39" s="35">
        <v>-27.3</v>
      </c>
      <c r="BI39" s="35">
        <v>0.95</v>
      </c>
      <c r="BJ39" s="35">
        <v>-19.5</v>
      </c>
      <c r="BK39" s="35">
        <v>-26.95</v>
      </c>
      <c r="BL39" s="35">
        <v>1.38</v>
      </c>
      <c r="BM39" s="35" t="s">
        <v>34</v>
      </c>
      <c r="BN39" s="35" t="s">
        <v>75</v>
      </c>
      <c r="BO39" s="35">
        <v>-41.46</v>
      </c>
      <c r="BP39" s="35">
        <v>-34.33</v>
      </c>
      <c r="BQ39" s="35">
        <v>-33.74</v>
      </c>
      <c r="BR39" s="35">
        <v>0.81</v>
      </c>
      <c r="BS39" s="35">
        <v>0.83</v>
      </c>
      <c r="BT39" s="35">
        <v>2.2599999999999998</v>
      </c>
      <c r="BU39" s="35">
        <v>2.2000000000000002</v>
      </c>
      <c r="BV39" s="35">
        <v>1.44</v>
      </c>
      <c r="BW39" s="35">
        <v>1.39</v>
      </c>
      <c r="BX39" s="35">
        <v>4.38</v>
      </c>
      <c r="BY39" s="35">
        <v>4.37</v>
      </c>
      <c r="BZ39" s="35">
        <v>41</v>
      </c>
      <c r="CA39" s="35">
        <v>1</v>
      </c>
      <c r="CB39" s="35">
        <v>39</v>
      </c>
      <c r="CC39" s="35">
        <v>0.98</v>
      </c>
      <c r="CD39" s="35">
        <v>0</v>
      </c>
      <c r="CE39" s="35">
        <v>0.02</v>
      </c>
      <c r="CF39" s="35">
        <v>0</v>
      </c>
      <c r="CG39" s="39">
        <f>142.452462520005/100</f>
        <v>1.4245246252000501</v>
      </c>
      <c r="CH39" s="35">
        <v>1.43506</v>
      </c>
      <c r="CI39" s="35">
        <f>120.096044767616/100</f>
        <v>1.2009604476761599</v>
      </c>
    </row>
    <row r="40" spans="1:87" s="29" customFormat="1">
      <c r="A40" s="64" t="s">
        <v>103</v>
      </c>
      <c r="B40" s="92" t="s">
        <v>36</v>
      </c>
      <c r="C40" s="35" t="s">
        <v>209</v>
      </c>
      <c r="D40" s="137">
        <f>24582200*0.000001</f>
        <v>24.5822</v>
      </c>
      <c r="E40" s="140">
        <f>-0.000000000149988*1000000000000</f>
        <v>-149.988</v>
      </c>
      <c r="F40" s="94">
        <v>-1.8655400000000001E-11</v>
      </c>
      <c r="G40" s="94">
        <v>1.0236100000000001E-11</v>
      </c>
      <c r="H40" s="94">
        <v>1.1819700000000001E-12</v>
      </c>
      <c r="I40" s="95">
        <v>75</v>
      </c>
      <c r="J40" s="30">
        <f t="shared" si="12"/>
        <v>0.54869367582576634</v>
      </c>
      <c r="K40" s="96">
        <f>6/75</f>
        <v>0.08</v>
      </c>
      <c r="L40" s="96">
        <f t="shared" si="13"/>
        <v>18.6554</v>
      </c>
      <c r="M40" s="93">
        <v>0.83325300000000002</v>
      </c>
      <c r="N40" s="29" t="s">
        <v>34</v>
      </c>
      <c r="O40" s="29">
        <v>-18.45</v>
      </c>
      <c r="P40" s="29">
        <v>-15.52</v>
      </c>
      <c r="Q40" s="29">
        <v>-15.05</v>
      </c>
      <c r="R40" s="29">
        <v>0.82</v>
      </c>
      <c r="S40" s="29">
        <v>0.84</v>
      </c>
      <c r="T40" s="29">
        <v>2.74</v>
      </c>
      <c r="U40" s="29">
        <v>2.68</v>
      </c>
      <c r="V40" s="29">
        <v>1.03</v>
      </c>
      <c r="W40" s="29">
        <v>1.03</v>
      </c>
      <c r="X40" s="29">
        <v>5.16</v>
      </c>
      <c r="Y40" s="29">
        <v>5.16</v>
      </c>
      <c r="Z40" s="29">
        <v>21</v>
      </c>
      <c r="AA40" s="29">
        <v>19</v>
      </c>
      <c r="AB40" s="29" t="s">
        <v>29</v>
      </c>
      <c r="AC40" s="29">
        <v>-21.56</v>
      </c>
      <c r="AD40" s="29">
        <v>-14.18</v>
      </c>
      <c r="AE40" s="29">
        <v>-13.66</v>
      </c>
      <c r="AF40" s="29">
        <v>0.63</v>
      </c>
      <c r="AG40" s="29">
        <v>0.76</v>
      </c>
      <c r="AH40" s="29" t="s">
        <v>31</v>
      </c>
      <c r="AI40" s="29">
        <v>-28.38</v>
      </c>
      <c r="AJ40" s="29">
        <v>-1.28</v>
      </c>
      <c r="AK40" s="29">
        <v>0.1</v>
      </c>
      <c r="AL40" s="29" t="s">
        <v>32</v>
      </c>
      <c r="AM40" s="29">
        <v>0.44</v>
      </c>
      <c r="AN40" s="29">
        <v>-29.53</v>
      </c>
      <c r="AO40" s="29">
        <v>0.14000000000000001</v>
      </c>
      <c r="AP40" s="29" t="s">
        <v>33</v>
      </c>
      <c r="AQ40" s="29">
        <v>0</v>
      </c>
      <c r="AR40" s="29">
        <f t="shared" si="14"/>
        <v>0.86</v>
      </c>
      <c r="AS40" s="29">
        <f t="shared" si="15"/>
        <v>0.9</v>
      </c>
      <c r="AT40" s="29" t="s">
        <v>34</v>
      </c>
      <c r="AU40" s="29">
        <v>-16.98</v>
      </c>
      <c r="AV40" s="29">
        <v>-12.54</v>
      </c>
      <c r="AW40" s="29">
        <v>0.74</v>
      </c>
      <c r="AX40" s="29">
        <v>-21.11</v>
      </c>
      <c r="AY40" s="29">
        <v>-9.11</v>
      </c>
      <c r="AZ40" s="29">
        <v>0.43</v>
      </c>
      <c r="BA40" s="29">
        <v>-18.45</v>
      </c>
      <c r="BB40" s="29">
        <v>-15.05</v>
      </c>
      <c r="BC40" s="29">
        <v>0.82</v>
      </c>
      <c r="BD40" s="29">
        <v>-18.100000000000001</v>
      </c>
      <c r="BE40" s="29">
        <v>-12.62</v>
      </c>
      <c r="BF40" s="29">
        <v>0.7</v>
      </c>
      <c r="BG40" s="29">
        <v>-14.73</v>
      </c>
      <c r="BH40" s="29">
        <v>-20.2</v>
      </c>
      <c r="BI40" s="29">
        <v>1.37</v>
      </c>
      <c r="BJ40" s="29">
        <v>-17.5</v>
      </c>
      <c r="BK40" s="29">
        <v>-17.13</v>
      </c>
      <c r="BL40" s="29">
        <v>0.98</v>
      </c>
      <c r="BM40" s="29" t="s">
        <v>34</v>
      </c>
      <c r="BN40" s="29" t="s">
        <v>75</v>
      </c>
      <c r="BO40" s="29">
        <v>-15.37</v>
      </c>
      <c r="BP40" s="29">
        <v>-10.3</v>
      </c>
      <c r="BR40" s="29">
        <v>0.67</v>
      </c>
      <c r="BS40" s="29">
        <v>0.67</v>
      </c>
      <c r="BT40" s="29">
        <v>2.59</v>
      </c>
      <c r="BU40" s="29">
        <v>2.6</v>
      </c>
      <c r="BV40" s="29">
        <v>1.42</v>
      </c>
      <c r="BW40" s="29">
        <v>1.41</v>
      </c>
      <c r="BX40" s="29">
        <v>3.58</v>
      </c>
      <c r="BY40" s="29">
        <v>3.58</v>
      </c>
      <c r="BZ40" s="29">
        <v>43</v>
      </c>
      <c r="CA40" s="29">
        <v>1</v>
      </c>
      <c r="CB40" s="29">
        <v>33</v>
      </c>
      <c r="CC40" s="29">
        <v>0.88</v>
      </c>
      <c r="CD40" s="29">
        <v>7.0000000000000007E-2</v>
      </c>
      <c r="CE40" s="29">
        <v>0.05</v>
      </c>
      <c r="CF40" s="29">
        <v>0</v>
      </c>
      <c r="CG40" s="30">
        <f>82.4960243572358/100</f>
        <v>0.82496024357235798</v>
      </c>
      <c r="CH40" s="29">
        <v>0.97191300000000003</v>
      </c>
      <c r="CI40" s="29">
        <f>115.130694127326/100</f>
        <v>1.1513069412732599</v>
      </c>
    </row>
    <row r="41" spans="1:87">
      <c r="A41" s="87" t="s">
        <v>99</v>
      </c>
      <c r="B41" s="55" t="s">
        <v>36</v>
      </c>
      <c r="C41" t="s">
        <v>64</v>
      </c>
      <c r="D41" s="138">
        <f>30345600*0.000001</f>
        <v>30.345599999999997</v>
      </c>
      <c r="E41" s="138">
        <f>-0.0000000000885813*1000000000000</f>
        <v>-88.581299999999999</v>
      </c>
      <c r="F41" s="18">
        <v>-9.4236500000000001E-12</v>
      </c>
      <c r="G41" s="18">
        <v>5.3275199999999999E-12</v>
      </c>
      <c r="H41" s="18">
        <f>G41/SQRT(I41)</f>
        <v>6.6079752921869984E-13</v>
      </c>
      <c r="I41">
        <v>65</v>
      </c>
      <c r="J41" s="39">
        <f>-G41/F41</f>
        <v>0.56533508778445718</v>
      </c>
      <c r="K41" s="20">
        <f>5/I41</f>
        <v>7.6923076923076927E-2</v>
      </c>
      <c r="L41" s="10">
        <f>F41*-1000000000000</f>
        <v>9.4236500000000003</v>
      </c>
      <c r="M41" s="28">
        <v>0.42490600000000001</v>
      </c>
      <c r="N41" t="s">
        <v>34</v>
      </c>
      <c r="O41">
        <v>-7.62</v>
      </c>
      <c r="P41">
        <v>-8.15</v>
      </c>
      <c r="R41">
        <v>1.07</v>
      </c>
      <c r="S41">
        <v>1.07</v>
      </c>
      <c r="T41">
        <v>2.31</v>
      </c>
      <c r="U41">
        <v>2.2799999999999998</v>
      </c>
      <c r="V41">
        <v>0.54</v>
      </c>
      <c r="W41">
        <v>1.1599999999999999</v>
      </c>
      <c r="X41">
        <v>3.84</v>
      </c>
      <c r="Y41">
        <v>4.57</v>
      </c>
      <c r="Z41">
        <v>26</v>
      </c>
      <c r="AD41">
        <v>16</v>
      </c>
      <c r="AG41">
        <v>0.88</v>
      </c>
      <c r="AK41">
        <v>0</v>
      </c>
      <c r="AO41">
        <v>0.12</v>
      </c>
      <c r="AQ41">
        <v>0</v>
      </c>
      <c r="AR41">
        <f>AG41+AK41</f>
        <v>0.88</v>
      </c>
      <c r="AS41">
        <f>AG41+AO41</f>
        <v>1</v>
      </c>
      <c r="BP41" s="48"/>
      <c r="BQ41" s="9"/>
      <c r="CE41" s="27"/>
    </row>
    <row r="42" spans="1:87">
      <c r="A42" s="87" t="s">
        <v>100</v>
      </c>
      <c r="B42" s="55" t="s">
        <v>36</v>
      </c>
      <c r="C42" s="35" t="s">
        <v>64</v>
      </c>
      <c r="D42" s="58">
        <f>13782400*0.000001</f>
        <v>13.782399999999999</v>
      </c>
      <c r="E42" s="138">
        <f>-0.000000000123045*1000000000000</f>
        <v>-123.04499999999999</v>
      </c>
      <c r="F42" s="23">
        <v>-6.0688800000000003E-12</v>
      </c>
      <c r="G42" s="23">
        <v>4.9052699999999998E-12</v>
      </c>
      <c r="H42" s="18">
        <f t="shared" ref="H42:H44" si="16">G42/SQRT(I42)</f>
        <v>5.6641179098955898E-13</v>
      </c>
      <c r="I42">
        <v>75</v>
      </c>
      <c r="J42" s="39">
        <f t="shared" ref="J42:J45" si="17">-G42/F42</f>
        <v>0.80826610511329922</v>
      </c>
      <c r="K42" s="20">
        <f>19/I42</f>
        <v>0.25333333333333335</v>
      </c>
      <c r="L42" s="10">
        <f t="shared" ref="L42:L45" si="18">F42*-1000000000000</f>
        <v>6.0688800000000001</v>
      </c>
      <c r="M42" s="28">
        <v>0.69646200000000003</v>
      </c>
      <c r="N42" t="s">
        <v>34</v>
      </c>
      <c r="O42">
        <v>-5.2</v>
      </c>
      <c r="P42">
        <v>-7.78</v>
      </c>
      <c r="Q42">
        <v>-7.57</v>
      </c>
      <c r="R42">
        <v>1.46</v>
      </c>
      <c r="S42">
        <v>1.5</v>
      </c>
      <c r="T42">
        <v>1.92</v>
      </c>
      <c r="U42">
        <v>1.99</v>
      </c>
      <c r="V42">
        <v>1.1100000000000001</v>
      </c>
      <c r="W42">
        <v>0.61</v>
      </c>
      <c r="X42">
        <v>6.05</v>
      </c>
      <c r="Y42">
        <v>6.99</v>
      </c>
      <c r="Z42">
        <v>80</v>
      </c>
      <c r="AD42">
        <v>56</v>
      </c>
      <c r="AG42">
        <v>0.59</v>
      </c>
      <c r="AK42">
        <v>0.16</v>
      </c>
      <c r="AO42">
        <v>0.24</v>
      </c>
      <c r="AP42" s="35"/>
      <c r="AQ42">
        <v>0.01</v>
      </c>
      <c r="AR42">
        <f>AG42+AK42</f>
        <v>0.75</v>
      </c>
      <c r="AS42">
        <f>AG42+AO42</f>
        <v>0.83</v>
      </c>
      <c r="BP42" s="48"/>
      <c r="BQ42" s="9"/>
      <c r="CE42" s="27"/>
    </row>
    <row r="43" spans="1:87">
      <c r="A43" s="87" t="s">
        <v>101</v>
      </c>
      <c r="B43" s="55" t="s">
        <v>36</v>
      </c>
      <c r="C43" s="35" t="s">
        <v>64</v>
      </c>
      <c r="D43" s="138">
        <f>12880000*0.000001</f>
        <v>12.879999999999999</v>
      </c>
      <c r="E43" s="138">
        <f>-0.000000000404505*1000000000000</f>
        <v>-404.505</v>
      </c>
      <c r="F43" s="18">
        <v>-6.2386899999999999E-12</v>
      </c>
      <c r="G43" s="18">
        <v>5.6907600000000003E-12</v>
      </c>
      <c r="H43" s="18">
        <f t="shared" si="16"/>
        <v>6.9523698716508753E-13</v>
      </c>
      <c r="I43" s="19">
        <v>67</v>
      </c>
      <c r="J43" s="39">
        <f t="shared" si="17"/>
        <v>0.91217226693424425</v>
      </c>
      <c r="K43" s="20">
        <f>20/I43</f>
        <v>0.29850746268656714</v>
      </c>
      <c r="L43" s="10">
        <f t="shared" si="18"/>
        <v>6.2386900000000001</v>
      </c>
      <c r="M43" s="28">
        <v>1.0428200000000001</v>
      </c>
      <c r="N43" t="s">
        <v>34</v>
      </c>
      <c r="O43">
        <v>-5.57</v>
      </c>
      <c r="P43">
        <v>-3.73</v>
      </c>
      <c r="Q43">
        <v>-3.64</v>
      </c>
      <c r="R43">
        <v>0.65</v>
      </c>
      <c r="S43">
        <v>0.67</v>
      </c>
      <c r="T43">
        <v>2.65</v>
      </c>
      <c r="U43">
        <v>2.8</v>
      </c>
      <c r="V43">
        <v>6.26</v>
      </c>
      <c r="W43">
        <v>2.98</v>
      </c>
      <c r="X43">
        <v>4.1900000000000004</v>
      </c>
      <c r="Y43">
        <v>7.86</v>
      </c>
      <c r="Z43">
        <v>82</v>
      </c>
      <c r="AD43">
        <v>28</v>
      </c>
      <c r="AG43">
        <v>0.56000000000000005</v>
      </c>
      <c r="AK43">
        <v>0.17</v>
      </c>
      <c r="AO43">
        <v>0.17</v>
      </c>
      <c r="AP43" s="35"/>
      <c r="AQ43">
        <v>0.1</v>
      </c>
      <c r="AR43">
        <f>AG43+AK43</f>
        <v>0.73000000000000009</v>
      </c>
      <c r="AS43">
        <f>AG43+AO43</f>
        <v>0.73000000000000009</v>
      </c>
      <c r="BA43" s="24"/>
      <c r="BB43" s="24"/>
      <c r="BC43" s="24"/>
      <c r="BD43" s="24"/>
      <c r="BE43" s="24"/>
      <c r="BF43" s="24"/>
      <c r="BG43" s="24"/>
      <c r="BH43" s="24"/>
      <c r="BI43" s="24"/>
      <c r="BP43" s="48"/>
      <c r="BQ43" s="9"/>
      <c r="CE43" s="27"/>
    </row>
    <row r="44" spans="1:87">
      <c r="A44" s="87" t="s">
        <v>102</v>
      </c>
      <c r="B44" s="55" t="s">
        <v>36</v>
      </c>
      <c r="C44" s="35" t="s">
        <v>64</v>
      </c>
      <c r="D44" s="138">
        <f>10969400*0.000001</f>
        <v>10.9694</v>
      </c>
      <c r="E44" s="138">
        <f>-0.000000000114841*1000000000000</f>
        <v>-114.84099999999999</v>
      </c>
      <c r="F44" s="18">
        <v>-3.1908400000000002E-12</v>
      </c>
      <c r="G44" s="18">
        <v>4.3206599999999999E-12</v>
      </c>
      <c r="H44" s="18">
        <f t="shared" si="16"/>
        <v>6.0501341478564606E-13</v>
      </c>
      <c r="I44" s="19">
        <v>51</v>
      </c>
      <c r="J44" s="39">
        <f t="shared" si="17"/>
        <v>1.3540823106141329</v>
      </c>
      <c r="K44" s="20">
        <f>20/I44</f>
        <v>0.39215686274509803</v>
      </c>
      <c r="L44" s="10">
        <f t="shared" si="18"/>
        <v>3.1908400000000001</v>
      </c>
      <c r="M44" s="28">
        <v>0.82208700000000001</v>
      </c>
      <c r="N44" t="s">
        <v>34</v>
      </c>
      <c r="O44">
        <v>-2.62</v>
      </c>
      <c r="P44">
        <v>-3.6</v>
      </c>
      <c r="Q44">
        <v>-2.91</v>
      </c>
      <c r="R44">
        <v>1.1100000000000001</v>
      </c>
      <c r="S44">
        <v>1.37</v>
      </c>
      <c r="T44">
        <v>3.44</v>
      </c>
      <c r="U44">
        <v>3.33</v>
      </c>
      <c r="V44">
        <v>0.87</v>
      </c>
      <c r="W44">
        <v>14.93</v>
      </c>
      <c r="X44">
        <v>14.16</v>
      </c>
      <c r="Y44">
        <v>2.61</v>
      </c>
      <c r="Z44">
        <v>58</v>
      </c>
      <c r="AD44">
        <v>36</v>
      </c>
      <c r="AG44">
        <v>0.43</v>
      </c>
      <c r="AK44">
        <v>0.16</v>
      </c>
      <c r="AO44">
        <v>0.17</v>
      </c>
      <c r="AP44" s="35"/>
      <c r="AQ44">
        <v>0.24</v>
      </c>
      <c r="AR44">
        <f>AG44+AK44</f>
        <v>0.59</v>
      </c>
      <c r="AS44">
        <f>AG44+AO44</f>
        <v>0.6</v>
      </c>
      <c r="BA44" s="24"/>
      <c r="BB44" s="24"/>
      <c r="BC44" s="24"/>
      <c r="BD44" s="24"/>
      <c r="BE44" s="24"/>
      <c r="BF44" s="24"/>
      <c r="BG44" s="24"/>
      <c r="BH44" s="24"/>
      <c r="BI44" s="24"/>
      <c r="BP44" s="48"/>
      <c r="BQ44" s="9"/>
      <c r="CC44" s="25"/>
      <c r="CE44" s="27"/>
    </row>
    <row r="45" spans="1:87" s="35" customFormat="1">
      <c r="A45" s="90" t="s">
        <v>98</v>
      </c>
      <c r="B45" s="55" t="s">
        <v>52</v>
      </c>
      <c r="C45" s="35" t="s">
        <v>64</v>
      </c>
      <c r="D45" s="58">
        <f>29213400*0.000001</f>
        <v>29.2134</v>
      </c>
      <c r="E45" s="58">
        <f>-0.00000000000622825*1000000000000</f>
        <v>-6.2282500000000001</v>
      </c>
      <c r="F45" s="42">
        <v>-5.2344899999999998E-12</v>
      </c>
      <c r="G45" s="42">
        <v>5.4693699999999997E-12</v>
      </c>
      <c r="H45" s="42">
        <v>5.7022100000000004E-13</v>
      </c>
      <c r="I45" s="44">
        <v>92</v>
      </c>
      <c r="J45" s="39">
        <f t="shared" si="17"/>
        <v>1.0448716111789305</v>
      </c>
      <c r="K45" s="35">
        <v>0.31521739130434784</v>
      </c>
      <c r="L45" s="37">
        <f t="shared" si="18"/>
        <v>5.2344900000000001</v>
      </c>
      <c r="M45" s="45">
        <v>0.52746599999999999</v>
      </c>
      <c r="N45" s="35" t="s">
        <v>34</v>
      </c>
      <c r="O45" s="35">
        <v>-4.22</v>
      </c>
      <c r="P45" s="35">
        <v>-7.32</v>
      </c>
      <c r="R45" s="35">
        <v>1.73</v>
      </c>
      <c r="S45" s="35">
        <v>1.73</v>
      </c>
      <c r="T45" s="35">
        <v>2.4300000000000002</v>
      </c>
      <c r="U45" s="35">
        <v>2.36</v>
      </c>
      <c r="V45" s="35">
        <v>2.63</v>
      </c>
      <c r="W45" s="35">
        <v>0.57999999999999996</v>
      </c>
      <c r="X45" s="35">
        <v>1.5</v>
      </c>
      <c r="Y45" s="35">
        <v>3.45</v>
      </c>
      <c r="Z45" s="35">
        <v>99</v>
      </c>
      <c r="AD45" s="35">
        <v>63</v>
      </c>
      <c r="AG45" s="35">
        <v>0.64</v>
      </c>
      <c r="AK45" s="35">
        <v>0.06</v>
      </c>
      <c r="AO45" s="35">
        <v>0.26</v>
      </c>
      <c r="AQ45" s="35">
        <v>0.04</v>
      </c>
      <c r="AR45" s="35">
        <f>AG45+AK45</f>
        <v>0.7</v>
      </c>
      <c r="AS45" s="35">
        <f>AG45+AO45</f>
        <v>0.9</v>
      </c>
      <c r="BA45" s="43"/>
      <c r="BB45" s="43"/>
      <c r="BC45" s="43"/>
      <c r="BD45" s="43"/>
      <c r="BE45" s="43"/>
      <c r="BF45" s="43"/>
      <c r="BG45" s="43"/>
      <c r="BH45" s="43"/>
      <c r="BI45" s="43"/>
      <c r="BJ45" s="45"/>
      <c r="BK45" s="45"/>
      <c r="BL45" s="45"/>
      <c r="BO45" s="45"/>
      <c r="BP45" s="54"/>
      <c r="BQ45" s="53"/>
      <c r="BR45" s="45"/>
      <c r="BS45" s="45"/>
      <c r="BT45" s="45"/>
      <c r="BW45" s="45"/>
      <c r="BX45" s="44"/>
      <c r="BY45" s="45"/>
      <c r="CE45" s="38"/>
    </row>
    <row r="46" spans="1:87" s="41" customFormat="1">
      <c r="A46" s="88"/>
      <c r="B46" s="56"/>
      <c r="I46" s="22"/>
      <c r="J46" s="22"/>
      <c r="K46" s="22"/>
      <c r="L46" s="22"/>
    </row>
    <row r="47" spans="1:87">
      <c r="A47" s="31" t="s">
        <v>65</v>
      </c>
      <c r="D47" s="58">
        <f>AVERAGE(D5:D40,D41:D46)</f>
        <v>18.029608048780482</v>
      </c>
      <c r="E47" s="58">
        <f>AVERAGE(E5:E40,E41:E46)</f>
        <v>-133.68264024999999</v>
      </c>
      <c r="F47" s="40">
        <f>AVERAGE(F5:F40,F41:F46)*1000000000000</f>
        <v>-12.493203658536586</v>
      </c>
      <c r="K47" s="40">
        <f>AVERAGE(K5:K40,K41:K46)</f>
        <v>0.17276061212084934</v>
      </c>
      <c r="M47" s="40">
        <f>AVERAGE(M5:M40,M41:M46)</f>
        <v>0.636381768292683</v>
      </c>
      <c r="R47" s="40">
        <f>AVERAGE(R5:R40,R41:R46)</f>
        <v>1.2697499999999997</v>
      </c>
      <c r="T47" s="40">
        <f>AVERAGE(T5:T40,T41:T46)</f>
        <v>2.6487804878048786</v>
      </c>
      <c r="V47" s="40"/>
      <c r="X47" s="40">
        <f>AVERAGE(X5:X40,X41:X46)</f>
        <v>5.2631707317073166</v>
      </c>
      <c r="AE47" s="40"/>
      <c r="AF47" s="40"/>
      <c r="AR47" s="40">
        <f>AVERAGE(AR5:AR40,AR41:AR46)</f>
        <v>0.80512195121951236</v>
      </c>
      <c r="AS47" s="40">
        <f>AVERAGE(AS5:AS40,AS41:AS46)</f>
        <v>0.86268292682926828</v>
      </c>
      <c r="BP47" s="2"/>
      <c r="BQ47" s="2"/>
      <c r="BX47" s="2"/>
      <c r="BY47" s="2"/>
      <c r="CA47" s="2"/>
    </row>
    <row r="48" spans="1:87">
      <c r="A48" s="31" t="s">
        <v>67</v>
      </c>
      <c r="D48" s="58">
        <f>STDEV(D5:D40,D41:D46)/SQRT(D52)</f>
        <v>0.89669513398770295</v>
      </c>
      <c r="E48" s="58">
        <f>STDEV(E5:E40,E41:E46)/SQRT(E52)</f>
        <v>15.880481713444334</v>
      </c>
      <c r="F48" s="40">
        <f>STDEV(F5:F40,F41:F46)/SQRT(F52)*1000000000000</f>
        <v>1.812531524635175</v>
      </c>
      <c r="K48" s="40">
        <f>STDEV(K5:K40,K41:K46)/SQRT(K52)</f>
        <v>1.8446751121840285E-2</v>
      </c>
      <c r="M48" s="40">
        <f>STDEV(M5:M40,M41:M46)/SQRT(M52)</f>
        <v>4.0371758684618266E-2</v>
      </c>
      <c r="R48" s="40">
        <f>STDEV(R5:R40,R41:R46)/SQRT(R52)</f>
        <v>6.7795400626840988E-2</v>
      </c>
      <c r="T48" s="40">
        <f>STDEV(T5:T40,T41:T46)/SQRT(T52)</f>
        <v>0.1103487791670235</v>
      </c>
      <c r="V48" s="40"/>
      <c r="X48" s="40">
        <f>STDEV(X5:X40,X41:X46)/SQRT(X52)</f>
        <v>0.42553459046933118</v>
      </c>
      <c r="AE48" s="40"/>
      <c r="AF48" s="40"/>
      <c r="AR48" s="40">
        <f>STDEV(AR5:AR40,AR41:AR46)/SQRT(AR52)</f>
        <v>1.9835057505494511E-2</v>
      </c>
      <c r="AS48" s="40">
        <f>STDEV(AS5:AS40,AS41:AS46)/SQRT(AS52)</f>
        <v>2.6810137303357129E-2</v>
      </c>
      <c r="BP48" s="40"/>
      <c r="BQ48" s="40"/>
      <c r="BX48" s="40"/>
      <c r="BY48" s="40"/>
      <c r="CA48" s="40"/>
    </row>
    <row r="49" spans="1:79" s="9" customFormat="1">
      <c r="A49" s="89" t="s">
        <v>47</v>
      </c>
      <c r="B49" s="57"/>
      <c r="D49" s="59">
        <f>MEDIAN(D5:D40,D41:D46)</f>
        <v>17.120899999999999</v>
      </c>
      <c r="E49" s="59">
        <f>MEDIAN(E5:E40,E41:E46)</f>
        <v>-102.589</v>
      </c>
      <c r="F49" s="34">
        <f>MEDIAN(F5:F40,F41:F46)*1000000000000</f>
        <v>-8.3035099999999993</v>
      </c>
      <c r="I49" s="48"/>
      <c r="J49" s="48"/>
      <c r="K49" s="34">
        <f>MEDIAN(K5:K40,K41:K46)</f>
        <v>0.16417910447761194</v>
      </c>
      <c r="L49" s="48"/>
      <c r="M49" s="34">
        <f>MEDIAN(M5:M40,M41:M46)</f>
        <v>0.595503</v>
      </c>
      <c r="R49" s="34">
        <f>MEDIAN(R5:R40,R41:R46)</f>
        <v>1.18</v>
      </c>
      <c r="T49" s="34">
        <f>MEDIAN(T5:T40,T41:T46)</f>
        <v>2.46</v>
      </c>
      <c r="V49" s="34"/>
      <c r="X49" s="34">
        <f>MEDIAN(X5:X40,X41:X46)</f>
        <v>5.14</v>
      </c>
      <c r="AE49" s="34"/>
      <c r="AF49" s="34"/>
      <c r="AR49" s="34">
        <f>MEDIAN(AR5:AR40,AR41:AR46)</f>
        <v>0.81</v>
      </c>
      <c r="AS49" s="34">
        <f>MEDIAN(AS5:AS40,AS41:AS46)</f>
        <v>0.90999999999999992</v>
      </c>
      <c r="BP49" s="34"/>
      <c r="BQ49" s="34"/>
      <c r="BX49" s="34"/>
      <c r="BY49" s="34"/>
      <c r="CA49" s="34"/>
    </row>
    <row r="50" spans="1:79">
      <c r="A50" s="87" t="s">
        <v>48</v>
      </c>
      <c r="D50" s="58">
        <f>QUARTILE((D5:D40,D41:D46),3)</f>
        <v>20</v>
      </c>
      <c r="E50" s="58">
        <f>QUARTILE((E5:E40,E41:E46),3)</f>
        <v>-81.370450000000005</v>
      </c>
      <c r="F50" s="40">
        <f>_xlfn.QUARTILE.EXC((F5:F40,F41:F46),3)*1000000000000</f>
        <v>-5.2689549999999992</v>
      </c>
      <c r="K50" s="40">
        <f>_xlfn.QUARTILE.EXC((K5:K40,K41:K46),3)</f>
        <v>0.28044871794871795</v>
      </c>
      <c r="M50" s="40">
        <f>_xlfn.QUARTILE.EXC((M5:M40,M41:M46),3)</f>
        <v>0.81150699999999998</v>
      </c>
      <c r="R50" s="40">
        <f>_xlfn.QUARTILE.EXC((R5:R40,R41:R46),3)</f>
        <v>1.52</v>
      </c>
      <c r="T50" s="40">
        <f>_xlfn.QUARTILE.EXC((T5:T46),3)</f>
        <v>2.9699999999999998</v>
      </c>
      <c r="V50" s="40"/>
      <c r="X50" s="40">
        <f>QUARTILE((X5:X40,X41:X46),3)</f>
        <v>6.28</v>
      </c>
      <c r="AE50" s="40"/>
      <c r="AF50" s="40"/>
      <c r="AR50" s="40">
        <f>_xlfn.QUARTILE.EXC((AR5:AR40,AR41:AR46),3)</f>
        <v>0.90999999999999992</v>
      </c>
      <c r="AS50" s="40">
        <f>_xlfn.QUARTILE.EXC((AS5:AS40,AS41:AS46),3)</f>
        <v>0.97</v>
      </c>
      <c r="BP50" s="2"/>
      <c r="BQ50" s="2"/>
      <c r="BR50" s="36"/>
      <c r="BS50" s="36"/>
      <c r="BT50" s="36"/>
      <c r="BU50" s="36"/>
      <c r="BV50" s="36"/>
      <c r="BW50" s="36"/>
      <c r="BX50" s="2"/>
      <c r="BY50" s="2"/>
      <c r="BZ50" s="36"/>
      <c r="CA50" s="2"/>
    </row>
    <row r="51" spans="1:79">
      <c r="A51" s="87" t="s">
        <v>49</v>
      </c>
      <c r="D51" s="58">
        <f>QUARTILE((D5:D40,D41:D46),1)</f>
        <v>14.341799999999999</v>
      </c>
      <c r="E51" s="58">
        <f>QUARTILE((E5:E40,E41:E46),1)</f>
        <v>-168.7045</v>
      </c>
      <c r="F51" s="40">
        <f>_xlfn.QUARTILE.EXC((F5:F40,F41:F46),1)*1000000000000</f>
        <v>-15.454549999999999</v>
      </c>
      <c r="K51" s="40">
        <f>_xlfn.QUARTILE.EXC((K5:K40,K41:K46),1)</f>
        <v>7.3345259391771028E-2</v>
      </c>
      <c r="M51" s="40">
        <f>_xlfn.QUARTILE.EXC((M5:M40,M41:M46),1)</f>
        <v>0.48652600000000001</v>
      </c>
      <c r="R51" s="40">
        <f>_xlfn.QUARTILE.EXC((R5:R40,R41:R46),1)</f>
        <v>0.97249999999999992</v>
      </c>
      <c r="T51" s="40">
        <f>_xlfn.QUARTILE.EXC((T5:T40,T41:T46),1)</f>
        <v>2.2000000000000002</v>
      </c>
      <c r="V51" s="40"/>
      <c r="X51" s="40">
        <f>QUARTILE((X5:X40,X41:X46),1)</f>
        <v>3.54</v>
      </c>
      <c r="AE51" s="40"/>
      <c r="AF51" s="40"/>
      <c r="AR51" s="40">
        <f>_xlfn.QUARTILE.EXC((AR5:AR40,AR41:AR46),1)</f>
        <v>0.73</v>
      </c>
      <c r="AS51" s="40">
        <f>_xlfn.QUARTILE.EXC((AS5:AS40,AS41:AS46),1)</f>
        <v>0.81499999999999995</v>
      </c>
      <c r="BP51" s="2"/>
      <c r="BQ51" s="2"/>
      <c r="BR51" s="36"/>
      <c r="BS51" s="36"/>
      <c r="BT51" s="36"/>
      <c r="BU51" s="36"/>
      <c r="BV51" s="36"/>
      <c r="BW51" s="36"/>
      <c r="BX51" s="2"/>
      <c r="BY51" s="2"/>
      <c r="BZ51" s="36"/>
      <c r="CA51" s="2"/>
    </row>
    <row r="52" spans="1:79">
      <c r="A52" s="87" t="s">
        <v>6</v>
      </c>
      <c r="D52" s="39">
        <f>COUNT((D5:D40,D41:D46))</f>
        <v>41</v>
      </c>
      <c r="E52" s="39">
        <f>COUNT((E5:E40,E41:E46))</f>
        <v>40</v>
      </c>
      <c r="F52" s="39">
        <f>COUNT((F5:F40,F41:F46))</f>
        <v>41</v>
      </c>
      <c r="K52" s="39">
        <f>COUNT((K5:K40,K41:K46))</f>
        <v>41</v>
      </c>
      <c r="M52" s="39">
        <f>COUNT((M5:M40,M41:M46))</f>
        <v>41</v>
      </c>
      <c r="R52" s="39">
        <f>COUNT((R5:R40,R41:R46))</f>
        <v>40</v>
      </c>
      <c r="T52" s="39">
        <f>COUNT((T5:T40,T41:T46))</f>
        <v>41</v>
      </c>
      <c r="V52" s="39"/>
      <c r="X52" s="39">
        <f>COUNT((X5:X40,X41:X46))</f>
        <v>41</v>
      </c>
      <c r="AE52" s="39"/>
      <c r="AF52" s="39"/>
      <c r="AR52" s="39">
        <f>COUNT((AR5:AR40,AR41:AR46))</f>
        <v>41</v>
      </c>
      <c r="AS52" s="39">
        <f>COUNT((AS5:AS40,AS41:AS46))</f>
        <v>41</v>
      </c>
      <c r="BP52" s="37"/>
      <c r="BQ52" s="37"/>
      <c r="BR52" s="36"/>
      <c r="BS52" s="36"/>
      <c r="BT52" s="36"/>
      <c r="BU52" s="36"/>
      <c r="BV52" s="36"/>
      <c r="BW52" s="36"/>
      <c r="BX52" s="37"/>
      <c r="BY52" s="37"/>
      <c r="BZ52" s="36"/>
      <c r="CA52" s="37"/>
    </row>
    <row r="53" spans="1:79" s="35" customFormat="1">
      <c r="A53" s="87"/>
      <c r="B53" s="55"/>
      <c r="D53" s="39"/>
      <c r="E53" s="39"/>
      <c r="F53" s="39"/>
      <c r="I53" s="39"/>
      <c r="J53" s="39"/>
      <c r="K53" s="39"/>
      <c r="L53" s="39"/>
      <c r="M53" s="39"/>
      <c r="R53" s="39"/>
      <c r="T53" s="39"/>
      <c r="V53" s="39"/>
      <c r="X53" s="39"/>
      <c r="AE53" s="39"/>
      <c r="AF53" s="39"/>
      <c r="BP53" s="37"/>
      <c r="BQ53" s="37"/>
      <c r="BR53" s="36"/>
      <c r="BS53" s="36"/>
      <c r="BT53" s="36"/>
      <c r="BU53" s="36"/>
      <c r="BV53" s="36"/>
      <c r="BW53" s="36"/>
      <c r="BX53" s="37"/>
      <c r="BY53" s="37"/>
      <c r="BZ53" s="36"/>
      <c r="CA53" s="37"/>
    </row>
    <row r="54" spans="1:79" s="35" customFormat="1">
      <c r="A54" s="87"/>
      <c r="B54" s="55"/>
      <c r="D54" s="39"/>
      <c r="E54" s="39"/>
      <c r="F54" s="39"/>
      <c r="I54" s="39"/>
      <c r="J54" s="39"/>
      <c r="K54" s="39"/>
      <c r="L54" s="39"/>
      <c r="M54" s="39"/>
      <c r="R54" s="39"/>
      <c r="T54" s="39"/>
      <c r="V54" s="39"/>
      <c r="X54" s="39"/>
      <c r="AE54" s="39"/>
      <c r="AF54" s="39"/>
      <c r="BP54" s="37"/>
      <c r="BQ54" s="37"/>
      <c r="BR54" s="36"/>
      <c r="BS54" s="36"/>
      <c r="BT54" s="36"/>
      <c r="BU54" s="36"/>
      <c r="BV54" s="36"/>
      <c r="BW54" s="36"/>
      <c r="BX54" s="37"/>
      <c r="BY54" s="37"/>
      <c r="BZ54" s="36"/>
      <c r="CA54" s="37"/>
    </row>
    <row r="55" spans="1:79" s="35" customFormat="1">
      <c r="B55" s="55"/>
      <c r="I55" s="39"/>
      <c r="J55" s="39"/>
      <c r="K55" s="39"/>
      <c r="L55" s="39"/>
      <c r="M55" s="39"/>
      <c r="R55" s="39"/>
      <c r="T55" s="39"/>
      <c r="AE55" s="39"/>
      <c r="AF55" s="39"/>
      <c r="BP55" s="37"/>
      <c r="BQ55" s="37"/>
      <c r="BR55" s="36"/>
      <c r="BS55" s="36"/>
      <c r="BT55" s="36"/>
      <c r="BU55" s="36"/>
      <c r="BV55" s="36"/>
      <c r="BW55" s="36"/>
      <c r="BX55" s="37"/>
      <c r="BY55" s="37"/>
      <c r="BZ55" s="36"/>
      <c r="CA55" s="37"/>
    </row>
    <row r="56" spans="1:79" ht="18.75">
      <c r="A56" s="91" t="s">
        <v>108</v>
      </c>
      <c r="AP56" s="29"/>
      <c r="AQ56" s="29"/>
      <c r="AR56" s="29"/>
      <c r="AS56" s="29"/>
      <c r="AT56" s="29"/>
      <c r="AU56" s="29"/>
      <c r="AV56" s="29"/>
      <c r="AW56" s="29"/>
      <c r="AX56" s="29"/>
      <c r="AY56" s="29"/>
      <c r="AZ56" s="29"/>
      <c r="BA56" s="29"/>
      <c r="BB56" s="29"/>
    </row>
    <row r="57" spans="1:79" s="36" customFormat="1">
      <c r="A57" s="103" t="s">
        <v>205</v>
      </c>
      <c r="G57" s="2"/>
      <c r="H57" s="2"/>
      <c r="AF57" s="115"/>
      <c r="AP57" s="8"/>
      <c r="AQ57" s="8"/>
      <c r="AR57" s="8"/>
      <c r="AS57" s="8"/>
      <c r="AT57" s="8"/>
      <c r="AU57" s="8"/>
      <c r="AV57" s="8"/>
      <c r="AW57" s="8"/>
      <c r="AX57" s="8"/>
      <c r="AY57" s="8"/>
      <c r="AZ57" s="8"/>
      <c r="BA57" s="8"/>
      <c r="BB57" s="8"/>
    </row>
    <row r="58" spans="1:79" s="36" customFormat="1" ht="15.75">
      <c r="A58" s="116" t="s">
        <v>18</v>
      </c>
      <c r="C58" s="8"/>
      <c r="D58" s="8"/>
      <c r="E58" s="8"/>
      <c r="F58" s="8"/>
      <c r="G58" s="97"/>
      <c r="H58" s="117"/>
      <c r="I58" s="8"/>
      <c r="J58" s="8"/>
      <c r="K58" s="8"/>
      <c r="L58" s="8"/>
      <c r="M58" s="8"/>
      <c r="N58" s="8"/>
      <c r="O58" s="118"/>
      <c r="P58" s="118"/>
      <c r="Q58" s="8"/>
      <c r="R58" s="8"/>
      <c r="S58" s="8"/>
      <c r="T58" s="8"/>
      <c r="U58" s="106"/>
      <c r="Y58" s="118"/>
      <c r="Z58" s="118"/>
      <c r="AA58" s="118"/>
      <c r="AB58" s="118"/>
      <c r="AC58" s="118"/>
      <c r="AD58" s="118"/>
      <c r="AF58" s="25"/>
      <c r="AN58" s="115"/>
      <c r="AP58" s="8"/>
      <c r="AQ58" s="8"/>
      <c r="AR58" s="119"/>
      <c r="AS58" s="119"/>
      <c r="AT58" s="119"/>
      <c r="AU58" s="119"/>
      <c r="AV58" s="119"/>
      <c r="AW58" s="119"/>
      <c r="AX58" s="119"/>
      <c r="AY58" s="119"/>
      <c r="AZ58" s="119"/>
      <c r="BA58" s="119"/>
      <c r="BB58" s="8"/>
    </row>
    <row r="59" spans="1:79" s="36" customFormat="1">
      <c r="A59" s="11" t="s">
        <v>3</v>
      </c>
      <c r="B59" s="11" t="s">
        <v>216</v>
      </c>
      <c r="C59" s="11" t="s">
        <v>252</v>
      </c>
      <c r="D59" s="11" t="s">
        <v>248</v>
      </c>
      <c r="E59" s="11" t="s">
        <v>217</v>
      </c>
      <c r="F59" s="11" t="s">
        <v>218</v>
      </c>
      <c r="G59" s="12" t="s">
        <v>109</v>
      </c>
      <c r="H59" s="11" t="s">
        <v>4</v>
      </c>
      <c r="I59" s="12" t="s">
        <v>5</v>
      </c>
      <c r="J59" s="11" t="s">
        <v>6</v>
      </c>
      <c r="K59" s="11" t="s">
        <v>7</v>
      </c>
      <c r="L59" s="11" t="s">
        <v>8</v>
      </c>
      <c r="M59" s="102" t="s">
        <v>213</v>
      </c>
      <c r="N59" s="102" t="s">
        <v>214</v>
      </c>
      <c r="O59" s="102" t="s">
        <v>215</v>
      </c>
      <c r="P59" s="11" t="s">
        <v>219</v>
      </c>
      <c r="Q59" s="11" t="s">
        <v>220</v>
      </c>
      <c r="R59" s="86" t="s">
        <v>8</v>
      </c>
      <c r="S59" s="120" t="s">
        <v>221</v>
      </c>
      <c r="T59" s="11"/>
      <c r="U59" s="11"/>
      <c r="V59" s="11"/>
      <c r="W59" s="11" t="s">
        <v>222</v>
      </c>
      <c r="X59" s="11" t="s">
        <v>239</v>
      </c>
      <c r="Y59" s="11"/>
      <c r="Z59" s="11"/>
      <c r="AA59" s="11"/>
      <c r="AB59" s="11" t="s">
        <v>240</v>
      </c>
      <c r="AC59" s="11" t="s">
        <v>241</v>
      </c>
      <c r="AD59" s="11" t="s">
        <v>242</v>
      </c>
      <c r="AE59" s="11" t="s">
        <v>243</v>
      </c>
      <c r="AF59" s="102" t="s">
        <v>211</v>
      </c>
      <c r="AG59" s="102" t="s">
        <v>212</v>
      </c>
      <c r="AH59" s="98"/>
      <c r="AI59" s="98"/>
      <c r="AJ59" s="98"/>
      <c r="AK59" s="98"/>
      <c r="AL59" s="98"/>
      <c r="AM59" s="98"/>
      <c r="AN59" s="98"/>
      <c r="AP59" s="8"/>
      <c r="AQ59" s="62"/>
      <c r="AR59" s="8"/>
      <c r="AS59" s="8"/>
      <c r="AT59" s="8"/>
      <c r="AU59" s="8"/>
      <c r="AV59" s="8"/>
      <c r="AW59" s="8"/>
      <c r="AX59" s="8"/>
      <c r="AY59" s="121"/>
      <c r="AZ59" s="121"/>
      <c r="BA59" s="8"/>
      <c r="BB59" s="118"/>
    </row>
    <row r="60" spans="1:79" s="36" customFormat="1">
      <c r="A60" s="112" t="s">
        <v>251</v>
      </c>
      <c r="D60" s="106"/>
      <c r="G60" s="2"/>
      <c r="I60" s="2"/>
      <c r="M60" s="122"/>
      <c r="N60" s="122"/>
      <c r="O60" s="122"/>
      <c r="R60" s="36" t="s">
        <v>223</v>
      </c>
      <c r="S60" s="36" t="s">
        <v>224</v>
      </c>
      <c r="T60" s="36" t="s">
        <v>225</v>
      </c>
      <c r="U60" s="36" t="s">
        <v>226</v>
      </c>
      <c r="V60" s="36" t="s">
        <v>227</v>
      </c>
      <c r="W60" s="36" t="s">
        <v>223</v>
      </c>
      <c r="X60" s="36" t="s">
        <v>224</v>
      </c>
      <c r="Y60" s="36" t="s">
        <v>225</v>
      </c>
      <c r="Z60" s="36" t="s">
        <v>226</v>
      </c>
      <c r="AA60" s="36" t="s">
        <v>227</v>
      </c>
      <c r="AC60" s="36" t="s">
        <v>224</v>
      </c>
      <c r="AD60" s="36" t="s">
        <v>224</v>
      </c>
      <c r="AE60" s="36" t="s">
        <v>224</v>
      </c>
      <c r="AF60" s="122"/>
      <c r="AG60" s="122"/>
      <c r="AI60" s="32"/>
      <c r="AJ60" s="32"/>
      <c r="AK60" s="32"/>
      <c r="AL60" s="32"/>
      <c r="AM60" s="32"/>
      <c r="AN60" s="32"/>
      <c r="AP60" s="8"/>
      <c r="AQ60" s="123"/>
      <c r="AR60" s="8"/>
      <c r="AS60" s="8"/>
      <c r="AT60" s="8"/>
      <c r="AU60" s="8"/>
      <c r="AV60" s="8"/>
      <c r="AW60" s="8"/>
      <c r="AX60" s="8"/>
      <c r="AY60" s="121"/>
      <c r="AZ60" s="121"/>
      <c r="BA60" s="8"/>
      <c r="BB60" s="8"/>
    </row>
    <row r="61" spans="1:79" s="36" customFormat="1">
      <c r="A61" s="62" t="s">
        <v>111</v>
      </c>
      <c r="B61" s="62"/>
      <c r="C61" s="62" t="s">
        <v>228</v>
      </c>
      <c r="D61" s="62">
        <v>19</v>
      </c>
      <c r="E61" s="62"/>
      <c r="F61" s="62"/>
      <c r="G61" s="76">
        <v>-50.43</v>
      </c>
      <c r="H61" s="76">
        <f t="shared" ref="H61:H73" si="19">I61*(SQRT(J61))</f>
        <v>31.143106781437208</v>
      </c>
      <c r="I61" s="76">
        <v>9.39</v>
      </c>
      <c r="J61" s="62">
        <v>11</v>
      </c>
      <c r="K61" s="76">
        <f>H61/-G61</f>
        <v>0.61755119534874492</v>
      </c>
      <c r="L61" s="77">
        <v>0.27</v>
      </c>
      <c r="M61" s="124">
        <v>1.7962100000000001</v>
      </c>
      <c r="N61" s="124">
        <v>0.24781300000000001</v>
      </c>
      <c r="O61" s="36">
        <v>9</v>
      </c>
      <c r="P61" s="77"/>
      <c r="Q61" s="77"/>
      <c r="R61" s="77">
        <f>1/11</f>
        <v>9.0909090909090912E-2</v>
      </c>
      <c r="S61" s="77">
        <f>1/11</f>
        <v>9.0909090909090912E-2</v>
      </c>
      <c r="T61" s="77">
        <f>3/11</f>
        <v>0.27272727272727271</v>
      </c>
      <c r="U61" s="77">
        <f>1/11</f>
        <v>9.0909090909090912E-2</v>
      </c>
      <c r="V61" s="77">
        <f>2/11</f>
        <v>0.18181818181818182</v>
      </c>
      <c r="W61" s="77"/>
      <c r="X61" s="62">
        <v>0.96595500000000001</v>
      </c>
      <c r="Y61" s="62">
        <v>0.56715000000000004</v>
      </c>
      <c r="Z61" s="62">
        <v>0.85528400000000004</v>
      </c>
      <c r="AA61" s="62">
        <v>0.72670000000000001</v>
      </c>
      <c r="AB61" s="79"/>
      <c r="AC61" s="8"/>
      <c r="AD61" s="62"/>
      <c r="AE61" s="62"/>
      <c r="AF61" s="36">
        <v>0.73</v>
      </c>
      <c r="AG61" s="36">
        <v>0.90909090909090906</v>
      </c>
      <c r="AI61" s="32"/>
      <c r="AJ61" s="32"/>
      <c r="AK61" s="32"/>
      <c r="AL61" s="32"/>
      <c r="AM61" s="32"/>
      <c r="AN61" s="32"/>
      <c r="AP61" s="8"/>
      <c r="AQ61" s="123"/>
      <c r="AR61" s="8"/>
      <c r="AS61" s="8"/>
      <c r="AT61" s="8"/>
      <c r="AU61" s="8"/>
      <c r="AV61" s="8"/>
      <c r="AW61" s="8"/>
      <c r="AX61" s="8"/>
      <c r="AY61" s="121"/>
      <c r="AZ61" s="121"/>
      <c r="BA61" s="8"/>
      <c r="BB61" s="118"/>
    </row>
    <row r="62" spans="1:79" s="36" customFormat="1">
      <c r="A62" s="25" t="s">
        <v>112</v>
      </c>
      <c r="B62" s="25"/>
      <c r="C62" s="25" t="s">
        <v>244</v>
      </c>
      <c r="D62" s="25">
        <v>14</v>
      </c>
      <c r="E62" s="25"/>
      <c r="F62" s="25"/>
      <c r="G62" s="78">
        <v>-60.21</v>
      </c>
      <c r="H62" s="78">
        <f t="shared" si="19"/>
        <v>25.481259780473966</v>
      </c>
      <c r="I62" s="78">
        <v>4.37</v>
      </c>
      <c r="J62" s="79">
        <v>34</v>
      </c>
      <c r="K62" s="76">
        <f t="shared" ref="K62:K73" si="20">H62/-G62</f>
        <v>0.42320644046626749</v>
      </c>
      <c r="L62" s="80">
        <v>2.9000000000000001E-2</v>
      </c>
      <c r="M62" s="124">
        <v>1.8955900000000001</v>
      </c>
      <c r="N62" s="124">
        <v>0.15540899999999999</v>
      </c>
      <c r="O62" s="36">
        <v>18</v>
      </c>
      <c r="P62" s="80"/>
      <c r="Q62" s="80"/>
      <c r="R62" s="80">
        <v>0</v>
      </c>
      <c r="S62" s="80">
        <f>1/18</f>
        <v>5.5555555555555552E-2</v>
      </c>
      <c r="T62" s="80">
        <v>0</v>
      </c>
      <c r="U62" s="80">
        <v>0</v>
      </c>
      <c r="V62" s="80">
        <f>1/18</f>
        <v>5.5555555555555552E-2</v>
      </c>
      <c r="W62" s="80"/>
      <c r="X62" s="79">
        <v>0.84993700000000005</v>
      </c>
      <c r="Y62" s="79">
        <v>0.67240999999999995</v>
      </c>
      <c r="Z62" s="79">
        <v>0.64815199999999995</v>
      </c>
      <c r="AA62" s="79">
        <v>0.53164100000000003</v>
      </c>
      <c r="AB62" s="79"/>
      <c r="AC62" s="36">
        <v>1.28068</v>
      </c>
      <c r="AD62" s="79">
        <v>0.76878899999999994</v>
      </c>
      <c r="AE62" s="79">
        <v>0.46929799999999999</v>
      </c>
      <c r="AF62" s="36">
        <v>0.97099999999999997</v>
      </c>
      <c r="AG62" s="36">
        <v>0.94444444444444442</v>
      </c>
      <c r="AI62" s="32"/>
      <c r="AJ62" s="32"/>
      <c r="AK62" s="32"/>
      <c r="AL62" s="32"/>
      <c r="AM62" s="32"/>
      <c r="AN62" s="32"/>
      <c r="AP62" s="8"/>
      <c r="AQ62" s="123"/>
      <c r="AR62" s="8"/>
      <c r="AS62" s="8"/>
      <c r="AT62" s="8"/>
      <c r="AU62" s="8"/>
      <c r="AV62" s="8"/>
      <c r="AW62" s="8"/>
      <c r="AX62" s="8"/>
      <c r="AY62" s="121"/>
      <c r="AZ62" s="121"/>
      <c r="BA62" s="8"/>
      <c r="BB62" s="8"/>
    </row>
    <row r="63" spans="1:79" s="36" customFormat="1">
      <c r="A63" s="25" t="s">
        <v>113</v>
      </c>
      <c r="B63" s="25" t="s">
        <v>36</v>
      </c>
      <c r="C63" s="25"/>
      <c r="D63" s="25">
        <v>11</v>
      </c>
      <c r="E63" s="25">
        <v>176</v>
      </c>
      <c r="F63" s="25">
        <v>226</v>
      </c>
      <c r="G63" s="81">
        <v>-115.444</v>
      </c>
      <c r="H63" s="71">
        <f t="shared" si="19"/>
        <v>11.32114256085489</v>
      </c>
      <c r="I63" s="81">
        <v>1.56996</v>
      </c>
      <c r="J63" s="74">
        <v>52</v>
      </c>
      <c r="K63" s="72">
        <f t="shared" si="20"/>
        <v>9.8066097509224293E-2</v>
      </c>
      <c r="L63" s="75">
        <v>0</v>
      </c>
      <c r="M63" s="124">
        <v>2.1904599999999999</v>
      </c>
      <c r="N63" s="124">
        <v>7.3734599999999997E-2</v>
      </c>
      <c r="O63" s="36">
        <v>25</v>
      </c>
      <c r="P63" s="75"/>
      <c r="Q63" s="75"/>
      <c r="R63" s="75">
        <v>0</v>
      </c>
      <c r="S63" s="75">
        <v>0</v>
      </c>
      <c r="T63" s="75">
        <v>0</v>
      </c>
      <c r="U63" s="75">
        <v>0</v>
      </c>
      <c r="V63" s="75">
        <v>0</v>
      </c>
      <c r="W63" s="75"/>
      <c r="X63" s="25">
        <v>0.58415499999999998</v>
      </c>
      <c r="Y63" s="25">
        <v>0.46281299999999997</v>
      </c>
      <c r="Z63" s="25">
        <v>0.42123699999999997</v>
      </c>
      <c r="AA63" s="25">
        <v>0.31416699999999997</v>
      </c>
      <c r="AB63" s="25"/>
      <c r="AC63" s="36">
        <v>0.64046599999999998</v>
      </c>
      <c r="AD63" s="25">
        <v>0.46409499999999998</v>
      </c>
      <c r="AE63" s="25">
        <v>0.51600100000000004</v>
      </c>
      <c r="AF63" s="36">
        <v>1</v>
      </c>
      <c r="AG63" s="36">
        <v>1</v>
      </c>
      <c r="AI63" s="32"/>
      <c r="AJ63" s="32"/>
      <c r="AK63" s="32"/>
      <c r="AL63" s="32"/>
      <c r="AM63" s="32"/>
      <c r="AN63" s="32"/>
      <c r="AP63" s="8"/>
      <c r="AQ63" s="8"/>
      <c r="AR63" s="8"/>
      <c r="AS63" s="8"/>
      <c r="AT63" s="8"/>
      <c r="AU63" s="8"/>
      <c r="AV63" s="8"/>
      <c r="AW63" s="8"/>
      <c r="AX63" s="8"/>
      <c r="AY63" s="121"/>
      <c r="AZ63" s="121"/>
      <c r="BA63" s="8"/>
      <c r="BB63" s="8"/>
    </row>
    <row r="64" spans="1:79" s="36" customFormat="1">
      <c r="A64" s="25" t="s">
        <v>114</v>
      </c>
      <c r="B64" s="25" t="s">
        <v>36</v>
      </c>
      <c r="C64" s="25"/>
      <c r="D64" s="25">
        <v>21</v>
      </c>
      <c r="E64" s="25">
        <v>226</v>
      </c>
      <c r="F64" s="25">
        <v>176</v>
      </c>
      <c r="G64" s="81">
        <v>-73.4375</v>
      </c>
      <c r="H64" s="71">
        <f t="shared" si="19"/>
        <v>16.797163761540222</v>
      </c>
      <c r="I64" s="81">
        <v>1.87798</v>
      </c>
      <c r="J64" s="74">
        <v>80</v>
      </c>
      <c r="K64" s="72">
        <f t="shared" si="20"/>
        <v>0.22872733632735623</v>
      </c>
      <c r="L64" s="75">
        <v>0</v>
      </c>
      <c r="M64" s="124">
        <v>1.66723</v>
      </c>
      <c r="N64" s="124">
        <v>9.68942E-2</v>
      </c>
      <c r="O64" s="36">
        <v>24</v>
      </c>
      <c r="P64" s="75"/>
      <c r="Q64" s="75"/>
      <c r="R64" s="75">
        <v>0</v>
      </c>
      <c r="S64" s="75">
        <v>0</v>
      </c>
      <c r="T64" s="75">
        <v>0</v>
      </c>
      <c r="U64" s="75">
        <v>0</v>
      </c>
      <c r="V64" s="6">
        <f>1/14</f>
        <v>7.1428571428571425E-2</v>
      </c>
      <c r="W64" s="6"/>
      <c r="X64" s="74">
        <v>0.65150300000000005</v>
      </c>
      <c r="Y64" s="74">
        <v>0.51092899999999997</v>
      </c>
      <c r="Z64" s="74">
        <v>0.42265399999999997</v>
      </c>
      <c r="AA64" s="74">
        <v>0.39327600000000001</v>
      </c>
      <c r="AC64" s="36">
        <v>0.71229100000000001</v>
      </c>
      <c r="AD64" s="74">
        <v>0.64225100000000002</v>
      </c>
      <c r="AE64" s="74">
        <v>0.75148099999999995</v>
      </c>
      <c r="AF64" s="36">
        <v>1</v>
      </c>
      <c r="AG64" s="36">
        <v>1</v>
      </c>
      <c r="AI64" s="32"/>
      <c r="AJ64" s="32"/>
      <c r="AK64" s="32"/>
      <c r="AL64" s="32"/>
      <c r="AM64" s="32"/>
      <c r="AN64" s="32"/>
      <c r="AP64" s="8"/>
      <c r="AQ64" s="8"/>
      <c r="AR64" s="8"/>
      <c r="AS64" s="8"/>
      <c r="AT64" s="8"/>
      <c r="AU64" s="8"/>
      <c r="AV64" s="8"/>
      <c r="AW64" s="8"/>
      <c r="AX64" s="8"/>
      <c r="AY64" s="121"/>
      <c r="AZ64" s="121"/>
      <c r="BA64" s="8"/>
      <c r="BB64" s="8"/>
    </row>
    <row r="65" spans="1:54" s="36" customFormat="1">
      <c r="A65" s="36" t="s">
        <v>115</v>
      </c>
      <c r="B65" s="36" t="s">
        <v>229</v>
      </c>
      <c r="D65" s="36">
        <v>19</v>
      </c>
      <c r="E65" s="36">
        <v>156</v>
      </c>
      <c r="F65" s="36">
        <v>191</v>
      </c>
      <c r="G65" s="2">
        <v>-49.290999999999997</v>
      </c>
      <c r="H65" s="71">
        <f t="shared" si="19"/>
        <v>14.1784</v>
      </c>
      <c r="I65" s="2">
        <v>1.7723</v>
      </c>
      <c r="J65" s="74">
        <v>64</v>
      </c>
      <c r="K65" s="72">
        <f t="shared" si="20"/>
        <v>0.28764683207887853</v>
      </c>
      <c r="L65" s="75">
        <v>0.11</v>
      </c>
      <c r="M65" s="124">
        <v>2.2459099999999999</v>
      </c>
      <c r="N65" s="124">
        <v>0.33077499999999999</v>
      </c>
      <c r="O65" s="36">
        <v>32</v>
      </c>
      <c r="P65" s="75"/>
      <c r="Q65" s="75"/>
      <c r="R65" s="6">
        <f>4/35</f>
        <v>0.11428571428571428</v>
      </c>
      <c r="S65" s="6">
        <f>1/35</f>
        <v>2.8571428571428571E-2</v>
      </c>
      <c r="T65" s="6">
        <v>0</v>
      </c>
      <c r="U65" s="6">
        <v>0</v>
      </c>
      <c r="V65" s="6">
        <f>2/35</f>
        <v>5.7142857142857141E-2</v>
      </c>
      <c r="W65" s="6"/>
      <c r="X65" s="74">
        <v>0.91987699999999994</v>
      </c>
      <c r="Y65" s="74">
        <v>0.87528399999999995</v>
      </c>
      <c r="Z65" s="74">
        <v>0.89798599999999995</v>
      </c>
      <c r="AA65" s="74">
        <v>0.69281300000000001</v>
      </c>
      <c r="AC65" s="36">
        <v>1.2985899999999999</v>
      </c>
      <c r="AD65" s="74">
        <v>0.66838299999999995</v>
      </c>
      <c r="AE65" s="74">
        <v>1.2331799999999999</v>
      </c>
      <c r="AF65" s="36">
        <v>0.89</v>
      </c>
      <c r="AG65" s="36">
        <v>0.97142857142857142</v>
      </c>
      <c r="AI65" s="32"/>
      <c r="AJ65" s="32"/>
      <c r="AK65" s="32"/>
      <c r="AL65" s="32"/>
      <c r="AM65" s="32"/>
      <c r="AN65" s="32"/>
      <c r="AP65" s="8"/>
      <c r="AQ65" s="8"/>
      <c r="AR65" s="8"/>
      <c r="AS65" s="8"/>
      <c r="AT65" s="8"/>
      <c r="AU65" s="8"/>
      <c r="AV65" s="8"/>
      <c r="AW65" s="8"/>
      <c r="AX65" s="8"/>
      <c r="AY65" s="121"/>
      <c r="AZ65" s="121"/>
      <c r="BA65" s="8"/>
      <c r="BB65" s="8"/>
    </row>
    <row r="66" spans="1:54" s="36" customFormat="1">
      <c r="A66" s="36" t="s">
        <v>116</v>
      </c>
      <c r="B66" s="25" t="s">
        <v>36</v>
      </c>
      <c r="D66" s="25">
        <v>20</v>
      </c>
      <c r="E66" s="36">
        <v>134</v>
      </c>
      <c r="F66" s="36">
        <v>136</v>
      </c>
      <c r="G66" s="2">
        <v>-46.791899999999998</v>
      </c>
      <c r="H66" s="71">
        <f t="shared" si="19"/>
        <v>9.9623928586459591</v>
      </c>
      <c r="I66" s="2">
        <v>1.2171000000000001</v>
      </c>
      <c r="J66" s="74">
        <v>67</v>
      </c>
      <c r="K66" s="72">
        <f t="shared" si="20"/>
        <v>0.2129084918254219</v>
      </c>
      <c r="L66" s="75">
        <v>0</v>
      </c>
      <c r="M66" s="124">
        <v>2.2717000000000001</v>
      </c>
      <c r="N66" s="124">
        <v>0.11859</v>
      </c>
      <c r="O66" s="36">
        <v>45</v>
      </c>
      <c r="P66" s="75"/>
      <c r="Q66" s="75"/>
      <c r="R66" s="75">
        <v>0</v>
      </c>
      <c r="S66" s="75">
        <v>0</v>
      </c>
      <c r="T66" s="75">
        <v>0</v>
      </c>
      <c r="U66" s="75">
        <v>0</v>
      </c>
      <c r="V66" s="75">
        <v>0</v>
      </c>
      <c r="W66" s="75"/>
      <c r="X66" s="74">
        <v>0.72281300000000004</v>
      </c>
      <c r="Y66" s="74">
        <v>0.59833000000000003</v>
      </c>
      <c r="Z66" s="74">
        <v>0.55744099999999996</v>
      </c>
      <c r="AA66" s="74">
        <v>0.48198200000000002</v>
      </c>
      <c r="AC66" s="36">
        <v>0.88379300000000005</v>
      </c>
      <c r="AD66" s="74">
        <v>0.71418800000000005</v>
      </c>
      <c r="AE66" s="74">
        <v>0.77766900000000005</v>
      </c>
      <c r="AF66" s="36">
        <v>1</v>
      </c>
      <c r="AG66" s="36">
        <v>1</v>
      </c>
      <c r="AI66" s="32"/>
      <c r="AJ66" s="32"/>
      <c r="AK66" s="32"/>
      <c r="AL66" s="32"/>
      <c r="AM66" s="32"/>
      <c r="AN66" s="32"/>
      <c r="AP66" s="8"/>
      <c r="AQ66" s="8"/>
      <c r="AR66" s="8"/>
      <c r="AS66" s="8"/>
      <c r="AT66" s="8"/>
      <c r="AU66" s="8"/>
      <c r="AV66" s="8"/>
      <c r="AW66" s="8"/>
      <c r="AX66" s="8"/>
      <c r="AY66" s="121"/>
      <c r="AZ66" s="121"/>
      <c r="BA66" s="8"/>
      <c r="BB66" s="8"/>
    </row>
    <row r="67" spans="1:54" s="36" customFormat="1">
      <c r="A67" s="36" t="s">
        <v>117</v>
      </c>
      <c r="B67" s="25" t="s">
        <v>36</v>
      </c>
      <c r="D67" s="25">
        <v>19</v>
      </c>
      <c r="E67" s="36">
        <v>136</v>
      </c>
      <c r="F67" s="36">
        <v>134</v>
      </c>
      <c r="G67" s="2">
        <v>-25.72</v>
      </c>
      <c r="H67" s="71">
        <f t="shared" si="19"/>
        <v>10.668229460636848</v>
      </c>
      <c r="I67" s="2">
        <v>0.90813999999999995</v>
      </c>
      <c r="J67" s="74">
        <v>138</v>
      </c>
      <c r="K67" s="72">
        <f t="shared" si="20"/>
        <v>0.41478341604342334</v>
      </c>
      <c r="L67" s="75">
        <v>7.1999999999999995E-2</v>
      </c>
      <c r="M67" s="124">
        <v>2.2417699999999998</v>
      </c>
      <c r="N67" s="124">
        <v>0.29292200000000002</v>
      </c>
      <c r="O67" s="36">
        <v>40</v>
      </c>
      <c r="P67" s="75"/>
      <c r="Q67" s="75"/>
      <c r="R67" s="6">
        <f>1/44</f>
        <v>2.2727272727272728E-2</v>
      </c>
      <c r="S67" s="6">
        <f>4/44</f>
        <v>9.0909090909090912E-2</v>
      </c>
      <c r="T67" s="6">
        <f>2/44</f>
        <v>4.5454545454545456E-2</v>
      </c>
      <c r="U67" s="6">
        <f>5/44</f>
        <v>0.11363636363636363</v>
      </c>
      <c r="V67" s="6">
        <f>3/44</f>
        <v>6.8181818181818177E-2</v>
      </c>
      <c r="W67" s="6"/>
      <c r="X67" s="74">
        <v>0.79857</v>
      </c>
      <c r="Y67" s="74">
        <v>0.75424999999999998</v>
      </c>
      <c r="Z67" s="74">
        <v>0.67233299999999996</v>
      </c>
      <c r="AA67" s="74">
        <v>0.64580199999999999</v>
      </c>
      <c r="AC67" s="36">
        <v>0.75441800000000003</v>
      </c>
      <c r="AD67" s="74">
        <v>0.85372499999999996</v>
      </c>
      <c r="AE67" s="74">
        <v>0.71857899999999997</v>
      </c>
      <c r="AF67" s="36">
        <v>0.92800000000000005</v>
      </c>
      <c r="AG67" s="36">
        <v>0.90909090909090906</v>
      </c>
      <c r="AI67" s="32"/>
      <c r="AJ67" s="32"/>
      <c r="AK67" s="32"/>
      <c r="AL67" s="32"/>
      <c r="AM67" s="32"/>
      <c r="AN67" s="32"/>
      <c r="AP67" s="8"/>
      <c r="AQ67" s="8"/>
      <c r="AR67" s="8"/>
      <c r="AS67" s="8"/>
      <c r="AT67" s="8"/>
      <c r="AU67" s="8"/>
      <c r="AV67" s="8"/>
      <c r="AW67" s="8"/>
      <c r="AX67" s="8"/>
      <c r="AY67" s="121"/>
      <c r="AZ67" s="121"/>
      <c r="BA67" s="8"/>
      <c r="BB67" s="8"/>
    </row>
    <row r="68" spans="1:54" s="36" customFormat="1">
      <c r="A68" s="36" t="s">
        <v>118</v>
      </c>
      <c r="B68" s="25" t="s">
        <v>229</v>
      </c>
      <c r="D68" s="25">
        <v>42</v>
      </c>
      <c r="E68" s="36">
        <v>219</v>
      </c>
      <c r="F68" s="36">
        <v>117</v>
      </c>
      <c r="G68" s="2">
        <v>-19.007899999999999</v>
      </c>
      <c r="H68" s="71">
        <f t="shared" si="19"/>
        <v>7.1573120000000001</v>
      </c>
      <c r="I68" s="2">
        <v>0.89466400000000001</v>
      </c>
      <c r="J68" s="74">
        <v>64</v>
      </c>
      <c r="K68" s="72">
        <f t="shared" si="20"/>
        <v>0.376544068518879</v>
      </c>
      <c r="L68" s="75">
        <v>0.18</v>
      </c>
      <c r="M68" s="124">
        <v>2.4739300000000002</v>
      </c>
      <c r="N68" s="124">
        <v>0.35817900000000003</v>
      </c>
      <c r="O68" s="36">
        <v>25</v>
      </c>
      <c r="P68" s="75"/>
      <c r="Q68" s="75"/>
      <c r="R68" s="6">
        <f>3/29</f>
        <v>0.10344827586206896</v>
      </c>
      <c r="S68" s="6">
        <f>1/29</f>
        <v>3.4482758620689655E-2</v>
      </c>
      <c r="T68" s="6">
        <f>3/29</f>
        <v>0.10344827586206896</v>
      </c>
      <c r="U68" s="6">
        <f>2/29</f>
        <v>6.8965517241379309E-2</v>
      </c>
      <c r="V68" s="6">
        <f>4/29</f>
        <v>0.13793103448275862</v>
      </c>
      <c r="W68" s="6"/>
      <c r="X68" s="74">
        <v>0.91366400000000003</v>
      </c>
      <c r="Y68" s="74">
        <v>0.97006400000000004</v>
      </c>
      <c r="Z68" s="74">
        <v>0.82828000000000002</v>
      </c>
      <c r="AA68" s="74">
        <v>0.70680600000000005</v>
      </c>
      <c r="AD68" s="74">
        <v>0.90225699999999998</v>
      </c>
      <c r="AE68" s="74"/>
      <c r="AF68" s="36">
        <v>0.82000000000000006</v>
      </c>
      <c r="AG68" s="36">
        <v>0.96551724137931039</v>
      </c>
      <c r="AI68" s="32"/>
      <c r="AK68" s="32"/>
      <c r="AL68" s="32"/>
      <c r="AM68" s="32"/>
      <c r="AN68" s="32"/>
      <c r="AP68" s="8"/>
      <c r="AQ68" s="8"/>
      <c r="AR68" s="8"/>
      <c r="AS68" s="8"/>
      <c r="AT68" s="8"/>
      <c r="AU68" s="8"/>
      <c r="AV68" s="8"/>
      <c r="AW68" s="8"/>
      <c r="AX68" s="8"/>
      <c r="AY68" s="121"/>
      <c r="AZ68" s="121"/>
      <c r="BA68" s="8"/>
      <c r="BB68" s="8"/>
    </row>
    <row r="69" spans="1:54" s="36" customFormat="1">
      <c r="A69" s="36" t="s">
        <v>119</v>
      </c>
      <c r="B69" s="25" t="s">
        <v>229</v>
      </c>
      <c r="D69" s="25">
        <v>19</v>
      </c>
      <c r="E69" s="36">
        <v>186</v>
      </c>
      <c r="F69" s="36">
        <v>195</v>
      </c>
      <c r="G69" s="2">
        <v>-12.55</v>
      </c>
      <c r="H69" s="71">
        <f t="shared" si="19"/>
        <v>9.6636881710866476</v>
      </c>
      <c r="I69" s="2">
        <v>0.88217000000000001</v>
      </c>
      <c r="J69" s="74">
        <v>120</v>
      </c>
      <c r="K69" s="72">
        <f t="shared" si="20"/>
        <v>0.77001499371208337</v>
      </c>
      <c r="L69" s="75">
        <v>0.53</v>
      </c>
      <c r="M69" s="124">
        <v>2.66188</v>
      </c>
      <c r="N69" s="124">
        <v>0.56808700000000001</v>
      </c>
      <c r="O69" s="36">
        <v>35</v>
      </c>
      <c r="P69" s="75"/>
      <c r="Q69" s="75"/>
      <c r="R69" s="6">
        <f>10/58</f>
        <v>0.17241379310344829</v>
      </c>
      <c r="S69" s="6">
        <f>14/58</f>
        <v>0.2413793103448276</v>
      </c>
      <c r="T69" s="6">
        <f>5/58</f>
        <v>8.6206896551724144E-2</v>
      </c>
      <c r="U69" s="6">
        <f>2/58</f>
        <v>3.4482758620689655E-2</v>
      </c>
      <c r="V69" s="6">
        <f>8/58</f>
        <v>0.13793103448275862</v>
      </c>
      <c r="W69" s="6"/>
      <c r="X69" s="74">
        <v>1.4875499999999999</v>
      </c>
      <c r="Y69" s="74">
        <v>1.8448199999999999</v>
      </c>
      <c r="Z69" s="74">
        <v>1.49509</v>
      </c>
      <c r="AA69" s="74">
        <v>1.2761899999999999</v>
      </c>
      <c r="AD69" s="74">
        <v>1.50912</v>
      </c>
      <c r="AE69" s="74"/>
      <c r="AF69" s="36">
        <v>0.47</v>
      </c>
      <c r="AG69" s="36">
        <v>0.75862068965517238</v>
      </c>
      <c r="AI69" s="32"/>
      <c r="AK69" s="32"/>
      <c r="AL69" s="32"/>
      <c r="AM69" s="32"/>
      <c r="AN69" s="32"/>
      <c r="AP69" s="8"/>
      <c r="AQ69" s="8"/>
      <c r="AR69" s="8"/>
      <c r="AS69" s="8"/>
      <c r="AT69" s="8"/>
      <c r="AU69" s="8"/>
      <c r="AV69" s="8"/>
      <c r="AW69" s="8"/>
      <c r="AX69" s="8"/>
      <c r="AY69" s="121"/>
      <c r="AZ69" s="121"/>
      <c r="BA69" s="8"/>
      <c r="BB69" s="8"/>
    </row>
    <row r="70" spans="1:54" s="36" customFormat="1">
      <c r="A70" s="36" t="s">
        <v>120</v>
      </c>
      <c r="B70" s="25" t="s">
        <v>36</v>
      </c>
      <c r="D70" s="25">
        <v>15</v>
      </c>
      <c r="E70" s="36">
        <v>124</v>
      </c>
      <c r="F70" s="36">
        <v>148</v>
      </c>
      <c r="G70" s="2">
        <v>-60.9499</v>
      </c>
      <c r="H70" s="71">
        <f t="shared" si="19"/>
        <v>10.359465162101758</v>
      </c>
      <c r="I70" s="2">
        <v>0.99683999999999995</v>
      </c>
      <c r="J70" s="74">
        <v>108</v>
      </c>
      <c r="K70" s="72">
        <f t="shared" si="20"/>
        <v>0.16996689349944394</v>
      </c>
      <c r="L70" s="75">
        <v>0</v>
      </c>
      <c r="M70" s="124">
        <v>1.8789899999999999</v>
      </c>
      <c r="N70" s="124">
        <v>0.10215</v>
      </c>
      <c r="O70" s="36">
        <v>52</v>
      </c>
      <c r="P70" s="75"/>
      <c r="Q70" s="75"/>
      <c r="R70" s="75">
        <v>0</v>
      </c>
      <c r="S70" s="75">
        <v>0</v>
      </c>
      <c r="T70" s="75">
        <v>0</v>
      </c>
      <c r="U70" s="75">
        <v>0</v>
      </c>
      <c r="V70" s="75">
        <v>0</v>
      </c>
      <c r="W70" s="75"/>
      <c r="X70" s="74">
        <v>0.72890100000000002</v>
      </c>
      <c r="Y70" s="74">
        <v>0.63568499999999994</v>
      </c>
      <c r="Z70" s="74">
        <v>0.51854900000000004</v>
      </c>
      <c r="AA70" s="74">
        <v>0.46699200000000002</v>
      </c>
      <c r="AD70" s="74">
        <v>0.72316800000000003</v>
      </c>
      <c r="AE70" s="74"/>
      <c r="AF70" s="36">
        <v>1</v>
      </c>
      <c r="AG70" s="36">
        <v>1</v>
      </c>
      <c r="AI70" s="32"/>
      <c r="AK70" s="32"/>
      <c r="AL70" s="32"/>
      <c r="AM70" s="32"/>
      <c r="AN70" s="32"/>
      <c r="AP70" s="8"/>
      <c r="AQ70" s="8"/>
      <c r="AR70" s="8"/>
      <c r="AS70" s="8"/>
      <c r="AT70" s="8"/>
      <c r="AU70" s="8"/>
      <c r="AV70" s="8"/>
      <c r="AW70" s="8"/>
      <c r="AX70" s="8"/>
      <c r="AY70" s="121"/>
      <c r="AZ70" s="121"/>
      <c r="BA70" s="8"/>
      <c r="BB70" s="8"/>
    </row>
    <row r="71" spans="1:54" s="36" customFormat="1">
      <c r="A71" s="36" t="s">
        <v>121</v>
      </c>
      <c r="B71" s="36" t="s">
        <v>36</v>
      </c>
      <c r="D71" s="25">
        <v>16</v>
      </c>
      <c r="E71" s="36">
        <v>228</v>
      </c>
      <c r="F71" s="36">
        <v>137</v>
      </c>
      <c r="G71" s="2">
        <v>-31.230799999999999</v>
      </c>
      <c r="H71" s="71">
        <f t="shared" si="19"/>
        <v>15.770688679623346</v>
      </c>
      <c r="I71" s="2">
        <v>1.3623799999999999</v>
      </c>
      <c r="J71" s="74">
        <v>134</v>
      </c>
      <c r="K71" s="72">
        <f t="shared" si="20"/>
        <v>0.50497229272459709</v>
      </c>
      <c r="L71" s="75">
        <v>0.18</v>
      </c>
      <c r="M71" s="124">
        <v>2.5226299999999999</v>
      </c>
      <c r="N71" s="124">
        <v>0.52891100000000002</v>
      </c>
      <c r="O71" s="36">
        <v>62</v>
      </c>
      <c r="P71" s="75"/>
      <c r="Q71" s="75"/>
      <c r="R71" s="6">
        <f>7/76</f>
        <v>9.2105263157894732E-2</v>
      </c>
      <c r="S71" s="6">
        <f>1/76</f>
        <v>1.3157894736842105E-2</v>
      </c>
      <c r="T71" s="6">
        <f>1/76</f>
        <v>1.3157894736842105E-2</v>
      </c>
      <c r="U71" s="6">
        <v>0</v>
      </c>
      <c r="V71" s="6">
        <f>4/76</f>
        <v>5.2631578947368418E-2</v>
      </c>
      <c r="W71" s="6"/>
      <c r="X71" s="74">
        <v>1.1146499999999999</v>
      </c>
      <c r="Y71" s="74">
        <v>1.1472199999999999</v>
      </c>
      <c r="Z71" s="74">
        <v>0.99936000000000003</v>
      </c>
      <c r="AA71" s="74">
        <v>1.0085900000000001</v>
      </c>
      <c r="AD71" s="74">
        <v>1.0424599999999999</v>
      </c>
      <c r="AE71" s="74"/>
      <c r="AF71" s="36">
        <v>0.82000000000000006</v>
      </c>
      <c r="AG71" s="36">
        <v>0.98684210526315785</v>
      </c>
      <c r="AI71" s="32"/>
      <c r="AK71" s="32"/>
      <c r="AL71" s="32"/>
      <c r="AM71" s="32"/>
      <c r="AN71" s="32"/>
      <c r="AP71" s="8"/>
      <c r="AQ71" s="8"/>
      <c r="AR71" s="8"/>
      <c r="AS71" s="8"/>
      <c r="AT71" s="8"/>
      <c r="AU71" s="8"/>
      <c r="AV71" s="8"/>
      <c r="AW71" s="8"/>
      <c r="AX71" s="8"/>
      <c r="AY71" s="121"/>
      <c r="AZ71" s="121"/>
      <c r="BA71" s="8"/>
      <c r="BB71" s="8"/>
    </row>
    <row r="72" spans="1:54" s="36" customFormat="1">
      <c r="A72" s="36" t="s">
        <v>122</v>
      </c>
      <c r="B72" s="36" t="s">
        <v>36</v>
      </c>
      <c r="D72" s="25">
        <v>21</v>
      </c>
      <c r="E72" s="36">
        <v>129</v>
      </c>
      <c r="F72" s="36">
        <v>157</v>
      </c>
      <c r="G72" s="2">
        <v>-41.7682</v>
      </c>
      <c r="H72" s="71">
        <f t="shared" si="19"/>
        <v>9.6864654848978837</v>
      </c>
      <c r="I72" s="2">
        <v>0.95910300000000004</v>
      </c>
      <c r="J72" s="74">
        <v>102</v>
      </c>
      <c r="K72" s="72">
        <f t="shared" si="20"/>
        <v>0.23191005321986305</v>
      </c>
      <c r="L72" s="75">
        <v>0</v>
      </c>
      <c r="M72" s="124">
        <v>2.1167500000000001</v>
      </c>
      <c r="N72" s="124">
        <v>0.144007</v>
      </c>
      <c r="O72" s="36">
        <v>45</v>
      </c>
      <c r="P72" s="75"/>
      <c r="Q72" s="75"/>
      <c r="R72" s="75">
        <v>0</v>
      </c>
      <c r="S72" s="75">
        <v>0</v>
      </c>
      <c r="T72" s="75">
        <v>0</v>
      </c>
      <c r="U72" s="75">
        <v>0</v>
      </c>
      <c r="V72" s="75">
        <v>0</v>
      </c>
      <c r="W72" s="75"/>
      <c r="X72" s="74">
        <v>0.83006100000000005</v>
      </c>
      <c r="Y72" s="74">
        <v>0.68442700000000001</v>
      </c>
      <c r="Z72" s="74">
        <v>0.61475900000000006</v>
      </c>
      <c r="AA72" s="74">
        <v>0.58563600000000005</v>
      </c>
      <c r="AD72" s="74">
        <v>0.68367</v>
      </c>
      <c r="AE72" s="74"/>
      <c r="AF72" s="36">
        <v>1</v>
      </c>
      <c r="AG72" s="36">
        <v>1</v>
      </c>
      <c r="AI72" s="32"/>
      <c r="AK72" s="32"/>
      <c r="AL72" s="32"/>
      <c r="AM72" s="32"/>
      <c r="AN72" s="32"/>
      <c r="AP72" s="8"/>
      <c r="AQ72" s="125"/>
      <c r="AR72" s="8"/>
      <c r="AS72" s="8"/>
      <c r="AT72" s="8"/>
      <c r="AU72" s="8"/>
      <c r="AV72" s="8"/>
      <c r="AW72" s="8"/>
      <c r="AX72" s="8"/>
      <c r="AY72" s="121"/>
      <c r="AZ72" s="121"/>
      <c r="BA72" s="8"/>
      <c r="BB72" s="8"/>
    </row>
    <row r="73" spans="1:54" s="36" customFormat="1">
      <c r="A73" s="36" t="s">
        <v>123</v>
      </c>
      <c r="D73" s="25">
        <v>15</v>
      </c>
      <c r="E73" s="36">
        <v>244</v>
      </c>
      <c r="F73" s="36">
        <v>289</v>
      </c>
      <c r="G73" s="2">
        <v>-18.89</v>
      </c>
      <c r="H73" s="71">
        <f t="shared" si="19"/>
        <v>8.4379727328665854</v>
      </c>
      <c r="I73" s="2">
        <v>0.90988999999999998</v>
      </c>
      <c r="J73" s="74">
        <v>86</v>
      </c>
      <c r="K73" s="72">
        <f t="shared" si="20"/>
        <v>0.44668992762660586</v>
      </c>
      <c r="L73" s="75">
        <v>0.23</v>
      </c>
      <c r="M73" s="124">
        <v>1.8906799999999999</v>
      </c>
      <c r="N73" s="124">
        <v>0.47460599999999997</v>
      </c>
      <c r="O73" s="36">
        <v>32</v>
      </c>
      <c r="P73" s="75"/>
      <c r="Q73" s="75"/>
      <c r="R73" s="75">
        <v>0</v>
      </c>
      <c r="S73" s="6">
        <f>2/37</f>
        <v>5.4054054054054057E-2</v>
      </c>
      <c r="T73" s="6">
        <v>0</v>
      </c>
      <c r="U73" s="6">
        <f>1/37</f>
        <v>2.7027027027027029E-2</v>
      </c>
      <c r="V73" s="6">
        <f>2/37</f>
        <v>5.4054054054054057E-2</v>
      </c>
      <c r="W73" s="6"/>
      <c r="X73" s="74">
        <v>0.95993799999999996</v>
      </c>
      <c r="Y73" s="74">
        <v>1.04464</v>
      </c>
      <c r="Z73" s="74">
        <v>0.95985500000000001</v>
      </c>
      <c r="AA73" s="74">
        <v>0.87700999999999996</v>
      </c>
      <c r="AD73" s="74">
        <v>1.18102</v>
      </c>
      <c r="AE73" s="74"/>
      <c r="AF73" s="36">
        <v>0.77</v>
      </c>
      <c r="AG73" s="36">
        <v>0.94594594594594594</v>
      </c>
      <c r="AI73" s="32"/>
      <c r="AK73" s="32"/>
      <c r="AL73" s="32"/>
      <c r="AM73" s="32"/>
      <c r="AN73" s="32"/>
      <c r="AP73" s="8"/>
      <c r="AQ73" s="8"/>
      <c r="AR73" s="8"/>
      <c r="AS73" s="8"/>
      <c r="AT73" s="8"/>
      <c r="AU73" s="8"/>
      <c r="AV73" s="8"/>
      <c r="AW73" s="8"/>
      <c r="AX73" s="8"/>
      <c r="AY73" s="121"/>
      <c r="AZ73" s="121"/>
      <c r="BA73" s="8"/>
      <c r="BB73" s="8"/>
    </row>
    <row r="74" spans="1:54" s="36" customFormat="1">
      <c r="A74" s="63" t="s">
        <v>124</v>
      </c>
      <c r="B74" s="63"/>
      <c r="C74" s="63"/>
      <c r="D74" s="63">
        <v>12</v>
      </c>
      <c r="E74" s="51">
        <v>152</v>
      </c>
      <c r="F74" s="51">
        <v>68</v>
      </c>
      <c r="G74" s="69">
        <v>-87.77</v>
      </c>
      <c r="H74" s="71">
        <f t="shared" ref="H74:H84" si="21">I74*(SQRT(J74))</f>
        <v>37.161501584300922</v>
      </c>
      <c r="I74" s="69">
        <v>4.54</v>
      </c>
      <c r="J74" s="51">
        <v>67</v>
      </c>
      <c r="K74" s="72">
        <f t="shared" ref="K74:K84" si="22">H74/-G74</f>
        <v>0.42339639494475245</v>
      </c>
      <c r="L74" s="75">
        <v>0</v>
      </c>
      <c r="M74" s="124">
        <v>1.50789</v>
      </c>
      <c r="N74" s="124">
        <v>8.2275899999999999E-2</v>
      </c>
      <c r="O74" s="36">
        <v>16</v>
      </c>
      <c r="P74" s="75"/>
      <c r="Q74" s="75"/>
      <c r="R74" s="75">
        <v>0</v>
      </c>
      <c r="S74" s="6">
        <v>0</v>
      </c>
      <c r="T74" s="75">
        <v>0</v>
      </c>
      <c r="U74" s="6">
        <v>0</v>
      </c>
      <c r="V74" s="6">
        <f>1/12</f>
        <v>8.3333333333333329E-2</v>
      </c>
      <c r="W74" s="6"/>
      <c r="X74" s="126">
        <v>0.77673400000000004</v>
      </c>
      <c r="Y74" s="126">
        <v>0.50469299999999995</v>
      </c>
      <c r="Z74" s="126">
        <v>0.33197199999999999</v>
      </c>
      <c r="AA74" s="126">
        <v>0.59635000000000005</v>
      </c>
      <c r="AB74" s="51"/>
      <c r="AC74" s="36">
        <v>0.58849099999999999</v>
      </c>
      <c r="AD74" s="74">
        <v>0.76977499999999999</v>
      </c>
      <c r="AE74" s="36">
        <v>0.64830600000000005</v>
      </c>
      <c r="AF74" s="36">
        <v>1</v>
      </c>
      <c r="AG74" s="36">
        <v>1</v>
      </c>
      <c r="AI74" s="32"/>
      <c r="AK74" s="32"/>
      <c r="AL74" s="32"/>
      <c r="AM74" s="32"/>
      <c r="AN74" s="32"/>
      <c r="AP74" s="8"/>
      <c r="AQ74" s="64"/>
      <c r="AR74" s="8"/>
      <c r="AS74" s="8"/>
      <c r="AT74" s="8"/>
      <c r="AU74" s="8"/>
      <c r="AV74" s="8"/>
      <c r="AW74" s="8"/>
      <c r="AX74" s="8"/>
      <c r="AY74" s="121"/>
      <c r="AZ74" s="121"/>
      <c r="BA74" s="8"/>
      <c r="BB74" s="8"/>
    </row>
    <row r="75" spans="1:54" s="36" customFormat="1">
      <c r="A75" s="36" t="s">
        <v>125</v>
      </c>
      <c r="B75" s="36" t="s">
        <v>229</v>
      </c>
      <c r="D75" s="36">
        <v>19</v>
      </c>
      <c r="E75" s="36">
        <v>150</v>
      </c>
      <c r="F75" s="36">
        <v>30</v>
      </c>
      <c r="G75" s="2">
        <v>-40.994</v>
      </c>
      <c r="H75" s="71">
        <f t="shared" si="21"/>
        <v>5.7141904236990557</v>
      </c>
      <c r="I75" s="2">
        <v>0.61617699999999997</v>
      </c>
      <c r="J75" s="36">
        <v>86</v>
      </c>
      <c r="K75" s="72">
        <f t="shared" si="22"/>
        <v>0.13939089680682676</v>
      </c>
      <c r="L75" s="75">
        <v>0</v>
      </c>
      <c r="M75" s="124">
        <v>2.05321</v>
      </c>
      <c r="N75" s="124">
        <v>8.7323399999999995E-2</v>
      </c>
      <c r="O75" s="36">
        <v>12</v>
      </c>
      <c r="P75" s="75"/>
      <c r="Q75" s="75"/>
      <c r="R75" s="75">
        <v>0</v>
      </c>
      <c r="S75" s="75">
        <v>0</v>
      </c>
      <c r="T75" s="75">
        <v>0</v>
      </c>
      <c r="U75" s="75">
        <v>0</v>
      </c>
      <c r="V75" s="6">
        <f>1/12</f>
        <v>8.3333333333333329E-2</v>
      </c>
      <c r="W75" s="6"/>
      <c r="X75" s="74">
        <v>0.53516799999999998</v>
      </c>
      <c r="Y75" s="74">
        <v>0.51707199999999998</v>
      </c>
      <c r="Z75" s="74">
        <v>0.55790499999999998</v>
      </c>
      <c r="AA75" s="74">
        <v>0.42174899999999999</v>
      </c>
      <c r="AC75" s="36">
        <v>0.76355300000000004</v>
      </c>
      <c r="AD75" s="126">
        <v>0.51315599999999995</v>
      </c>
      <c r="AE75" s="74">
        <v>0.45544200000000001</v>
      </c>
      <c r="AF75" s="36">
        <v>1</v>
      </c>
      <c r="AG75" s="36">
        <v>1</v>
      </c>
      <c r="AI75" s="32"/>
      <c r="AL75" s="32"/>
      <c r="AM75" s="32"/>
      <c r="AN75" s="32"/>
      <c r="AP75" s="8"/>
      <c r="AQ75" s="64"/>
      <c r="AR75" s="8"/>
      <c r="AS75" s="8"/>
      <c r="AT75" s="8"/>
      <c r="AU75" s="8"/>
      <c r="AV75" s="8"/>
      <c r="AW75" s="8"/>
      <c r="AX75" s="8"/>
      <c r="AY75" s="121"/>
      <c r="AZ75" s="121"/>
      <c r="BA75" s="8"/>
      <c r="BB75" s="8"/>
    </row>
    <row r="76" spans="1:54" s="36" customFormat="1">
      <c r="A76" s="51" t="s">
        <v>126</v>
      </c>
      <c r="B76" s="51" t="s">
        <v>36</v>
      </c>
      <c r="C76" s="51"/>
      <c r="D76" s="51">
        <v>10</v>
      </c>
      <c r="E76" s="63">
        <v>198</v>
      </c>
      <c r="F76" s="63">
        <v>40</v>
      </c>
      <c r="G76" s="69">
        <v>-28.64</v>
      </c>
      <c r="H76" s="71">
        <f t="shared" si="21"/>
        <v>14.105013293152192</v>
      </c>
      <c r="I76" s="69">
        <v>1.37</v>
      </c>
      <c r="J76" s="51">
        <v>106</v>
      </c>
      <c r="K76" s="72">
        <f t="shared" si="22"/>
        <v>0.49249348090615191</v>
      </c>
      <c r="L76" s="75">
        <v>0.17</v>
      </c>
      <c r="M76" s="124">
        <v>1.73075</v>
      </c>
      <c r="N76" s="124">
        <v>0.27176600000000001</v>
      </c>
      <c r="O76" s="36">
        <v>19</v>
      </c>
      <c r="P76" s="75"/>
      <c r="Q76" s="75"/>
      <c r="R76" s="75">
        <v>0</v>
      </c>
      <c r="S76" s="6">
        <f>3/21</f>
        <v>0.14285714285714285</v>
      </c>
      <c r="T76" s="6">
        <f>2/21</f>
        <v>9.5238095238095233E-2</v>
      </c>
      <c r="U76" s="6">
        <f>1/21</f>
        <v>4.7619047619047616E-2</v>
      </c>
      <c r="V76" s="6">
        <f>3/21</f>
        <v>0.14285714285714285</v>
      </c>
      <c r="W76" s="6"/>
      <c r="X76" s="74">
        <v>0.55271300000000001</v>
      </c>
      <c r="Y76" s="74">
        <v>0.55531799999999998</v>
      </c>
      <c r="Z76" s="74">
        <v>0.663018</v>
      </c>
      <c r="AA76" s="74">
        <v>0.56141300000000005</v>
      </c>
      <c r="AC76" s="36">
        <v>0.72758699999999998</v>
      </c>
      <c r="AD76" s="74">
        <v>0.892845</v>
      </c>
      <c r="AE76" s="126">
        <v>0.92542199999999997</v>
      </c>
      <c r="AF76" s="36">
        <v>0.83</v>
      </c>
      <c r="AG76" s="36">
        <v>0.85714285714285721</v>
      </c>
      <c r="AI76" s="32"/>
      <c r="AL76" s="32"/>
      <c r="AM76" s="32"/>
      <c r="AP76" s="8"/>
      <c r="AQ76" s="64"/>
      <c r="AR76" s="8"/>
      <c r="AS76" s="8"/>
      <c r="AT76" s="8"/>
      <c r="AU76" s="8"/>
      <c r="AV76" s="8"/>
      <c r="AW76" s="8"/>
      <c r="AX76" s="8"/>
      <c r="AY76" s="121"/>
      <c r="AZ76" s="121"/>
      <c r="BA76" s="8"/>
      <c r="BB76" s="8"/>
    </row>
    <row r="77" spans="1:54" s="36" customFormat="1">
      <c r="A77" s="51" t="s">
        <v>127</v>
      </c>
      <c r="B77" s="51" t="s">
        <v>36</v>
      </c>
      <c r="C77" s="51"/>
      <c r="D77" s="51">
        <v>11</v>
      </c>
      <c r="E77" s="51">
        <v>144</v>
      </c>
      <c r="F77" s="51">
        <v>68</v>
      </c>
      <c r="G77" s="69">
        <v>-42.16</v>
      </c>
      <c r="H77" s="71">
        <f t="shared" si="21"/>
        <v>20.755237893119894</v>
      </c>
      <c r="I77" s="69">
        <v>1.97</v>
      </c>
      <c r="J77" s="51">
        <v>111</v>
      </c>
      <c r="K77" s="72">
        <f t="shared" si="22"/>
        <v>0.49229691397343206</v>
      </c>
      <c r="L77" s="75">
        <v>0.12</v>
      </c>
      <c r="M77" s="124">
        <v>1.96804</v>
      </c>
      <c r="N77" s="124">
        <v>0.28111000000000003</v>
      </c>
      <c r="O77" s="36">
        <v>32</v>
      </c>
      <c r="P77" s="75"/>
      <c r="Q77" s="75"/>
      <c r="R77" s="75">
        <v>0.12</v>
      </c>
      <c r="S77" s="75">
        <v>0</v>
      </c>
      <c r="T77" s="75">
        <v>0</v>
      </c>
      <c r="U77" s="6">
        <v>2.8571428571428571E-2</v>
      </c>
      <c r="V77" s="6">
        <v>5.7142857142857141E-2</v>
      </c>
      <c r="W77" s="6"/>
      <c r="X77" s="126">
        <v>0.72143199999999996</v>
      </c>
      <c r="Y77" s="126">
        <v>0.58880100000000002</v>
      </c>
      <c r="Z77" s="126">
        <v>0.53673000000000004</v>
      </c>
      <c r="AA77" s="126">
        <v>0.53961099999999995</v>
      </c>
      <c r="AB77" s="51"/>
      <c r="AC77" s="36">
        <v>0.91797399999999996</v>
      </c>
      <c r="AD77" s="74">
        <v>0.69673099999999999</v>
      </c>
      <c r="AE77" s="74">
        <v>0.66012700000000002</v>
      </c>
      <c r="AF77" s="36">
        <v>0.88</v>
      </c>
      <c r="AG77" s="36">
        <v>1</v>
      </c>
      <c r="AI77" s="32"/>
      <c r="AL77" s="32"/>
      <c r="AM77" s="32"/>
      <c r="AP77" s="8"/>
      <c r="AQ77" s="64"/>
      <c r="AR77" s="8"/>
      <c r="AS77" s="8"/>
      <c r="AT77" s="8"/>
      <c r="AU77" s="8"/>
      <c r="AV77" s="8"/>
      <c r="AW77" s="8"/>
      <c r="AX77" s="8"/>
      <c r="AY77" s="121"/>
      <c r="AZ77" s="121"/>
      <c r="BA77" s="8"/>
      <c r="BB77" s="8"/>
    </row>
    <row r="78" spans="1:54" s="36" customFormat="1">
      <c r="A78" s="51" t="s">
        <v>128</v>
      </c>
      <c r="B78" s="51" t="s">
        <v>229</v>
      </c>
      <c r="C78" s="51"/>
      <c r="D78" s="51">
        <v>15</v>
      </c>
      <c r="E78" s="51">
        <v>214</v>
      </c>
      <c r="F78" s="51">
        <v>57</v>
      </c>
      <c r="G78" s="69">
        <v>-132.44</v>
      </c>
      <c r="H78" s="71">
        <f t="shared" si="21"/>
        <v>37.042408129062018</v>
      </c>
      <c r="I78" s="69">
        <v>3.3</v>
      </c>
      <c r="J78" s="51">
        <v>126</v>
      </c>
      <c r="K78" s="72">
        <f t="shared" si="22"/>
        <v>0.27969199735021155</v>
      </c>
      <c r="L78" s="75">
        <v>0</v>
      </c>
      <c r="M78" s="124">
        <v>1.8259300000000001</v>
      </c>
      <c r="N78" s="124">
        <v>0.13792099999999999</v>
      </c>
      <c r="O78" s="36">
        <v>23</v>
      </c>
      <c r="P78" s="75"/>
      <c r="Q78" s="75"/>
      <c r="R78" s="75">
        <v>0</v>
      </c>
      <c r="S78" s="6">
        <f>1/35</f>
        <v>2.8571428571428571E-2</v>
      </c>
      <c r="T78" s="6">
        <f>1/35</f>
        <v>2.8571428571428571E-2</v>
      </c>
      <c r="U78" s="6">
        <f>1/35</f>
        <v>2.8571428571428571E-2</v>
      </c>
      <c r="V78" s="6">
        <f>4/35</f>
        <v>0.11428571428571428</v>
      </c>
      <c r="W78" s="6"/>
      <c r="X78" s="126">
        <v>0.53723699999999996</v>
      </c>
      <c r="Y78" s="126">
        <v>0.47845599999999999</v>
      </c>
      <c r="Z78" s="126">
        <v>0.506996</v>
      </c>
      <c r="AA78" s="126">
        <v>0.37298999999999999</v>
      </c>
      <c r="AB78" s="51"/>
      <c r="AC78" s="36">
        <v>0.69154300000000002</v>
      </c>
      <c r="AD78" s="126">
        <v>0.72631299999999999</v>
      </c>
      <c r="AE78" s="74">
        <v>0.56608499999999995</v>
      </c>
      <c r="AF78" s="36">
        <v>1</v>
      </c>
      <c r="AG78" s="36">
        <v>0.97142857142857142</v>
      </c>
      <c r="AI78" s="32"/>
      <c r="AL78" s="32"/>
      <c r="AM78" s="32"/>
      <c r="AP78" s="8"/>
      <c r="AQ78" s="64"/>
      <c r="AR78" s="8"/>
      <c r="AS78" s="8"/>
      <c r="AT78" s="8"/>
      <c r="AU78" s="8"/>
      <c r="AV78" s="8"/>
      <c r="AW78" s="8"/>
      <c r="AX78" s="8"/>
      <c r="AY78" s="121"/>
      <c r="AZ78" s="121"/>
      <c r="BA78" s="8"/>
      <c r="BB78" s="8"/>
    </row>
    <row r="79" spans="1:54" s="36" customFormat="1">
      <c r="A79" s="51" t="s">
        <v>129</v>
      </c>
      <c r="B79" s="51" t="s">
        <v>36</v>
      </c>
      <c r="C79" s="51"/>
      <c r="D79" s="51">
        <v>12</v>
      </c>
      <c r="E79" s="51">
        <v>144</v>
      </c>
      <c r="F79" s="51">
        <v>36</v>
      </c>
      <c r="G79" s="69">
        <v>-19.695799999999998</v>
      </c>
      <c r="H79" s="71">
        <f t="shared" si="21"/>
        <v>7.106109957980526</v>
      </c>
      <c r="I79" s="69">
        <v>0.67754099999999995</v>
      </c>
      <c r="J79" s="51">
        <v>110</v>
      </c>
      <c r="K79" s="72">
        <f t="shared" si="22"/>
        <v>0.36079316189139443</v>
      </c>
      <c r="L79" s="75">
        <v>0.2</v>
      </c>
      <c r="M79" s="124">
        <v>2.0963799999999999</v>
      </c>
      <c r="N79" s="124">
        <v>0.21829000000000001</v>
      </c>
      <c r="O79" s="36">
        <v>33</v>
      </c>
      <c r="P79" s="75"/>
      <c r="Q79" s="75"/>
      <c r="R79" s="6">
        <f>4/38</f>
        <v>0.10526315789473684</v>
      </c>
      <c r="S79" s="6">
        <f>2/38</f>
        <v>5.2631578947368418E-2</v>
      </c>
      <c r="T79" s="6">
        <f>5/38</f>
        <v>0.13157894736842105</v>
      </c>
      <c r="U79" s="6">
        <f>5/38</f>
        <v>0.13157894736842105</v>
      </c>
      <c r="V79" s="6">
        <f>9/38</f>
        <v>0.23684210526315788</v>
      </c>
      <c r="W79" s="6"/>
      <c r="X79" s="25">
        <v>0.84768900000000003</v>
      </c>
      <c r="Y79" s="25">
        <v>0.68333600000000005</v>
      </c>
      <c r="Z79" s="25">
        <v>0.60774700000000004</v>
      </c>
      <c r="AA79" s="25">
        <v>0.57690300000000005</v>
      </c>
      <c r="AB79" s="79"/>
      <c r="AC79" s="36">
        <v>1.02101</v>
      </c>
      <c r="AD79" s="126">
        <v>0.90178700000000001</v>
      </c>
      <c r="AE79" s="126">
        <v>1.1663600000000001</v>
      </c>
      <c r="AF79" s="36">
        <v>0.8</v>
      </c>
      <c r="AG79" s="36">
        <v>0.94736842105263164</v>
      </c>
      <c r="AI79" s="32"/>
      <c r="AL79" s="32"/>
      <c r="AM79" s="32"/>
      <c r="AP79" s="8"/>
      <c r="AQ79" s="8"/>
      <c r="AR79" s="8"/>
      <c r="AS79" s="8"/>
      <c r="AT79" s="8"/>
      <c r="AU79" s="8"/>
      <c r="AV79" s="8"/>
      <c r="AW79" s="8"/>
      <c r="AX79" s="8"/>
      <c r="AY79" s="121"/>
      <c r="AZ79" s="121"/>
      <c r="BA79" s="8"/>
      <c r="BB79" s="8"/>
    </row>
    <row r="80" spans="1:54" s="36" customFormat="1">
      <c r="A80" s="51" t="s">
        <v>130</v>
      </c>
      <c r="B80" s="51" t="s">
        <v>229</v>
      </c>
      <c r="C80" s="51"/>
      <c r="D80" s="51">
        <v>15</v>
      </c>
      <c r="E80" s="51">
        <v>187</v>
      </c>
      <c r="F80" s="51">
        <v>42</v>
      </c>
      <c r="G80" s="69">
        <v>-24.69</v>
      </c>
      <c r="H80" s="71">
        <f t="shared" si="21"/>
        <v>7.6176395731223732</v>
      </c>
      <c r="I80" s="69">
        <v>0.56006</v>
      </c>
      <c r="J80" s="51">
        <v>185</v>
      </c>
      <c r="K80" s="72">
        <f t="shared" si="22"/>
        <v>0.3085313719369126</v>
      </c>
      <c r="L80" s="75">
        <v>3.7999999999999999E-2</v>
      </c>
      <c r="M80" s="124">
        <v>2.0793699999999999</v>
      </c>
      <c r="N80" s="124">
        <v>0.30430099999999999</v>
      </c>
      <c r="O80" s="36">
        <v>48</v>
      </c>
      <c r="P80" s="75"/>
      <c r="Q80" s="75"/>
      <c r="R80" s="75">
        <v>0</v>
      </c>
      <c r="S80" s="6">
        <f>4/48</f>
        <v>8.3333333333333329E-2</v>
      </c>
      <c r="T80" s="6">
        <f>2/48</f>
        <v>4.1666666666666664E-2</v>
      </c>
      <c r="U80" s="6">
        <f>3/48</f>
        <v>6.25E-2</v>
      </c>
      <c r="V80" s="6">
        <f>3/48</f>
        <v>6.25E-2</v>
      </c>
      <c r="W80" s="6"/>
      <c r="X80" s="74">
        <v>0.73285699999999998</v>
      </c>
      <c r="Y80" s="74">
        <v>0.77576400000000001</v>
      </c>
      <c r="Z80" s="74">
        <v>0.67251300000000003</v>
      </c>
      <c r="AA80" s="74">
        <v>0.66093900000000005</v>
      </c>
      <c r="AC80" s="36">
        <v>0.72457800000000006</v>
      </c>
      <c r="AD80" s="25">
        <v>0.74003600000000003</v>
      </c>
      <c r="AE80" s="126">
        <v>0.899505</v>
      </c>
      <c r="AF80" s="36">
        <v>0.96199999999999997</v>
      </c>
      <c r="AG80" s="36">
        <v>0.91666666666666663</v>
      </c>
      <c r="AI80" s="32"/>
      <c r="AL80" s="32"/>
      <c r="AM80" s="32"/>
      <c r="AP80" s="8"/>
      <c r="AQ80" s="8"/>
      <c r="AR80" s="8"/>
      <c r="AS80" s="8"/>
      <c r="AT80" s="8"/>
      <c r="AU80" s="8"/>
      <c r="AV80" s="8"/>
      <c r="AW80" s="8"/>
      <c r="AX80" s="8"/>
      <c r="AY80" s="121"/>
      <c r="AZ80" s="121"/>
      <c r="BA80" s="8"/>
      <c r="BB80" s="8"/>
    </row>
    <row r="81" spans="1:54" s="36" customFormat="1">
      <c r="A81" s="36" t="s">
        <v>131</v>
      </c>
      <c r="B81" s="36" t="s">
        <v>229</v>
      </c>
      <c r="D81" s="51">
        <v>14</v>
      </c>
      <c r="E81" s="36">
        <v>123</v>
      </c>
      <c r="F81" s="36">
        <v>43</v>
      </c>
      <c r="G81" s="2">
        <v>-18.143599999999999</v>
      </c>
      <c r="H81" s="71">
        <f t="shared" si="21"/>
        <v>10.011163500228333</v>
      </c>
      <c r="I81" s="2">
        <v>0.99614800000000003</v>
      </c>
      <c r="J81" s="36">
        <v>101</v>
      </c>
      <c r="K81" s="72">
        <f t="shared" si="22"/>
        <v>0.55177382108447792</v>
      </c>
      <c r="L81" s="75">
        <v>0.3</v>
      </c>
      <c r="M81" s="124">
        <v>2.2225100000000002</v>
      </c>
      <c r="N81" s="124">
        <v>0.275505</v>
      </c>
      <c r="O81" s="36">
        <v>46</v>
      </c>
      <c r="P81" s="75"/>
      <c r="Q81" s="75"/>
      <c r="R81" s="6">
        <f>6/63</f>
        <v>9.5238095238095233E-2</v>
      </c>
      <c r="S81" s="6">
        <f>6/63</f>
        <v>9.5238095238095233E-2</v>
      </c>
      <c r="T81" s="6">
        <f>11/63</f>
        <v>0.17460317460317459</v>
      </c>
      <c r="U81" s="6">
        <f>18/63</f>
        <v>0.2857142857142857</v>
      </c>
      <c r="V81" s="6">
        <f>12/63</f>
        <v>0.19047619047619047</v>
      </c>
      <c r="W81" s="6"/>
      <c r="X81" s="74">
        <v>0.91925599999999996</v>
      </c>
      <c r="Y81" s="74">
        <v>0.79925400000000002</v>
      </c>
      <c r="Z81" s="74">
        <v>0.67215899999999995</v>
      </c>
      <c r="AA81" s="74">
        <v>0.72921499999999995</v>
      </c>
      <c r="AD81" s="74">
        <v>0.70141900000000001</v>
      </c>
      <c r="AE81" s="25"/>
      <c r="AF81" s="36">
        <v>0.7</v>
      </c>
      <c r="AG81" s="36">
        <v>0.90476190476190477</v>
      </c>
      <c r="AI81" s="32"/>
      <c r="AL81" s="32"/>
      <c r="AM81" s="32"/>
      <c r="AP81" s="8"/>
      <c r="AQ81" s="8"/>
      <c r="AR81" s="8"/>
      <c r="AS81" s="8"/>
      <c r="AT81" s="8"/>
      <c r="AU81" s="8"/>
      <c r="AV81" s="8"/>
      <c r="AW81" s="8"/>
      <c r="AX81" s="8"/>
      <c r="AY81" s="121"/>
      <c r="AZ81" s="121"/>
      <c r="BA81" s="8"/>
      <c r="BB81" s="8"/>
    </row>
    <row r="82" spans="1:54" s="36" customFormat="1">
      <c r="A82" s="36" t="s">
        <v>132</v>
      </c>
      <c r="B82" s="36" t="s">
        <v>36</v>
      </c>
      <c r="D82" s="51">
        <v>11</v>
      </c>
      <c r="E82" s="36">
        <v>129</v>
      </c>
      <c r="F82" s="36">
        <v>37</v>
      </c>
      <c r="G82" s="2">
        <v>-27.12</v>
      </c>
      <c r="H82" s="71">
        <f t="shared" si="21"/>
        <v>18.366229879863749</v>
      </c>
      <c r="I82" s="2">
        <v>1.52</v>
      </c>
      <c r="J82" s="36">
        <v>146</v>
      </c>
      <c r="K82" s="72">
        <f t="shared" si="22"/>
        <v>0.67722086577668683</v>
      </c>
      <c r="L82" s="75">
        <v>0.28999999999999998</v>
      </c>
      <c r="M82" s="124">
        <v>1.3017000000000001</v>
      </c>
      <c r="N82" s="124">
        <v>0.152588</v>
      </c>
      <c r="O82" s="36">
        <v>54</v>
      </c>
      <c r="P82" s="75"/>
      <c r="Q82" s="75"/>
      <c r="R82" s="6">
        <f>15/77</f>
        <v>0.19480519480519481</v>
      </c>
      <c r="S82" s="6">
        <f>14/77</f>
        <v>0.18181818181818182</v>
      </c>
      <c r="T82" s="6">
        <f>20/77</f>
        <v>0.25974025974025972</v>
      </c>
      <c r="U82" s="6">
        <f>29/77</f>
        <v>0.37662337662337664</v>
      </c>
      <c r="V82" s="6">
        <f>21/77</f>
        <v>0.27272727272727271</v>
      </c>
      <c r="W82" s="6"/>
      <c r="X82" s="74">
        <v>0.90295099999999995</v>
      </c>
      <c r="Y82" s="74">
        <v>0.66326799999999997</v>
      </c>
      <c r="Z82" s="74">
        <v>0.62507100000000004</v>
      </c>
      <c r="AA82" s="74">
        <v>0.64702400000000004</v>
      </c>
      <c r="AD82" s="74">
        <v>0.82727300000000004</v>
      </c>
      <c r="AE82" s="74"/>
      <c r="AF82" s="36">
        <v>0.71</v>
      </c>
      <c r="AG82" s="36">
        <v>0.81818181818181812</v>
      </c>
      <c r="AI82" s="32"/>
      <c r="AL82" s="32"/>
      <c r="AM82" s="32"/>
      <c r="AP82" s="8"/>
      <c r="AQ82" s="8"/>
      <c r="AR82" s="8"/>
      <c r="AS82" s="8"/>
      <c r="AT82" s="8"/>
      <c r="AU82" s="8"/>
      <c r="AV82" s="8"/>
      <c r="AW82" s="8"/>
      <c r="AX82" s="8"/>
      <c r="AY82" s="121"/>
      <c r="AZ82" s="121"/>
      <c r="BA82" s="8"/>
      <c r="BB82" s="8"/>
    </row>
    <row r="83" spans="1:54" s="36" customFormat="1">
      <c r="A83" s="36" t="s">
        <v>133</v>
      </c>
      <c r="B83" s="36" t="s">
        <v>36</v>
      </c>
      <c r="D83" s="51">
        <v>22</v>
      </c>
      <c r="E83" s="36">
        <v>138</v>
      </c>
      <c r="F83" s="36">
        <v>68</v>
      </c>
      <c r="G83" s="2">
        <v>-133.37</v>
      </c>
      <c r="H83" s="71">
        <f t="shared" si="21"/>
        <v>24.99276495308192</v>
      </c>
      <c r="I83" s="2">
        <v>2.09</v>
      </c>
      <c r="J83" s="36">
        <v>143</v>
      </c>
      <c r="K83" s="72">
        <f t="shared" si="22"/>
        <v>0.18739420374208532</v>
      </c>
      <c r="L83" s="75">
        <v>0</v>
      </c>
      <c r="M83" s="124">
        <v>1.2579899999999999</v>
      </c>
      <c r="N83" s="124">
        <v>5.4270699999999998E-2</v>
      </c>
      <c r="O83" s="36">
        <v>64</v>
      </c>
      <c r="P83" s="75"/>
      <c r="Q83" s="75"/>
      <c r="R83" s="75">
        <v>0</v>
      </c>
      <c r="S83" s="75">
        <v>0</v>
      </c>
      <c r="T83" s="75">
        <v>0</v>
      </c>
      <c r="U83" s="75">
        <v>0</v>
      </c>
      <c r="V83" s="75">
        <v>0</v>
      </c>
      <c r="W83" s="75"/>
      <c r="X83" s="74">
        <v>0.85636299999999999</v>
      </c>
      <c r="Y83" s="74">
        <v>0.77342100000000003</v>
      </c>
      <c r="Z83" s="74">
        <v>0.62240499999999999</v>
      </c>
      <c r="AA83" s="74">
        <v>0.54913599999999996</v>
      </c>
      <c r="AD83" s="74">
        <v>0.81839600000000001</v>
      </c>
      <c r="AE83" s="74"/>
      <c r="AF83" s="36">
        <v>1</v>
      </c>
      <c r="AG83" s="36">
        <v>1</v>
      </c>
      <c r="AI83" s="32"/>
      <c r="AL83" s="32"/>
      <c r="AM83" s="32"/>
      <c r="AP83" s="8"/>
      <c r="AQ83" s="123"/>
      <c r="AR83" s="8"/>
      <c r="AS83" s="8"/>
      <c r="AT83" s="8"/>
      <c r="AU83" s="8"/>
      <c r="AV83" s="8"/>
      <c r="AW83" s="8"/>
      <c r="AX83" s="8"/>
      <c r="AY83" s="123"/>
      <c r="AZ83" s="121"/>
      <c r="BA83" s="64"/>
      <c r="BB83" s="118"/>
    </row>
    <row r="84" spans="1:54" s="36" customFormat="1">
      <c r="A84" s="36" t="s">
        <v>134</v>
      </c>
      <c r="D84" s="51">
        <v>17</v>
      </c>
      <c r="E84" s="36">
        <v>119</v>
      </c>
      <c r="F84" s="36">
        <v>39</v>
      </c>
      <c r="G84" s="2">
        <v>-19.52</v>
      </c>
      <c r="H84" s="71">
        <f t="shared" si="21"/>
        <v>7.3110041234292833</v>
      </c>
      <c r="I84" s="2">
        <v>0.74231999999999998</v>
      </c>
      <c r="J84" s="36">
        <v>97</v>
      </c>
      <c r="K84" s="72">
        <f t="shared" si="22"/>
        <v>0.37453914566748381</v>
      </c>
      <c r="L84" s="75">
        <v>0.17</v>
      </c>
      <c r="M84" s="121">
        <v>1.9128799999999999</v>
      </c>
      <c r="N84" s="121">
        <v>0.26851199999999997</v>
      </c>
      <c r="O84" s="8">
        <v>31</v>
      </c>
      <c r="P84" s="75"/>
      <c r="Q84" s="75"/>
      <c r="R84" s="6">
        <f>1/32</f>
        <v>3.125E-2</v>
      </c>
      <c r="S84" s="6">
        <f>2/32</f>
        <v>6.25E-2</v>
      </c>
      <c r="T84" s="6">
        <f>1/32</f>
        <v>3.125E-2</v>
      </c>
      <c r="U84" s="6">
        <f>2/32</f>
        <v>6.25E-2</v>
      </c>
      <c r="V84" s="6">
        <f>4/32</f>
        <v>0.125</v>
      </c>
      <c r="W84" s="6"/>
      <c r="X84" s="74">
        <v>0.923821</v>
      </c>
      <c r="Y84" s="74">
        <v>1.01345</v>
      </c>
      <c r="Z84" s="74">
        <v>0.81165900000000002</v>
      </c>
      <c r="AA84" s="74">
        <v>0.77648700000000004</v>
      </c>
      <c r="AD84" s="74">
        <v>0.78901500000000002</v>
      </c>
      <c r="AE84" s="74"/>
      <c r="AF84" s="8">
        <v>0.83</v>
      </c>
      <c r="AG84" s="8">
        <v>0.9375</v>
      </c>
      <c r="AI84" s="32"/>
      <c r="AL84" s="32"/>
      <c r="AM84" s="32"/>
      <c r="AP84" s="8"/>
      <c r="AQ84" s="123"/>
      <c r="AR84" s="8"/>
      <c r="AS84" s="8"/>
      <c r="AT84" s="8"/>
      <c r="AU84" s="8"/>
      <c r="AV84" s="8"/>
      <c r="AW84" s="8"/>
      <c r="AX84" s="8"/>
      <c r="AY84" s="8"/>
      <c r="AZ84" s="121"/>
      <c r="BA84" s="64"/>
      <c r="BB84" s="8"/>
    </row>
    <row r="85" spans="1:54" s="36" customFormat="1">
      <c r="A85" s="112" t="s">
        <v>0</v>
      </c>
      <c r="B85" s="118"/>
      <c r="D85" s="106"/>
      <c r="G85" s="2"/>
      <c r="H85" s="2"/>
      <c r="L85" s="96"/>
      <c r="M85" s="121"/>
      <c r="N85" s="121"/>
      <c r="O85" s="8"/>
      <c r="P85" s="96"/>
      <c r="Q85" s="96"/>
      <c r="AF85" s="8"/>
      <c r="AG85" s="8"/>
      <c r="AI85" s="32"/>
      <c r="AL85" s="32"/>
      <c r="AM85" s="32"/>
      <c r="AP85" s="8"/>
      <c r="AQ85" s="123"/>
      <c r="AR85" s="8"/>
      <c r="AS85" s="8"/>
      <c r="AT85" s="8"/>
      <c r="AU85" s="8"/>
      <c r="AV85" s="8"/>
      <c r="AW85" s="8"/>
      <c r="AX85" s="8"/>
      <c r="AY85" s="8"/>
      <c r="AZ85" s="121"/>
      <c r="BA85" s="64"/>
      <c r="BB85" s="8"/>
    </row>
    <row r="86" spans="1:54" s="36" customFormat="1">
      <c r="A86" s="25" t="s">
        <v>135</v>
      </c>
      <c r="B86" s="25" t="s">
        <v>230</v>
      </c>
      <c r="C86" s="25"/>
      <c r="D86" s="25">
        <v>16</v>
      </c>
      <c r="E86" s="25" t="s">
        <v>231</v>
      </c>
      <c r="F86" s="25">
        <v>138</v>
      </c>
      <c r="G86" s="81">
        <f>-0.000000000064332*1000000000000</f>
        <v>-64.332000000000008</v>
      </c>
      <c r="H86" s="81">
        <f>0.0000000000162194*1000000000000</f>
        <v>16.2194</v>
      </c>
      <c r="I86" s="81">
        <f xml:space="preserve"> 0.00000000000263114*1000000000000</f>
        <v>2.6311400000000003</v>
      </c>
      <c r="J86" s="25">
        <v>38</v>
      </c>
      <c r="K86" s="81">
        <f t="shared" ref="K86:K92" si="23">H86/-G86</f>
        <v>0.25212025119691595</v>
      </c>
      <c r="L86" s="81">
        <v>0</v>
      </c>
      <c r="M86" s="25">
        <v>2.74</v>
      </c>
      <c r="N86" s="124">
        <v>0.17363100000000001</v>
      </c>
      <c r="O86" s="64">
        <v>38</v>
      </c>
      <c r="P86" s="81">
        <v>1.5</v>
      </c>
      <c r="Q86" s="81">
        <v>1.99</v>
      </c>
      <c r="S86" s="36">
        <v>0</v>
      </c>
      <c r="X86" s="127">
        <v>0.73</v>
      </c>
      <c r="AF86" s="36">
        <v>1</v>
      </c>
      <c r="AG86" s="36">
        <v>1</v>
      </c>
      <c r="AI86" s="32"/>
      <c r="AL86" s="32"/>
      <c r="AM86" s="32"/>
      <c r="AP86" s="8"/>
      <c r="AQ86" s="123"/>
      <c r="AR86" s="8"/>
      <c r="AS86" s="8"/>
      <c r="AT86" s="8"/>
      <c r="AU86" s="8"/>
      <c r="AV86" s="8"/>
      <c r="AW86" s="8"/>
      <c r="AX86" s="8"/>
      <c r="AY86" s="8"/>
      <c r="AZ86" s="121"/>
      <c r="BA86" s="64"/>
      <c r="BB86" s="8"/>
    </row>
    <row r="87" spans="1:54" s="36" customFormat="1">
      <c r="A87" s="25" t="s">
        <v>136</v>
      </c>
      <c r="B87" s="36" t="s">
        <v>230</v>
      </c>
      <c r="C87" s="25"/>
      <c r="D87" s="25">
        <v>15</v>
      </c>
      <c r="E87" s="36" t="s">
        <v>231</v>
      </c>
      <c r="F87" s="36">
        <v>152</v>
      </c>
      <c r="G87" s="36">
        <f>-0.0000000000526359*1000000000000</f>
        <v>-52.635899999999999</v>
      </c>
      <c r="H87" s="2">
        <f xml:space="preserve"> 0.0000000000137798*1000000000000</f>
        <v>13.779800000000002</v>
      </c>
      <c r="I87" s="36">
        <f xml:space="preserve"> 0.00000000000287329*1000000000000</f>
        <v>2.8732900000000003</v>
      </c>
      <c r="J87" s="36">
        <v>23</v>
      </c>
      <c r="K87" s="81">
        <f t="shared" si="23"/>
        <v>0.26179470665458371</v>
      </c>
      <c r="L87" s="2">
        <v>0</v>
      </c>
      <c r="M87" s="36">
        <v>2.64</v>
      </c>
      <c r="N87" s="124">
        <v>0.13256200000000001</v>
      </c>
      <c r="O87" s="64">
        <v>23</v>
      </c>
      <c r="P87" s="2">
        <v>0.96</v>
      </c>
      <c r="Q87" s="2">
        <v>2.66</v>
      </c>
      <c r="S87" s="36">
        <v>0</v>
      </c>
      <c r="X87" s="98">
        <v>0.69</v>
      </c>
      <c r="AF87" s="36">
        <v>1</v>
      </c>
      <c r="AG87" s="36">
        <v>1</v>
      </c>
      <c r="AI87" s="32"/>
      <c r="AL87" s="32"/>
      <c r="AM87" s="32"/>
      <c r="AP87" s="8"/>
      <c r="AQ87" s="123"/>
      <c r="AR87" s="8"/>
      <c r="AS87" s="8"/>
      <c r="AT87" s="8"/>
      <c r="AU87" s="8"/>
      <c r="AV87" s="8"/>
      <c r="AW87" s="8"/>
      <c r="AX87" s="8"/>
      <c r="AY87" s="8"/>
      <c r="AZ87" s="121"/>
      <c r="BA87" s="64"/>
      <c r="BB87" s="8"/>
    </row>
    <row r="88" spans="1:54" s="36" customFormat="1">
      <c r="A88" s="25" t="s">
        <v>137</v>
      </c>
      <c r="B88" s="36" t="s">
        <v>232</v>
      </c>
      <c r="C88" s="36" t="s">
        <v>228</v>
      </c>
      <c r="D88" s="36">
        <v>26</v>
      </c>
      <c r="E88" s="36" t="s">
        <v>231</v>
      </c>
      <c r="F88" s="36">
        <v>80</v>
      </c>
      <c r="G88" s="2">
        <f>-0.0000000000279642*1000000000000</f>
        <v>-27.964200000000002</v>
      </c>
      <c r="H88" s="2">
        <f xml:space="preserve"> 0.0000000000130091*1000000000000</f>
        <v>13.0091</v>
      </c>
      <c r="I88" s="2">
        <v>2.37513</v>
      </c>
      <c r="J88" s="36">
        <v>30</v>
      </c>
      <c r="K88" s="71">
        <f t="shared" si="23"/>
        <v>0.46520551276274663</v>
      </c>
      <c r="L88" s="2">
        <v>0</v>
      </c>
      <c r="M88" s="36">
        <v>1.19</v>
      </c>
      <c r="N88" s="124">
        <v>0.23142599999999999</v>
      </c>
      <c r="O88" s="64">
        <v>31</v>
      </c>
      <c r="P88" s="2">
        <v>0.16</v>
      </c>
      <c r="Q88" s="2">
        <v>1.26</v>
      </c>
      <c r="S88" s="36">
        <v>0</v>
      </c>
      <c r="X88" s="98">
        <v>0.98</v>
      </c>
      <c r="AF88" s="36">
        <v>1</v>
      </c>
      <c r="AG88" s="36">
        <v>1</v>
      </c>
      <c r="AI88" s="32"/>
      <c r="AL88" s="32"/>
      <c r="AP88" s="8"/>
      <c r="AQ88" s="123"/>
      <c r="AR88" s="8"/>
      <c r="AS88" s="8"/>
      <c r="AT88" s="8"/>
      <c r="AU88" s="8"/>
      <c r="AV88" s="8"/>
      <c r="AW88" s="8"/>
      <c r="AX88" s="8"/>
      <c r="AY88" s="8"/>
      <c r="AZ88" s="121"/>
      <c r="BA88" s="64"/>
      <c r="BB88" s="8"/>
    </row>
    <row r="89" spans="1:54" s="36" customFormat="1">
      <c r="A89" s="25" t="s">
        <v>138</v>
      </c>
      <c r="B89" s="36" t="s">
        <v>232</v>
      </c>
      <c r="D89" s="36">
        <v>17</v>
      </c>
      <c r="E89" s="36" t="s">
        <v>231</v>
      </c>
      <c r="F89" s="36">
        <v>235</v>
      </c>
      <c r="G89" s="81">
        <v>-18.428999999999998</v>
      </c>
      <c r="H89" s="81">
        <v>7.0570300000000001</v>
      </c>
      <c r="I89" s="81">
        <v>1.07619</v>
      </c>
      <c r="J89" s="36">
        <v>43</v>
      </c>
      <c r="K89" s="81">
        <f t="shared" si="23"/>
        <v>0.38293070703782084</v>
      </c>
      <c r="L89" s="81">
        <v>0</v>
      </c>
      <c r="M89" s="36">
        <v>1.67</v>
      </c>
      <c r="N89" s="124">
        <v>0.337899</v>
      </c>
      <c r="O89" s="64">
        <v>43</v>
      </c>
      <c r="P89" s="81">
        <v>1.5</v>
      </c>
      <c r="Q89" s="81">
        <v>2.95</v>
      </c>
      <c r="S89" s="36">
        <v>0</v>
      </c>
      <c r="X89" s="98">
        <v>1</v>
      </c>
      <c r="AF89" s="36">
        <v>1</v>
      </c>
      <c r="AG89" s="36">
        <v>1</v>
      </c>
      <c r="AI89" s="32"/>
      <c r="AL89" s="32"/>
      <c r="AP89" s="8"/>
      <c r="AQ89" s="8"/>
      <c r="AR89" s="8"/>
      <c r="AS89" s="8"/>
      <c r="AT89" s="8"/>
      <c r="AU89" s="8"/>
      <c r="AV89" s="8"/>
      <c r="AW89" s="8"/>
      <c r="AX89" s="8"/>
      <c r="AY89" s="8"/>
      <c r="AZ89" s="121"/>
      <c r="BA89" s="64"/>
      <c r="BB89" s="8"/>
    </row>
    <row r="90" spans="1:54" s="36" customFormat="1">
      <c r="A90" s="25" t="s">
        <v>139</v>
      </c>
      <c r="B90" s="36" t="s">
        <v>232</v>
      </c>
      <c r="D90" s="36">
        <v>30</v>
      </c>
      <c r="E90" s="36" t="s">
        <v>231</v>
      </c>
      <c r="F90" s="36">
        <v>65</v>
      </c>
      <c r="G90" s="2">
        <f>-0.000000000211076*1000000000000</f>
        <v>-211.07599999999999</v>
      </c>
      <c r="H90" s="2">
        <f xml:space="preserve"> 0.0000000000664754*1000000000000</f>
        <v>66.475399999999993</v>
      </c>
      <c r="I90" s="2">
        <f xml:space="preserve"> 0.00000000000655001*1000000000000</f>
        <v>6.5500100000000003</v>
      </c>
      <c r="J90" s="36">
        <v>103</v>
      </c>
      <c r="K90" s="81">
        <f t="shared" si="23"/>
        <v>0.31493585248915079</v>
      </c>
      <c r="L90" s="2">
        <v>0</v>
      </c>
      <c r="M90" s="36">
        <v>1.1299999999999999</v>
      </c>
      <c r="N90" s="124">
        <v>6.6078999999999999E-2</v>
      </c>
      <c r="O90" s="64">
        <v>78</v>
      </c>
      <c r="P90" s="2">
        <v>5.4</v>
      </c>
      <c r="Q90" s="2">
        <v>0.38</v>
      </c>
      <c r="S90" s="36">
        <v>0</v>
      </c>
      <c r="X90" s="98">
        <v>0.69</v>
      </c>
      <c r="AA90" s="128"/>
      <c r="AB90" s="128"/>
      <c r="AC90" s="2"/>
      <c r="AD90" s="2"/>
      <c r="AF90" s="36">
        <v>1</v>
      </c>
      <c r="AG90" s="36">
        <v>1</v>
      </c>
      <c r="AI90" s="32"/>
      <c r="AL90" s="32"/>
      <c r="AP90" s="8"/>
      <c r="AQ90" s="8"/>
      <c r="AR90" s="8"/>
      <c r="AS90" s="8"/>
      <c r="AT90" s="8"/>
      <c r="AU90" s="8"/>
      <c r="AV90" s="8"/>
      <c r="AW90" s="8"/>
      <c r="AX90" s="8"/>
      <c r="AY90" s="8"/>
      <c r="AZ90" s="121"/>
      <c r="BA90" s="64"/>
      <c r="BB90" s="8"/>
    </row>
    <row r="91" spans="1:54" s="36" customFormat="1">
      <c r="A91" s="25" t="s">
        <v>140</v>
      </c>
      <c r="B91" s="36" t="s">
        <v>232</v>
      </c>
      <c r="C91" s="36" t="s">
        <v>245</v>
      </c>
      <c r="D91" s="36">
        <v>27</v>
      </c>
      <c r="E91" s="36" t="s">
        <v>231</v>
      </c>
      <c r="F91" s="36">
        <v>40</v>
      </c>
      <c r="G91" s="2">
        <f>-0.00000000000511533*1000000000000</f>
        <v>-5.1153300000000002</v>
      </c>
      <c r="H91" s="2">
        <f xml:space="preserve"> 0.00000000000700863*1000000000000</f>
        <v>7.0086300000000001</v>
      </c>
      <c r="I91" s="2">
        <f xml:space="preserve"> 0.000000000000831771*1000000000000</f>
        <v>0.83177099999999993</v>
      </c>
      <c r="J91" s="36">
        <v>71</v>
      </c>
      <c r="K91" s="81">
        <f t="shared" si="23"/>
        <v>1.3701227486789709</v>
      </c>
      <c r="L91" s="2">
        <f>30/J91</f>
        <v>0.42253521126760563</v>
      </c>
      <c r="M91" s="36">
        <v>1.61</v>
      </c>
      <c r="N91" s="124">
        <v>0.432672</v>
      </c>
      <c r="O91" s="64">
        <v>25</v>
      </c>
      <c r="P91" s="2">
        <v>0.25</v>
      </c>
      <c r="Q91" s="2">
        <v>1.97</v>
      </c>
      <c r="S91" s="36">
        <v>0.46</v>
      </c>
      <c r="X91" s="98">
        <v>1.27</v>
      </c>
      <c r="AA91" s="128"/>
      <c r="AB91" s="128"/>
      <c r="AF91" s="36">
        <v>0.57746478873239437</v>
      </c>
      <c r="AG91" s="36">
        <v>0.54</v>
      </c>
      <c r="AI91" s="32"/>
      <c r="AL91" s="32"/>
      <c r="AP91" s="8"/>
      <c r="AQ91" s="8"/>
      <c r="AR91" s="8"/>
      <c r="AS91" s="8"/>
      <c r="AT91" s="8"/>
      <c r="AU91" s="8"/>
      <c r="AV91" s="8"/>
      <c r="AW91" s="8"/>
      <c r="AX91" s="8"/>
      <c r="AY91" s="121"/>
      <c r="AZ91" s="121"/>
      <c r="BA91" s="64"/>
      <c r="BB91" s="8"/>
    </row>
    <row r="92" spans="1:54" s="36" customFormat="1">
      <c r="A92" s="36" t="s">
        <v>141</v>
      </c>
      <c r="B92" s="36" t="s">
        <v>232</v>
      </c>
      <c r="C92" s="36" t="s">
        <v>228</v>
      </c>
      <c r="D92" s="36">
        <v>13</v>
      </c>
      <c r="E92" s="36" t="s">
        <v>231</v>
      </c>
      <c r="F92" s="36">
        <v>239</v>
      </c>
      <c r="G92" s="2">
        <f>-0.00000000000603227*1000000000000</f>
        <v>-6.0322700000000005</v>
      </c>
      <c r="H92" s="2">
        <f xml:space="preserve"> 0.00000000000433758*1000000000000</f>
        <v>4.33758</v>
      </c>
      <c r="I92" s="2">
        <f xml:space="preserve"> 0.000000000000703649*1000000000000</f>
        <v>0.70364899999999997</v>
      </c>
      <c r="J92" s="36">
        <v>38</v>
      </c>
      <c r="K92" s="81">
        <f t="shared" si="23"/>
        <v>0.71906264142685916</v>
      </c>
      <c r="L92" s="2">
        <f>5/J92</f>
        <v>0.13157894736842105</v>
      </c>
      <c r="M92" s="36">
        <v>1.59</v>
      </c>
      <c r="N92" s="124">
        <v>0.48530400000000001</v>
      </c>
      <c r="O92" s="64">
        <v>33</v>
      </c>
      <c r="P92" s="2">
        <v>0.17</v>
      </c>
      <c r="Q92" s="2">
        <v>7.25</v>
      </c>
      <c r="S92" s="36">
        <v>0.12</v>
      </c>
      <c r="X92" s="98">
        <v>0.99</v>
      </c>
      <c r="AA92" s="128"/>
      <c r="AB92" s="128"/>
      <c r="AF92" s="36">
        <v>0.86842105263157898</v>
      </c>
      <c r="AG92" s="36">
        <v>0.88</v>
      </c>
      <c r="AL92" s="32"/>
      <c r="AP92" s="8"/>
      <c r="AQ92" s="8"/>
      <c r="AR92" s="8"/>
      <c r="AS92" s="8"/>
      <c r="AT92" s="8"/>
      <c r="AU92" s="8"/>
      <c r="AV92" s="8"/>
      <c r="AW92" s="8"/>
      <c r="AX92" s="8"/>
      <c r="AY92" s="121"/>
      <c r="AZ92" s="121"/>
      <c r="BA92" s="64"/>
      <c r="BB92" s="8"/>
    </row>
    <row r="93" spans="1:54" s="36" customFormat="1">
      <c r="A93" s="36" t="s">
        <v>142</v>
      </c>
      <c r="B93" s="36" t="s">
        <v>232</v>
      </c>
      <c r="C93" s="36" t="s">
        <v>249</v>
      </c>
      <c r="D93" s="36">
        <v>15</v>
      </c>
      <c r="E93" s="36" t="s">
        <v>231</v>
      </c>
      <c r="F93" s="36">
        <v>195</v>
      </c>
      <c r="G93" s="2">
        <f xml:space="preserve"> -0.0000000000207046*1000000000000</f>
        <v>-20.704599999999999</v>
      </c>
      <c r="H93" s="2">
        <f xml:space="preserve"> 0.00000000000691826*1000000000000</f>
        <v>6.9182600000000001</v>
      </c>
      <c r="I93" s="2">
        <f xml:space="preserve"> 0.000000000000941455*1000000000000</f>
        <v>0.94145500000000004</v>
      </c>
      <c r="J93" s="36">
        <v>54</v>
      </c>
      <c r="K93" s="81">
        <f>H93/-G93</f>
        <v>0.33414120533601233</v>
      </c>
      <c r="L93" s="2">
        <v>0</v>
      </c>
      <c r="M93" s="36">
        <v>1.57</v>
      </c>
      <c r="N93" s="124">
        <v>0.13364100000000001</v>
      </c>
      <c r="O93" s="64">
        <v>42</v>
      </c>
      <c r="P93" s="2">
        <v>0.38</v>
      </c>
      <c r="Q93" s="2">
        <v>3.64</v>
      </c>
      <c r="S93" s="36">
        <v>0.02</v>
      </c>
      <c r="W93" s="36">
        <f>-14.47/G93</f>
        <v>0.69887851008954538</v>
      </c>
      <c r="X93" s="36">
        <v>0.76</v>
      </c>
      <c r="AF93" s="36">
        <v>1</v>
      </c>
      <c r="AG93" s="36">
        <v>0.98</v>
      </c>
      <c r="AL93" s="32"/>
      <c r="AP93" s="8"/>
      <c r="AQ93" s="64"/>
      <c r="AR93" s="8"/>
      <c r="AS93" s="8"/>
      <c r="AT93" s="8"/>
      <c r="AU93" s="8"/>
      <c r="AV93" s="8"/>
      <c r="AW93" s="8"/>
      <c r="AX93" s="8"/>
      <c r="AY93" s="121"/>
      <c r="AZ93" s="121"/>
      <c r="BA93" s="64"/>
      <c r="BB93" s="8"/>
    </row>
    <row r="94" spans="1:54" s="36" customFormat="1">
      <c r="A94" s="36" t="s">
        <v>143</v>
      </c>
      <c r="B94" s="36" t="s">
        <v>232</v>
      </c>
      <c r="C94" s="36" t="s">
        <v>249</v>
      </c>
      <c r="D94" s="36">
        <v>17</v>
      </c>
      <c r="E94" s="36" t="s">
        <v>231</v>
      </c>
      <c r="F94" s="36">
        <v>224</v>
      </c>
      <c r="G94" s="2">
        <f xml:space="preserve"> -0.00000000002893*1000000000000</f>
        <v>-28.93</v>
      </c>
      <c r="H94" s="2">
        <f xml:space="preserve"> 0.00000000000715904*1000000000000</f>
        <v>7.1590400000000001</v>
      </c>
      <c r="I94" s="2">
        <f xml:space="preserve"> 0.0000000000012858*1000000000000</f>
        <v>1.2858000000000001</v>
      </c>
      <c r="J94" s="36">
        <v>31</v>
      </c>
      <c r="K94" s="81">
        <f>H94/-G94</f>
        <v>0.24746076736951261</v>
      </c>
      <c r="L94" s="2">
        <v>0</v>
      </c>
      <c r="M94" s="124">
        <v>1.4522900000000001</v>
      </c>
      <c r="N94" s="124">
        <v>0.15925600000000001</v>
      </c>
      <c r="O94" s="64">
        <v>31</v>
      </c>
      <c r="P94" s="2">
        <v>1.28</v>
      </c>
      <c r="Q94" s="2">
        <v>2.2400000000000002</v>
      </c>
      <c r="S94" s="36">
        <v>0.23</v>
      </c>
      <c r="W94" s="36">
        <f>-4.96/G94</f>
        <v>0.17144832353957828</v>
      </c>
      <c r="X94" s="36">
        <v>0.79</v>
      </c>
      <c r="AF94" s="36">
        <v>1</v>
      </c>
      <c r="AG94" s="36">
        <v>0.77</v>
      </c>
      <c r="AL94" s="32"/>
      <c r="AP94" s="8"/>
      <c r="AQ94" s="8"/>
      <c r="AR94" s="8"/>
      <c r="AS94" s="8"/>
      <c r="AT94" s="8"/>
      <c r="AU94" s="8"/>
      <c r="AV94" s="8"/>
      <c r="AW94" s="8"/>
      <c r="AX94" s="8"/>
      <c r="AY94" s="121"/>
      <c r="AZ94" s="121"/>
      <c r="BA94" s="64"/>
      <c r="BB94" s="8"/>
    </row>
    <row r="95" spans="1:54" s="36" customFormat="1">
      <c r="A95" s="36" t="s">
        <v>144</v>
      </c>
      <c r="B95" s="36" t="s">
        <v>232</v>
      </c>
      <c r="C95" s="36" t="s">
        <v>250</v>
      </c>
      <c r="D95" s="36">
        <v>15</v>
      </c>
      <c r="E95" s="36" t="s">
        <v>231</v>
      </c>
      <c r="F95" s="36">
        <v>72</v>
      </c>
      <c r="G95" s="2">
        <f xml:space="preserve"> -0.0000000000943389*1000000000000</f>
        <v>-94.33890000000001</v>
      </c>
      <c r="H95" s="2">
        <f xml:space="preserve"> 0.0000000000253168*1000000000000</f>
        <v>25.316800000000001</v>
      </c>
      <c r="I95" s="2">
        <f xml:space="preserve"> 0.00000000000395382*1000000000000</f>
        <v>3.9538199999999999</v>
      </c>
      <c r="J95" s="36">
        <v>41</v>
      </c>
      <c r="K95" s="81">
        <f>H95/-G95</f>
        <v>0.26836013563863897</v>
      </c>
      <c r="L95" s="2">
        <v>0</v>
      </c>
      <c r="M95" s="124">
        <v>1.3816999999999999</v>
      </c>
      <c r="N95" s="124">
        <v>0.111694</v>
      </c>
      <c r="O95" s="64">
        <v>41</v>
      </c>
      <c r="P95" s="2">
        <v>1.06</v>
      </c>
      <c r="Q95" s="2">
        <v>0.59</v>
      </c>
      <c r="S95" s="36">
        <v>0.02</v>
      </c>
      <c r="W95" s="36">
        <f>-30.05/G95</f>
        <v>0.31853243995849007</v>
      </c>
      <c r="X95" s="36">
        <v>0.82</v>
      </c>
      <c r="AF95" s="36">
        <v>1</v>
      </c>
      <c r="AG95" s="36">
        <v>0.98</v>
      </c>
      <c r="AL95" s="32"/>
      <c r="AP95" s="8"/>
      <c r="AQ95" s="129"/>
      <c r="AR95" s="8"/>
      <c r="AS95" s="8"/>
      <c r="AT95" s="8"/>
      <c r="AU95" s="8"/>
      <c r="AV95" s="8"/>
      <c r="AW95" s="8"/>
      <c r="AX95" s="8"/>
      <c r="AY95" s="121"/>
      <c r="AZ95" s="121"/>
      <c r="BA95" s="64"/>
      <c r="BB95" s="8"/>
    </row>
    <row r="96" spans="1:54" s="36" customFormat="1">
      <c r="A96" s="8" t="s">
        <v>145</v>
      </c>
      <c r="B96" s="8" t="s">
        <v>232</v>
      </c>
      <c r="C96" s="8" t="s">
        <v>250</v>
      </c>
      <c r="D96" s="8">
        <v>16</v>
      </c>
      <c r="E96" s="64" t="s">
        <v>231</v>
      </c>
      <c r="F96" s="8">
        <v>196</v>
      </c>
      <c r="G96" s="2">
        <f>-0.0000000000843892*1000000000000</f>
        <v>-84.389200000000002</v>
      </c>
      <c r="H96" s="97">
        <f xml:space="preserve"> 0.0000000000153346*1000000000000</f>
        <v>15.3346</v>
      </c>
      <c r="I96" s="2">
        <f xml:space="preserve"> 0.00000000000179478*1000000000000</f>
        <v>1.79478</v>
      </c>
      <c r="J96" s="36">
        <v>73</v>
      </c>
      <c r="K96" s="81">
        <f>H96/-G96</f>
        <v>0.18171282581183373</v>
      </c>
      <c r="L96" s="2">
        <v>0</v>
      </c>
      <c r="M96" s="124">
        <v>1.7677499999999999</v>
      </c>
      <c r="N96" s="124">
        <v>0.12895100000000001</v>
      </c>
      <c r="O96" s="64">
        <v>73</v>
      </c>
      <c r="P96" s="2">
        <v>0.59</v>
      </c>
      <c r="Q96" s="2">
        <v>2.1</v>
      </c>
      <c r="S96" s="36">
        <v>0</v>
      </c>
      <c r="W96" s="36">
        <f>-35.22/G96</f>
        <v>0.41735198342915913</v>
      </c>
      <c r="X96" s="36">
        <v>0.84</v>
      </c>
      <c r="AF96" s="36">
        <v>1</v>
      </c>
      <c r="AG96" s="36">
        <v>1</v>
      </c>
      <c r="AL96" s="32"/>
      <c r="AP96" s="8"/>
      <c r="AQ96" s="8"/>
      <c r="AR96" s="8"/>
      <c r="AS96" s="8"/>
      <c r="AT96" s="8"/>
      <c r="AU96" s="8"/>
      <c r="AV96" s="8"/>
      <c r="AW96" s="8"/>
      <c r="AX96" s="8"/>
      <c r="AY96" s="121"/>
      <c r="AZ96" s="121"/>
      <c r="BA96" s="64"/>
      <c r="BB96" s="8"/>
    </row>
    <row r="97" spans="1:54" s="36" customFormat="1">
      <c r="A97" s="64" t="s">
        <v>146</v>
      </c>
      <c r="B97" s="8"/>
      <c r="C97" s="8"/>
      <c r="D97" s="64">
        <v>18</v>
      </c>
      <c r="E97" s="64" t="s">
        <v>231</v>
      </c>
      <c r="F97" s="64">
        <v>42</v>
      </c>
      <c r="G97" s="36">
        <f>-0.000000000100934*1000000000000</f>
        <v>-100.934</v>
      </c>
      <c r="H97" s="36">
        <f xml:space="preserve"> 0.0000000000343719*1000000000000</f>
        <v>34.371899999999997</v>
      </c>
      <c r="I97" s="97">
        <f xml:space="preserve"> 0.0000000000041682*1000000000000</f>
        <v>4.1681999999999997</v>
      </c>
      <c r="J97" s="8">
        <v>68</v>
      </c>
      <c r="K97" s="81">
        <f>H97/-G97</f>
        <v>0.34053837160917033</v>
      </c>
      <c r="L97" s="97">
        <v>0</v>
      </c>
      <c r="M97" s="124">
        <v>1.3466100000000001</v>
      </c>
      <c r="N97" s="124">
        <v>0.13295799999999999</v>
      </c>
      <c r="O97" s="64">
        <v>68</v>
      </c>
      <c r="P97" s="97">
        <v>0.53</v>
      </c>
      <c r="Q97" s="97">
        <v>0.6</v>
      </c>
      <c r="S97" s="36">
        <v>0.04</v>
      </c>
      <c r="W97" s="36">
        <f>-33.23/G97</f>
        <v>0.32922503814373749</v>
      </c>
      <c r="X97" s="8">
        <v>0.74</v>
      </c>
      <c r="Y97" s="8"/>
      <c r="AF97" s="36">
        <v>1</v>
      </c>
      <c r="AG97" s="36">
        <v>0.96</v>
      </c>
      <c r="AL97" s="32"/>
      <c r="AP97" s="8"/>
      <c r="AQ97" s="129"/>
      <c r="AR97" s="8"/>
      <c r="AS97" s="8"/>
      <c r="AT97" s="8"/>
      <c r="AU97" s="8"/>
      <c r="AV97" s="8"/>
      <c r="AW97" s="8"/>
      <c r="AX97" s="8"/>
      <c r="AY97" s="121"/>
      <c r="AZ97" s="121"/>
      <c r="BA97" s="64"/>
      <c r="BB97" s="8"/>
    </row>
    <row r="98" spans="1:54" s="36" customFormat="1">
      <c r="A98" s="36" t="s">
        <v>147</v>
      </c>
      <c r="B98" s="36" t="s">
        <v>230</v>
      </c>
      <c r="C98" s="99">
        <v>10</v>
      </c>
      <c r="D98" s="36">
        <v>28</v>
      </c>
      <c r="F98" s="36">
        <v>126</v>
      </c>
      <c r="G98" s="2">
        <f xml:space="preserve"> -0.0000000000191567*1000000000000</f>
        <v>-19.156700000000001</v>
      </c>
      <c r="H98" s="2">
        <f xml:space="preserve"> 0.00000000000510549*1000000000000</f>
        <v>5.1054899999999996</v>
      </c>
      <c r="I98" s="2">
        <f xml:space="preserve"> 0.000000000000670384*1000000000000</f>
        <v>0.67038399999999998</v>
      </c>
      <c r="J98" s="36">
        <v>58</v>
      </c>
      <c r="K98" s="81">
        <f t="shared" ref="K98:K108" si="24">H98/-G98</f>
        <v>0.26651197753266476</v>
      </c>
      <c r="L98" s="2">
        <v>0</v>
      </c>
      <c r="M98" s="124">
        <v>1.4452100000000001</v>
      </c>
      <c r="N98" s="124">
        <v>0.32077499999999998</v>
      </c>
      <c r="O98" s="64">
        <v>58</v>
      </c>
      <c r="P98" s="2">
        <v>1.19</v>
      </c>
      <c r="Q98" s="2">
        <v>6.53</v>
      </c>
      <c r="S98" s="36">
        <v>0.02</v>
      </c>
      <c r="X98" s="36">
        <v>0.83</v>
      </c>
      <c r="AF98" s="36">
        <v>1</v>
      </c>
      <c r="AG98" s="36">
        <v>0.98</v>
      </c>
      <c r="AL98" s="32"/>
      <c r="AP98" s="8"/>
      <c r="AQ98" s="8"/>
      <c r="AR98" s="8"/>
      <c r="AS98" s="8"/>
      <c r="AT98" s="8"/>
      <c r="AU98" s="8"/>
      <c r="AV98" s="8"/>
      <c r="AW98" s="8"/>
      <c r="AX98" s="8"/>
      <c r="AY98" s="121"/>
      <c r="AZ98" s="121"/>
      <c r="BA98" s="64"/>
      <c r="BB98" s="8"/>
    </row>
    <row r="99" spans="1:54" s="36" customFormat="1">
      <c r="A99" s="65" t="s">
        <v>148</v>
      </c>
      <c r="B99" s="36" t="s">
        <v>232</v>
      </c>
      <c r="D99" s="36">
        <v>15</v>
      </c>
      <c r="F99" s="36">
        <v>77</v>
      </c>
      <c r="G99" s="2">
        <f>-0.000000000122513*1000000000000</f>
        <v>-122.51300000000001</v>
      </c>
      <c r="H99" s="2">
        <f xml:space="preserve"> 0.000000000041533*1000000000000</f>
        <v>41.532999999999994</v>
      </c>
      <c r="I99" s="2">
        <f xml:space="preserve"> 0.00000000000453162*1000000000000</f>
        <v>4.5316200000000002</v>
      </c>
      <c r="J99" s="36">
        <v>84</v>
      </c>
      <c r="K99" s="81">
        <f t="shared" si="24"/>
        <v>0.33900892150220785</v>
      </c>
      <c r="L99" s="2">
        <v>0</v>
      </c>
      <c r="M99" s="124">
        <v>1.4561999999999999</v>
      </c>
      <c r="N99" s="124">
        <v>0.136633</v>
      </c>
      <c r="O99" s="64">
        <v>84</v>
      </c>
      <c r="P99" s="2"/>
      <c r="Q99" s="2"/>
      <c r="S99" s="36">
        <v>0</v>
      </c>
      <c r="X99" s="36">
        <v>0.81</v>
      </c>
      <c r="AF99" s="36">
        <v>1</v>
      </c>
      <c r="AG99" s="36">
        <v>1</v>
      </c>
      <c r="AP99" s="8"/>
      <c r="AQ99" s="8"/>
      <c r="AR99" s="8"/>
      <c r="AS99" s="8"/>
      <c r="AT99" s="8"/>
      <c r="AU99" s="8"/>
      <c r="AV99" s="8"/>
      <c r="AW99" s="8"/>
      <c r="AX99" s="8"/>
      <c r="AY99" s="121"/>
      <c r="AZ99" s="121"/>
      <c r="BA99" s="64"/>
      <c r="BB99" s="8"/>
    </row>
    <row r="100" spans="1:54" s="36" customFormat="1">
      <c r="A100" s="36" t="s">
        <v>149</v>
      </c>
      <c r="B100" s="36" t="s">
        <v>232</v>
      </c>
      <c r="C100" s="36">
        <v>10</v>
      </c>
      <c r="D100" s="36">
        <v>13</v>
      </c>
      <c r="F100" s="36">
        <v>175</v>
      </c>
      <c r="G100" s="2">
        <f>-0.00000000000598179*1000000000000</f>
        <v>-5.9817900000000002</v>
      </c>
      <c r="H100" s="2">
        <f xml:space="preserve"> 0.00000000000399944*1000000000000</f>
        <v>3.9994399999999999</v>
      </c>
      <c r="I100" s="2">
        <f xml:space="preserve"> 0.00000000000050793*1000000000000</f>
        <v>0.50792999999999999</v>
      </c>
      <c r="J100" s="36">
        <v>62</v>
      </c>
      <c r="K100" s="81">
        <f t="shared" si="24"/>
        <v>0.66860254204845038</v>
      </c>
      <c r="L100" s="2">
        <f>12/J100</f>
        <v>0.19354838709677419</v>
      </c>
      <c r="M100" s="124">
        <v>2.2613300000000001</v>
      </c>
      <c r="N100" s="124">
        <v>0.55074000000000001</v>
      </c>
      <c r="O100" s="64">
        <v>50</v>
      </c>
      <c r="P100" s="2">
        <v>1.95</v>
      </c>
      <c r="Q100" s="2">
        <v>2.2200000000000002</v>
      </c>
      <c r="S100" s="36">
        <v>0.25</v>
      </c>
      <c r="X100" s="36">
        <v>0.54</v>
      </c>
      <c r="AF100" s="36">
        <v>0.80645161290322576</v>
      </c>
      <c r="AG100" s="36">
        <v>0.75</v>
      </c>
      <c r="AH100" s="98"/>
      <c r="AI100" s="32"/>
      <c r="AJ100" s="32"/>
      <c r="AK100" s="32"/>
      <c r="AL100" s="32"/>
      <c r="AM100" s="32"/>
      <c r="AN100" s="32"/>
      <c r="AP100" s="8"/>
      <c r="AQ100" s="8"/>
      <c r="AR100" s="8"/>
      <c r="AS100" s="8"/>
      <c r="AT100" s="8"/>
      <c r="AU100" s="8"/>
      <c r="AV100" s="8"/>
      <c r="AW100" s="8"/>
      <c r="AX100" s="8"/>
      <c r="AY100" s="121"/>
      <c r="AZ100" s="121"/>
      <c r="BA100" s="64"/>
      <c r="BB100" s="8"/>
    </row>
    <row r="101" spans="1:54" s="36" customFormat="1">
      <c r="A101" s="65" t="s">
        <v>150</v>
      </c>
      <c r="B101" s="36" t="s">
        <v>232</v>
      </c>
      <c r="D101" s="36">
        <v>35</v>
      </c>
      <c r="E101" s="36">
        <v>306</v>
      </c>
      <c r="F101" s="36">
        <v>167</v>
      </c>
      <c r="G101" s="2">
        <f xml:space="preserve"> -0.0000000000159855*1000000000000</f>
        <v>-15.985500000000002</v>
      </c>
      <c r="H101" s="2">
        <f xml:space="preserve"> 0.00000000000502333*1000000000000</f>
        <v>5.0233299999999996</v>
      </c>
      <c r="I101" s="2">
        <f xml:space="preserve"> 0.000000000000849097*1000000000000</f>
        <v>0.84909699999999999</v>
      </c>
      <c r="J101" s="36">
        <v>35</v>
      </c>
      <c r="K101" s="81">
        <f t="shared" si="24"/>
        <v>0.3142429076350442</v>
      </c>
      <c r="L101" s="2">
        <v>0</v>
      </c>
      <c r="M101" s="124">
        <v>2.56725</v>
      </c>
      <c r="N101" s="124">
        <v>0.53381100000000004</v>
      </c>
      <c r="O101" s="64">
        <v>35</v>
      </c>
      <c r="P101" s="2">
        <v>2.16</v>
      </c>
      <c r="Q101" s="2">
        <v>5.53</v>
      </c>
      <c r="S101" s="36">
        <v>0.02</v>
      </c>
      <c r="X101" s="36">
        <v>0.75</v>
      </c>
      <c r="AF101" s="36">
        <v>1</v>
      </c>
      <c r="AG101" s="36">
        <v>0.98</v>
      </c>
      <c r="AH101" s="98"/>
      <c r="AI101" s="32"/>
      <c r="AJ101" s="32"/>
      <c r="AK101" s="32"/>
      <c r="AL101" s="32"/>
      <c r="AM101" s="32"/>
      <c r="AN101" s="32"/>
      <c r="AP101" s="8"/>
      <c r="AQ101" s="8"/>
      <c r="AR101" s="8"/>
      <c r="AS101" s="8"/>
      <c r="AT101" s="8"/>
      <c r="AU101" s="8"/>
      <c r="AV101" s="8"/>
      <c r="AW101" s="8"/>
      <c r="AX101" s="8"/>
      <c r="AY101" s="121"/>
      <c r="AZ101" s="121"/>
      <c r="BA101" s="64"/>
      <c r="BB101" s="8"/>
    </row>
    <row r="102" spans="1:54" s="36" customFormat="1">
      <c r="A102" s="36" t="s">
        <v>151</v>
      </c>
      <c r="B102" s="36" t="s">
        <v>232</v>
      </c>
      <c r="C102" s="36">
        <v>12</v>
      </c>
      <c r="D102" s="36">
        <v>24</v>
      </c>
      <c r="E102" s="36">
        <v>132</v>
      </c>
      <c r="F102" s="36">
        <v>147</v>
      </c>
      <c r="G102" s="2">
        <f xml:space="preserve"> -0.000000000010348*1000000000000</f>
        <v>-10.348000000000001</v>
      </c>
      <c r="H102" s="2">
        <f xml:space="preserve"> 0.00000000000384474*1000000000000</f>
        <v>3.8447399999999998</v>
      </c>
      <c r="I102" s="2">
        <f xml:space="preserve"> 0.000000000000509248*1000000000000</f>
        <v>0.50924800000000003</v>
      </c>
      <c r="J102" s="36">
        <v>57</v>
      </c>
      <c r="K102" s="81">
        <f t="shared" si="24"/>
        <v>0.37154425976034011</v>
      </c>
      <c r="L102" s="2">
        <v>0</v>
      </c>
      <c r="M102" s="124">
        <v>2.1853799999999999</v>
      </c>
      <c r="N102" s="124">
        <v>0.61071299999999995</v>
      </c>
      <c r="O102" s="64">
        <v>60</v>
      </c>
      <c r="P102" s="2">
        <v>0.93</v>
      </c>
      <c r="Q102" s="2">
        <v>7.33</v>
      </c>
      <c r="S102" s="36">
        <v>0.03</v>
      </c>
      <c r="X102" s="36">
        <v>0.94</v>
      </c>
      <c r="AF102" s="36">
        <v>1</v>
      </c>
      <c r="AG102" s="36">
        <v>0.97</v>
      </c>
      <c r="AI102" s="2"/>
      <c r="AJ102" s="2"/>
      <c r="AK102" s="2"/>
      <c r="AL102" s="2"/>
      <c r="AM102" s="2"/>
      <c r="AN102" s="2"/>
      <c r="AP102" s="8"/>
      <c r="AQ102" s="8"/>
      <c r="AR102" s="8"/>
      <c r="AS102" s="8"/>
      <c r="AT102" s="8"/>
      <c r="AU102" s="8"/>
      <c r="AV102" s="8"/>
      <c r="AW102" s="8"/>
      <c r="AX102" s="8"/>
      <c r="AY102" s="121"/>
      <c r="AZ102" s="121"/>
      <c r="BA102" s="64"/>
      <c r="BB102" s="8"/>
    </row>
    <row r="103" spans="1:54" s="36" customFormat="1">
      <c r="A103" s="36" t="s">
        <v>152</v>
      </c>
      <c r="B103" s="36" t="s">
        <v>232</v>
      </c>
      <c r="C103" s="36">
        <v>9</v>
      </c>
      <c r="D103" s="36">
        <v>17</v>
      </c>
      <c r="E103" s="36">
        <v>238</v>
      </c>
      <c r="F103" s="36">
        <v>250</v>
      </c>
      <c r="G103" s="2">
        <f xml:space="preserve"> -0.0000000000111164*1000000000000</f>
        <v>-11.116400000000001</v>
      </c>
      <c r="H103" s="2">
        <f xml:space="preserve"> 0.00000000000446707*1000000000000</f>
        <v>4.4670700000000005</v>
      </c>
      <c r="I103" s="2">
        <f xml:space="preserve"> 0.000000000000576696*1000000000000</f>
        <v>0.57669599999999999</v>
      </c>
      <c r="J103" s="36">
        <v>60</v>
      </c>
      <c r="K103" s="81">
        <f t="shared" si="24"/>
        <v>0.40184502176963766</v>
      </c>
      <c r="L103" s="2">
        <f>1/J103</f>
        <v>1.6666666666666666E-2</v>
      </c>
      <c r="M103" s="124">
        <v>2.32728</v>
      </c>
      <c r="N103" s="124">
        <v>0.37034600000000001</v>
      </c>
      <c r="O103" s="64">
        <v>67</v>
      </c>
      <c r="P103" s="2">
        <v>0.9</v>
      </c>
      <c r="Q103" s="2">
        <v>4.9400000000000004</v>
      </c>
      <c r="S103" s="36">
        <v>0.03</v>
      </c>
      <c r="X103" s="36">
        <v>1.0900000000000001</v>
      </c>
      <c r="AF103" s="36">
        <v>0.98333333333333328</v>
      </c>
      <c r="AG103" s="36">
        <v>0.97</v>
      </c>
      <c r="AP103" s="8"/>
      <c r="AQ103" s="8"/>
      <c r="AR103" s="8"/>
      <c r="AS103" s="8"/>
      <c r="AT103" s="8"/>
      <c r="AU103" s="8"/>
      <c r="AV103" s="8"/>
      <c r="AW103" s="8"/>
      <c r="AX103" s="8"/>
      <c r="AY103" s="121"/>
      <c r="AZ103" s="121"/>
      <c r="BA103" s="64"/>
      <c r="BB103" s="8"/>
    </row>
    <row r="104" spans="1:54" s="36" customFormat="1">
      <c r="A104" s="36" t="s">
        <v>153</v>
      </c>
      <c r="B104" s="36" t="s">
        <v>230</v>
      </c>
      <c r="C104" s="36">
        <v>12</v>
      </c>
      <c r="D104" s="36">
        <v>21</v>
      </c>
      <c r="E104" s="36">
        <v>151</v>
      </c>
      <c r="F104" s="36">
        <v>71</v>
      </c>
      <c r="G104" s="2">
        <f>-0.0000000000348953*1000000000000</f>
        <v>-34.895299999999999</v>
      </c>
      <c r="H104" s="2">
        <f xml:space="preserve"> 0.0000000000157108*1000000000000</f>
        <v>15.710799999999999</v>
      </c>
      <c r="I104" s="2">
        <f xml:space="preserve"> 0.00000000000211845*1000000000000</f>
        <v>2.1184500000000002</v>
      </c>
      <c r="J104" s="36">
        <v>55</v>
      </c>
      <c r="K104" s="81">
        <f t="shared" si="24"/>
        <v>0.45022682137709086</v>
      </c>
      <c r="L104" s="2">
        <f>2/J104</f>
        <v>3.6363636363636362E-2</v>
      </c>
      <c r="M104" s="124">
        <v>2.74675</v>
      </c>
      <c r="N104" s="124">
        <v>0.43577399999999999</v>
      </c>
      <c r="O104" s="64">
        <v>53</v>
      </c>
      <c r="P104" s="2">
        <v>0.44</v>
      </c>
      <c r="Q104" s="2">
        <v>2.0099999999999998</v>
      </c>
      <c r="S104" s="36">
        <v>0.03</v>
      </c>
      <c r="X104" s="36">
        <v>0.82</v>
      </c>
      <c r="AF104" s="36">
        <v>0.96363636363636362</v>
      </c>
      <c r="AG104" s="36">
        <v>0.97</v>
      </c>
      <c r="AP104" s="8"/>
      <c r="AQ104" s="8"/>
      <c r="AR104" s="8"/>
      <c r="AS104" s="8"/>
      <c r="AT104" s="8"/>
      <c r="AU104" s="8"/>
      <c r="AV104" s="8"/>
      <c r="AW104" s="8"/>
      <c r="AX104" s="8"/>
      <c r="AY104" s="121"/>
      <c r="AZ104" s="121"/>
      <c r="BA104" s="64"/>
      <c r="BB104" s="8"/>
    </row>
    <row r="105" spans="1:54" s="36" customFormat="1">
      <c r="A105" s="36" t="s">
        <v>154</v>
      </c>
      <c r="B105" s="36" t="s">
        <v>52</v>
      </c>
      <c r="C105" s="36">
        <v>11</v>
      </c>
      <c r="D105" s="36">
        <v>18</v>
      </c>
      <c r="E105" s="36">
        <v>221</v>
      </c>
      <c r="F105" s="36">
        <v>193</v>
      </c>
      <c r="G105" s="2">
        <f>-0.0000000000254533*1000000000000</f>
        <v>-25.453299999999999</v>
      </c>
      <c r="H105" s="2">
        <f xml:space="preserve"> 0.00000000000970568*1000000000000</f>
        <v>9.705680000000001</v>
      </c>
      <c r="I105" s="2">
        <f xml:space="preserve"> 0.00000000000146319*1000000000000</f>
        <v>1.46319</v>
      </c>
      <c r="J105" s="36">
        <v>44</v>
      </c>
      <c r="K105" s="81">
        <f t="shared" si="24"/>
        <v>0.38131322854011079</v>
      </c>
      <c r="L105" s="2">
        <v>0</v>
      </c>
      <c r="M105" s="124">
        <v>2.5493999999999999</v>
      </c>
      <c r="N105" s="124">
        <v>0.18970899999999999</v>
      </c>
      <c r="O105" s="64">
        <v>44</v>
      </c>
      <c r="P105" s="2">
        <v>1.1200000000000001</v>
      </c>
      <c r="Q105" s="2">
        <v>3.93</v>
      </c>
      <c r="S105" s="36">
        <v>0.04</v>
      </c>
      <c r="X105" s="36">
        <v>0.69</v>
      </c>
      <c r="AF105" s="36">
        <v>1</v>
      </c>
      <c r="AG105" s="36">
        <v>0.96</v>
      </c>
      <c r="AP105" s="8"/>
      <c r="AQ105" s="8"/>
      <c r="AR105" s="8"/>
      <c r="AS105" s="8"/>
      <c r="AT105" s="8"/>
      <c r="AU105" s="8"/>
      <c r="AV105" s="8"/>
      <c r="AW105" s="8"/>
      <c r="AX105" s="8"/>
      <c r="AY105" s="121"/>
      <c r="AZ105" s="121"/>
      <c r="BA105" s="64"/>
      <c r="BB105" s="8"/>
    </row>
    <row r="106" spans="1:54" s="36" customFormat="1">
      <c r="A106" s="36" t="s">
        <v>155</v>
      </c>
      <c r="B106" s="36" t="s">
        <v>52</v>
      </c>
      <c r="C106" s="36">
        <v>11</v>
      </c>
      <c r="D106" s="36">
        <v>26</v>
      </c>
      <c r="E106" s="36">
        <v>193</v>
      </c>
      <c r="F106" s="36">
        <v>153</v>
      </c>
      <c r="G106" s="2">
        <f xml:space="preserve"> -0.0000000000183223*1000000000000</f>
        <v>-18.322300000000002</v>
      </c>
      <c r="H106" s="2">
        <f xml:space="preserve"> 0.00000000000496971*1000000000000</f>
        <v>4.9697100000000001</v>
      </c>
      <c r="I106" s="2">
        <f xml:space="preserve"> 0.000000000000652555*1000000000000</f>
        <v>0.652555</v>
      </c>
      <c r="J106" s="36">
        <v>58</v>
      </c>
      <c r="K106" s="81">
        <f t="shared" si="24"/>
        <v>0.2712383270659251</v>
      </c>
      <c r="L106" s="2">
        <v>0</v>
      </c>
      <c r="M106" s="124">
        <v>2.5055200000000002</v>
      </c>
      <c r="N106" s="124">
        <v>0.48079499999999997</v>
      </c>
      <c r="O106" s="64">
        <v>58</v>
      </c>
      <c r="P106" s="2">
        <v>0.56999999999999995</v>
      </c>
      <c r="Q106" s="2">
        <v>5.2</v>
      </c>
      <c r="S106" s="36">
        <v>0.09</v>
      </c>
      <c r="X106" s="36">
        <v>0.53</v>
      </c>
      <c r="AF106" s="36">
        <v>1</v>
      </c>
      <c r="AG106" s="36">
        <v>0.91</v>
      </c>
      <c r="AP106" s="8"/>
      <c r="AQ106" s="8"/>
      <c r="AR106" s="8"/>
      <c r="AS106" s="8"/>
      <c r="AT106" s="8"/>
      <c r="AU106" s="8"/>
      <c r="AV106" s="8"/>
      <c r="AW106" s="8"/>
      <c r="AX106" s="8"/>
      <c r="AY106" s="121"/>
      <c r="AZ106" s="121"/>
      <c r="BA106" s="64"/>
      <c r="BB106" s="8"/>
    </row>
    <row r="107" spans="1:54" s="36" customFormat="1">
      <c r="A107" s="36" t="s">
        <v>156</v>
      </c>
      <c r="B107" s="36" t="s">
        <v>36</v>
      </c>
      <c r="C107" s="36">
        <v>11</v>
      </c>
      <c r="D107" s="36">
        <v>16</v>
      </c>
      <c r="E107" s="36">
        <v>206</v>
      </c>
      <c r="F107" s="36">
        <v>186</v>
      </c>
      <c r="G107" s="2">
        <f>-0.0000000000173778*1000000000000</f>
        <v>-17.377800000000001</v>
      </c>
      <c r="H107" s="2">
        <f xml:space="preserve"> 0.00000000000865886*1000000000000</f>
        <v>8.6588600000000007</v>
      </c>
      <c r="I107" s="2">
        <f xml:space="preserve"> 0.00000000000112729*1000000000000</f>
        <v>1.1272899999999999</v>
      </c>
      <c r="J107" s="36">
        <v>59</v>
      </c>
      <c r="K107" s="81">
        <f t="shared" si="24"/>
        <v>0.49827135770926129</v>
      </c>
      <c r="L107" s="2">
        <f>2/59</f>
        <v>3.3898305084745763E-2</v>
      </c>
      <c r="M107" s="124">
        <v>1.8346</v>
      </c>
      <c r="N107" s="124">
        <v>0.46682499999999999</v>
      </c>
      <c r="O107" s="64">
        <v>57</v>
      </c>
      <c r="P107" s="2">
        <v>0.52</v>
      </c>
      <c r="Q107" s="2">
        <v>3.36</v>
      </c>
      <c r="S107" s="36">
        <v>0.05</v>
      </c>
      <c r="X107" s="36">
        <v>0.92</v>
      </c>
      <c r="AF107" s="36">
        <v>0.96610169491525422</v>
      </c>
      <c r="AG107" s="36">
        <v>0.95</v>
      </c>
      <c r="AP107" s="8"/>
      <c r="AQ107" s="129"/>
      <c r="AR107" s="8"/>
      <c r="AS107" s="8"/>
      <c r="AT107" s="8"/>
      <c r="AU107" s="8"/>
      <c r="AV107" s="8"/>
      <c r="AW107" s="8"/>
      <c r="AX107" s="8"/>
      <c r="AY107" s="121"/>
      <c r="AZ107" s="121"/>
      <c r="BA107" s="64"/>
      <c r="BB107" s="8"/>
    </row>
    <row r="108" spans="1:54" s="36" customFormat="1">
      <c r="A108" s="36" t="s">
        <v>157</v>
      </c>
      <c r="B108" s="36" t="s">
        <v>52</v>
      </c>
      <c r="C108" s="36">
        <v>10</v>
      </c>
      <c r="D108" s="36">
        <v>27</v>
      </c>
      <c r="E108" s="36">
        <v>102</v>
      </c>
      <c r="F108" s="36">
        <v>139</v>
      </c>
      <c r="G108" s="2">
        <f xml:space="preserve"> -0.0000000000109946*1000000000000</f>
        <v>-10.9946</v>
      </c>
      <c r="H108" s="2">
        <f xml:space="preserve"> 0.00000000000636953*1000000000000</f>
        <v>6.3695300000000001</v>
      </c>
      <c r="I108" s="2">
        <f xml:space="preserve"> 0.000000000000866783*1000000000000</f>
        <v>0.86678299999999997</v>
      </c>
      <c r="J108" s="36">
        <v>54</v>
      </c>
      <c r="K108" s="81">
        <f t="shared" si="24"/>
        <v>0.57933258144907496</v>
      </c>
      <c r="L108" s="2">
        <f>5/54</f>
        <v>9.2592592592592587E-2</v>
      </c>
      <c r="M108" s="124">
        <v>2.1615899999999999</v>
      </c>
      <c r="N108" s="124">
        <v>0.63573400000000002</v>
      </c>
      <c r="O108" s="64">
        <v>49</v>
      </c>
      <c r="P108" s="2">
        <v>1.07</v>
      </c>
      <c r="Q108" s="2">
        <v>4.83</v>
      </c>
      <c r="S108" s="36">
        <v>0.01</v>
      </c>
      <c r="X108" s="36">
        <v>1.46</v>
      </c>
      <c r="AF108" s="36">
        <v>0.90740740740740744</v>
      </c>
      <c r="AG108" s="36">
        <v>0.99</v>
      </c>
      <c r="AP108" s="8"/>
      <c r="AQ108" s="129"/>
      <c r="AR108" s="8"/>
      <c r="AS108" s="8"/>
      <c r="AT108" s="8"/>
      <c r="AU108" s="8"/>
      <c r="AV108" s="8"/>
      <c r="AW108" s="8"/>
      <c r="AX108" s="8"/>
      <c r="AY108" s="121"/>
      <c r="AZ108" s="121"/>
      <c r="BA108" s="64"/>
      <c r="BB108" s="8"/>
    </row>
    <row r="109" spans="1:54" s="36" customFormat="1">
      <c r="A109" s="36" t="s">
        <v>158</v>
      </c>
      <c r="B109" s="36" t="s">
        <v>232</v>
      </c>
      <c r="C109" s="99">
        <v>14</v>
      </c>
      <c r="D109" s="36">
        <v>23</v>
      </c>
      <c r="E109" s="36">
        <v>138</v>
      </c>
      <c r="F109" s="36">
        <v>72</v>
      </c>
      <c r="G109" s="2">
        <f>-0.0000000000442349*1000000000000</f>
        <v>-44.234899999999996</v>
      </c>
      <c r="H109" s="2">
        <f xml:space="preserve"> 0.0000000000362359*1000000000000</f>
        <v>36.235900000000001</v>
      </c>
      <c r="I109" s="2">
        <f xml:space="preserve"> 0.00000000000512453*1000000000000</f>
        <v>5.12453</v>
      </c>
      <c r="J109" s="36">
        <v>50</v>
      </c>
      <c r="K109" s="81">
        <f t="shared" ref="K109:K115" si="25">H109/-G109</f>
        <v>0.81916993143422967</v>
      </c>
      <c r="L109" s="2">
        <f>'[1]5er Trains'!D126+'[1]5er Trains'!E126</f>
        <v>-7.2897334000000001E-11</v>
      </c>
      <c r="M109" s="124">
        <v>2.15917</v>
      </c>
      <c r="N109" s="124">
        <v>0.31274099999999999</v>
      </c>
      <c r="O109" s="64">
        <v>37</v>
      </c>
      <c r="P109" s="2">
        <v>0.43</v>
      </c>
      <c r="Q109" s="2">
        <v>1.34</v>
      </c>
      <c r="S109" s="36">
        <v>0.02</v>
      </c>
      <c r="X109" s="36">
        <v>1</v>
      </c>
      <c r="AF109" s="36">
        <v>1.0000000000686957</v>
      </c>
      <c r="AG109" s="36">
        <v>0.98</v>
      </c>
      <c r="AP109" s="8"/>
      <c r="AQ109" s="8"/>
      <c r="AR109" s="8"/>
      <c r="AS109" s="8"/>
      <c r="AT109" s="8"/>
      <c r="AU109" s="8"/>
      <c r="AV109" s="8"/>
      <c r="AW109" s="8"/>
      <c r="AX109" s="8"/>
      <c r="AY109" s="121"/>
      <c r="AZ109" s="121"/>
      <c r="BA109" s="64"/>
      <c r="BB109" s="8"/>
    </row>
    <row r="110" spans="1:54" s="36" customFormat="1">
      <c r="A110" s="36" t="s">
        <v>159</v>
      </c>
      <c r="B110" s="36" t="s">
        <v>232</v>
      </c>
      <c r="C110" s="36">
        <v>8</v>
      </c>
      <c r="D110" s="36">
        <v>29</v>
      </c>
      <c r="E110" s="36">
        <v>237</v>
      </c>
      <c r="F110" s="36">
        <v>230</v>
      </c>
      <c r="G110" s="2">
        <f xml:space="preserve"> -0.0000000000318873*1000000000000</f>
        <v>-31.8873</v>
      </c>
      <c r="H110" s="2">
        <f xml:space="preserve"> 0.00000000000705161*1000000000000</f>
        <v>7.0516099999999993</v>
      </c>
      <c r="I110" s="2">
        <f xml:space="preserve"> 0.000000000000968613*1000000000000</f>
        <v>0.96861299999999995</v>
      </c>
      <c r="J110" s="36">
        <v>53</v>
      </c>
      <c r="K110" s="81">
        <f t="shared" si="25"/>
        <v>0.2211416457335679</v>
      </c>
      <c r="L110" s="2">
        <v>0</v>
      </c>
      <c r="M110" s="124">
        <v>1.5242100000000001</v>
      </c>
      <c r="N110" s="124">
        <v>0.27267799999999998</v>
      </c>
      <c r="O110" s="64">
        <v>53</v>
      </c>
      <c r="P110" s="2">
        <v>0.69</v>
      </c>
      <c r="Q110" s="2">
        <v>3.83</v>
      </c>
      <c r="S110" s="36">
        <v>0</v>
      </c>
      <c r="X110" s="36">
        <v>0.69</v>
      </c>
      <c r="AF110" s="36">
        <v>1</v>
      </c>
      <c r="AG110" s="36">
        <v>1</v>
      </c>
      <c r="AP110" s="8"/>
      <c r="AQ110" s="8"/>
      <c r="AR110" s="8"/>
      <c r="AS110" s="8"/>
      <c r="AT110" s="8"/>
      <c r="AU110" s="8"/>
      <c r="AV110" s="8"/>
      <c r="AW110" s="8"/>
      <c r="AX110" s="8"/>
      <c r="AY110" s="8"/>
      <c r="AZ110" s="121"/>
      <c r="BA110" s="64"/>
      <c r="BB110" s="8"/>
    </row>
    <row r="111" spans="1:54" s="36" customFormat="1">
      <c r="A111" s="36" t="s">
        <v>160</v>
      </c>
      <c r="B111" s="36" t="s">
        <v>232</v>
      </c>
      <c r="C111" s="36">
        <v>8</v>
      </c>
      <c r="D111" s="36">
        <v>19</v>
      </c>
      <c r="E111" s="36">
        <v>154</v>
      </c>
      <c r="F111" s="36">
        <v>173</v>
      </c>
      <c r="G111" s="2">
        <f xml:space="preserve"> -0.0000000000863036*1000000000000</f>
        <v>-86.303600000000003</v>
      </c>
      <c r="H111" s="2">
        <f xml:space="preserve"> 0.00000000000736476*1000000000000</f>
        <v>7.3647600000000004</v>
      </c>
      <c r="I111" s="2">
        <f>0.000000000000975486*1000000000000</f>
        <v>0.97548600000000008</v>
      </c>
      <c r="J111" s="36">
        <v>57</v>
      </c>
      <c r="K111" s="81">
        <f t="shared" si="25"/>
        <v>8.5335490060669539E-2</v>
      </c>
      <c r="L111" s="2">
        <v>0</v>
      </c>
      <c r="M111" s="124">
        <v>1.90133</v>
      </c>
      <c r="N111" s="124">
        <v>0.148453</v>
      </c>
      <c r="O111" s="64">
        <v>57</v>
      </c>
      <c r="P111" s="2">
        <v>0.93</v>
      </c>
      <c r="Q111" s="2">
        <v>4.25</v>
      </c>
      <c r="S111" s="36">
        <v>0</v>
      </c>
      <c r="X111" s="36">
        <v>0.6</v>
      </c>
      <c r="AF111" s="36">
        <v>1</v>
      </c>
      <c r="AG111" s="36">
        <v>1</v>
      </c>
      <c r="AP111" s="8"/>
      <c r="AQ111" s="8"/>
      <c r="AR111" s="8"/>
      <c r="AS111" s="8"/>
      <c r="AT111" s="8"/>
      <c r="AU111" s="8"/>
      <c r="AV111" s="8"/>
      <c r="AW111" s="8"/>
      <c r="AX111" s="8"/>
      <c r="AY111" s="121"/>
      <c r="AZ111" s="121"/>
      <c r="BA111" s="64"/>
      <c r="BB111" s="8"/>
    </row>
    <row r="112" spans="1:54" s="36" customFormat="1">
      <c r="A112" s="65" t="s">
        <v>161</v>
      </c>
      <c r="B112" s="36" t="s">
        <v>232</v>
      </c>
      <c r="D112" s="36">
        <v>24</v>
      </c>
      <c r="E112" s="36">
        <v>123</v>
      </c>
      <c r="F112" s="36">
        <v>105</v>
      </c>
      <c r="G112" s="2">
        <f xml:space="preserve"> -0.0000000000126117*1000000000000</f>
        <v>-12.611699999999999</v>
      </c>
      <c r="H112" s="2">
        <f xml:space="preserve"> 0.00000000000437699*1000000000000</f>
        <v>4.3769900000000002</v>
      </c>
      <c r="I112" s="2">
        <f xml:space="preserve"> 0.000000000000547124*1000000000000</f>
        <v>0.54712399999999994</v>
      </c>
      <c r="J112" s="36">
        <v>64</v>
      </c>
      <c r="K112" s="81">
        <f t="shared" si="25"/>
        <v>0.34705789068880488</v>
      </c>
      <c r="L112" s="2">
        <f>1/64</f>
        <v>1.5625E-2</v>
      </c>
      <c r="M112" s="124">
        <v>1.7652699999999999</v>
      </c>
      <c r="N112" s="124">
        <v>0.382413</v>
      </c>
      <c r="O112" s="64">
        <v>63</v>
      </c>
      <c r="P112" s="2">
        <v>0.13</v>
      </c>
      <c r="Q112" s="2">
        <v>13.31</v>
      </c>
      <c r="S112" s="36">
        <v>0.04</v>
      </c>
      <c r="X112" s="36">
        <v>0.66</v>
      </c>
      <c r="AF112" s="36">
        <v>0.984375</v>
      </c>
      <c r="AG112" s="36">
        <v>0.96</v>
      </c>
      <c r="AP112" s="8"/>
      <c r="AQ112" s="8"/>
      <c r="AR112" s="8"/>
      <c r="AS112" s="8"/>
      <c r="AT112" s="8"/>
      <c r="AU112" s="8"/>
      <c r="AV112" s="8"/>
      <c r="AW112" s="8"/>
      <c r="AX112" s="8"/>
      <c r="AY112" s="121"/>
      <c r="AZ112" s="121"/>
      <c r="BA112" s="64"/>
      <c r="BB112" s="8"/>
    </row>
    <row r="113" spans="1:54" s="36" customFormat="1">
      <c r="A113" s="65" t="s">
        <v>162</v>
      </c>
      <c r="B113" s="36" t="s">
        <v>232</v>
      </c>
      <c r="D113" s="36">
        <v>12</v>
      </c>
      <c r="E113" s="36">
        <v>151</v>
      </c>
      <c r="F113" s="36">
        <v>176</v>
      </c>
      <c r="G113" s="2">
        <f xml:space="preserve"> -0.000000000012269*1000000000000</f>
        <v>-12.269</v>
      </c>
      <c r="H113" s="2">
        <f xml:space="preserve"> 0.00000000000463252*1000000000000</f>
        <v>4.6325200000000004</v>
      </c>
      <c r="I113" s="2">
        <f xml:space="preserve"> 0.000000000000570224*1000000000000</f>
        <v>0.57022399999999995</v>
      </c>
      <c r="J113" s="36">
        <v>66</v>
      </c>
      <c r="K113" s="81">
        <f t="shared" si="25"/>
        <v>0.37757926481375831</v>
      </c>
      <c r="L113" s="2">
        <f>1/J113</f>
        <v>1.5151515151515152E-2</v>
      </c>
      <c r="M113" s="124">
        <v>1.57718</v>
      </c>
      <c r="N113" s="124">
        <v>0.45543600000000001</v>
      </c>
      <c r="O113" s="64">
        <v>65</v>
      </c>
      <c r="P113" s="2">
        <v>3.89</v>
      </c>
      <c r="Q113" s="2">
        <v>2.35</v>
      </c>
      <c r="S113" s="36">
        <v>0.02</v>
      </c>
      <c r="X113" s="36">
        <v>0.84</v>
      </c>
      <c r="AF113" s="36">
        <v>0.98484848484848486</v>
      </c>
      <c r="AG113" s="36">
        <v>0.98</v>
      </c>
      <c r="AP113" s="8"/>
      <c r="AQ113" s="8"/>
      <c r="AR113" s="8"/>
      <c r="AS113" s="8"/>
      <c r="AT113" s="8"/>
      <c r="AU113" s="8"/>
      <c r="AV113" s="8"/>
      <c r="AW113" s="8"/>
      <c r="AX113" s="8"/>
      <c r="AY113" s="121"/>
      <c r="AZ113" s="121"/>
      <c r="BA113" s="64"/>
      <c r="BB113" s="8"/>
    </row>
    <row r="114" spans="1:54" s="36" customFormat="1">
      <c r="A114" s="65" t="s">
        <v>163</v>
      </c>
      <c r="B114" s="36" t="s">
        <v>232</v>
      </c>
      <c r="D114" s="36">
        <v>26</v>
      </c>
      <c r="E114" s="36">
        <v>101</v>
      </c>
      <c r="F114" s="36">
        <v>172</v>
      </c>
      <c r="G114" s="2">
        <f xml:space="preserve"> -0.00000000000611067*1000000000000</f>
        <v>-6.1106699999999998</v>
      </c>
      <c r="H114" s="2">
        <f xml:space="preserve"> 0.00000000000411678*1000000000000</f>
        <v>4.1167800000000003</v>
      </c>
      <c r="I114" s="2">
        <f xml:space="preserve"> 0.000000000000492049*1000000000000</f>
        <v>0.49204900000000001</v>
      </c>
      <c r="J114" s="36">
        <v>70</v>
      </c>
      <c r="K114" s="81">
        <f t="shared" si="25"/>
        <v>0.67370353823721463</v>
      </c>
      <c r="L114" s="2">
        <f>11/J114</f>
        <v>0.15714285714285714</v>
      </c>
      <c r="M114" s="124">
        <v>2.30877</v>
      </c>
      <c r="N114" s="124">
        <v>0.60619199999999995</v>
      </c>
      <c r="O114" s="64">
        <v>60</v>
      </c>
      <c r="P114" s="2"/>
      <c r="Q114" s="2"/>
      <c r="S114" s="36">
        <v>0.08</v>
      </c>
      <c r="X114" s="36">
        <v>1.1299999999999999</v>
      </c>
      <c r="AF114" s="36">
        <v>0.84285714285714286</v>
      </c>
      <c r="AG114" s="36">
        <v>0.92</v>
      </c>
      <c r="AP114" s="8"/>
      <c r="AQ114" s="8"/>
      <c r="AR114" s="8"/>
      <c r="AS114" s="8"/>
      <c r="AT114" s="8"/>
      <c r="AU114" s="8"/>
      <c r="AV114" s="8"/>
      <c r="AW114" s="8"/>
      <c r="AX114" s="8"/>
      <c r="AY114" s="121"/>
      <c r="AZ114" s="121"/>
      <c r="BA114" s="64"/>
      <c r="BB114" s="8"/>
    </row>
    <row r="115" spans="1:54" s="36" customFormat="1">
      <c r="A115" s="36" t="s">
        <v>164</v>
      </c>
      <c r="B115" s="36" t="s">
        <v>232</v>
      </c>
      <c r="C115" s="36">
        <v>11</v>
      </c>
      <c r="D115" s="36">
        <v>31</v>
      </c>
      <c r="E115" s="36">
        <v>113</v>
      </c>
      <c r="F115" s="36">
        <v>112</v>
      </c>
      <c r="G115" s="2">
        <f xml:space="preserve"> -0.00000000000651611*1000000000000</f>
        <v>-6.5161099999999994</v>
      </c>
      <c r="H115" s="2">
        <f xml:space="preserve"> 0.00000000000268157*1000000000000</f>
        <v>2.6815699999999998</v>
      </c>
      <c r="I115" s="2">
        <f xml:space="preserve"> 0.000000000000375495*1000000000000</f>
        <v>0.37549500000000002</v>
      </c>
      <c r="J115" s="36">
        <v>51</v>
      </c>
      <c r="K115" s="81">
        <f t="shared" si="25"/>
        <v>0.41152927129836669</v>
      </c>
      <c r="L115" s="2">
        <f>2/J115</f>
        <v>3.9215686274509803E-2</v>
      </c>
      <c r="M115" s="124">
        <v>2.7261600000000001</v>
      </c>
      <c r="N115" s="124">
        <v>0.46432200000000001</v>
      </c>
      <c r="O115" s="64">
        <v>49</v>
      </c>
      <c r="P115" s="2">
        <v>1.33</v>
      </c>
      <c r="Q115" s="2">
        <v>6.38</v>
      </c>
      <c r="S115" s="36">
        <v>0.13</v>
      </c>
      <c r="X115" s="36">
        <v>0.8</v>
      </c>
      <c r="AF115" s="36">
        <v>0.96078431372549022</v>
      </c>
      <c r="AG115" s="36">
        <v>0.87</v>
      </c>
      <c r="AP115" s="8"/>
      <c r="AQ115" s="8"/>
      <c r="AR115" s="8"/>
      <c r="AS115" s="8"/>
      <c r="AT115" s="8"/>
      <c r="AU115" s="8"/>
      <c r="AV115" s="8"/>
      <c r="AW115" s="8"/>
      <c r="AX115" s="8"/>
      <c r="AY115" s="121"/>
      <c r="AZ115" s="121"/>
      <c r="BA115" s="64"/>
      <c r="BB115" s="8"/>
    </row>
    <row r="116" spans="1:54" s="36" customFormat="1">
      <c r="A116" s="36" t="s">
        <v>165</v>
      </c>
      <c r="B116" s="36" t="s">
        <v>232</v>
      </c>
      <c r="D116" s="36">
        <v>23</v>
      </c>
      <c r="E116" s="98" t="s">
        <v>231</v>
      </c>
      <c r="F116" s="36">
        <v>180</v>
      </c>
      <c r="G116" s="2">
        <f xml:space="preserve"> -0.000000000044456*1000000000000</f>
        <v>-44.455999999999996</v>
      </c>
      <c r="H116" s="2">
        <f xml:space="preserve"> 0.00000000000699886*1000000000000</f>
        <v>6.9988600000000005</v>
      </c>
      <c r="I116" s="2">
        <f xml:space="preserve"> 0.000000000000903549*1000000000000</f>
        <v>0.90354899999999994</v>
      </c>
      <c r="J116" s="36">
        <v>60</v>
      </c>
      <c r="K116" s="2">
        <f t="shared" ref="K116:K123" si="26">H116/-G116</f>
        <v>0.15743341731149904</v>
      </c>
      <c r="L116" s="36">
        <v>0</v>
      </c>
      <c r="M116" s="36">
        <v>2.3008700000000002</v>
      </c>
      <c r="N116" s="124">
        <v>0.225609</v>
      </c>
      <c r="O116" s="64">
        <v>60</v>
      </c>
      <c r="P116" s="36">
        <v>1.97</v>
      </c>
      <c r="Q116" s="36">
        <v>3.83</v>
      </c>
      <c r="S116" s="36">
        <v>0</v>
      </c>
      <c r="X116" s="36">
        <v>0.56000000000000005</v>
      </c>
      <c r="AF116" s="36">
        <v>1</v>
      </c>
      <c r="AG116" s="36">
        <v>1</v>
      </c>
      <c r="AP116" s="8"/>
      <c r="AQ116" s="8"/>
      <c r="AR116" s="8"/>
      <c r="AS116" s="8"/>
      <c r="AT116" s="8"/>
      <c r="AU116" s="8"/>
      <c r="AV116" s="8"/>
      <c r="AW116" s="8"/>
      <c r="AX116" s="8"/>
      <c r="AY116" s="121"/>
      <c r="AZ116" s="121"/>
      <c r="BA116" s="64"/>
      <c r="BB116" s="8"/>
    </row>
    <row r="117" spans="1:54" s="36" customFormat="1">
      <c r="A117" s="36" t="s">
        <v>166</v>
      </c>
      <c r="B117" s="36" t="s">
        <v>230</v>
      </c>
      <c r="D117" s="36">
        <v>28</v>
      </c>
      <c r="E117" s="98" t="s">
        <v>231</v>
      </c>
      <c r="F117" s="36">
        <v>127</v>
      </c>
      <c r="G117" s="2">
        <f xml:space="preserve"> -0.000000000013753*1000000000000</f>
        <v>-13.753</v>
      </c>
      <c r="H117" s="2">
        <f xml:space="preserve"> 0.00000000000414791*1000000000000</f>
        <v>4.1479100000000004</v>
      </c>
      <c r="I117" s="2">
        <f xml:space="preserve"> 0.000000000000701124*1000000000000</f>
        <v>0.70112400000000008</v>
      </c>
      <c r="J117" s="36">
        <v>35</v>
      </c>
      <c r="K117" s="2">
        <f t="shared" si="26"/>
        <v>0.30160037809932383</v>
      </c>
      <c r="L117" s="36">
        <v>0</v>
      </c>
      <c r="M117" s="124">
        <v>1.6365799999999999</v>
      </c>
      <c r="N117" s="124">
        <v>0.119958</v>
      </c>
      <c r="O117" s="64">
        <v>35</v>
      </c>
      <c r="P117" s="36">
        <v>0.44</v>
      </c>
      <c r="Q117" s="36">
        <v>1.52</v>
      </c>
      <c r="S117" s="36">
        <v>0.06</v>
      </c>
      <c r="X117" s="36">
        <v>0.79</v>
      </c>
      <c r="AF117" s="36">
        <v>1</v>
      </c>
      <c r="AG117" s="36">
        <v>0.94</v>
      </c>
      <c r="AP117" s="8"/>
      <c r="AQ117" s="8"/>
      <c r="AR117" s="8"/>
      <c r="AS117" s="8"/>
      <c r="AT117" s="8"/>
      <c r="AU117" s="8"/>
      <c r="AV117" s="8"/>
      <c r="AW117" s="8"/>
      <c r="AX117" s="8"/>
      <c r="AY117" s="121"/>
      <c r="AZ117" s="121"/>
      <c r="BA117" s="64"/>
      <c r="BB117" s="8"/>
    </row>
    <row r="118" spans="1:54" s="36" customFormat="1">
      <c r="A118" s="36" t="s">
        <v>167</v>
      </c>
      <c r="B118" s="36" t="s">
        <v>232</v>
      </c>
      <c r="D118" s="36">
        <v>21</v>
      </c>
      <c r="E118" s="98" t="s">
        <v>231</v>
      </c>
      <c r="F118" s="36">
        <v>103</v>
      </c>
      <c r="G118" s="2">
        <f xml:space="preserve"> -0.0000000000856263*1000000000000</f>
        <v>-85.626300000000001</v>
      </c>
      <c r="H118" s="2">
        <f xml:space="preserve"> 0.000000000021326*1000000000000</f>
        <v>21.326000000000001</v>
      </c>
      <c r="I118" s="2">
        <f xml:space="preserve"> 0.00000000000329068*1000000000000</f>
        <v>3.29068</v>
      </c>
      <c r="J118" s="36">
        <v>42</v>
      </c>
      <c r="K118" s="2">
        <f t="shared" si="26"/>
        <v>0.24905899238902066</v>
      </c>
      <c r="L118" s="36">
        <v>0</v>
      </c>
      <c r="M118" s="124">
        <v>1.8020099999999999</v>
      </c>
      <c r="N118" s="124">
        <v>0.33677099999999999</v>
      </c>
      <c r="O118" s="64">
        <v>42</v>
      </c>
      <c r="P118" s="36">
        <v>1.05</v>
      </c>
      <c r="Q118" s="36">
        <v>1.6</v>
      </c>
      <c r="S118" s="36">
        <v>0</v>
      </c>
      <c r="X118" s="36">
        <v>0.8</v>
      </c>
      <c r="AF118" s="36">
        <v>1</v>
      </c>
      <c r="AG118" s="36">
        <v>1</v>
      </c>
      <c r="AP118" s="8"/>
      <c r="AQ118" s="8"/>
      <c r="AR118" s="8"/>
      <c r="AS118" s="8"/>
      <c r="AT118" s="8"/>
      <c r="AU118" s="8"/>
      <c r="AV118" s="8"/>
      <c r="AW118" s="8"/>
      <c r="AX118" s="8"/>
      <c r="AY118" s="121"/>
      <c r="AZ118" s="121"/>
      <c r="BA118" s="64"/>
      <c r="BB118" s="8"/>
    </row>
    <row r="119" spans="1:54" s="36" customFormat="1">
      <c r="A119" s="36" t="s">
        <v>168</v>
      </c>
      <c r="B119" s="36" t="s">
        <v>232</v>
      </c>
      <c r="C119" s="36" t="s">
        <v>246</v>
      </c>
      <c r="D119" s="36">
        <v>18</v>
      </c>
      <c r="E119" s="98" t="s">
        <v>231</v>
      </c>
      <c r="F119" s="36">
        <v>165</v>
      </c>
      <c r="G119" s="2">
        <f xml:space="preserve"> -0.0000000000230773*1000000000000</f>
        <v>-23.077300000000001</v>
      </c>
      <c r="H119" s="2">
        <f xml:space="preserve"> 0.00000000000696538*1000000000000</f>
        <v>6.9653799999999997</v>
      </c>
      <c r="I119" s="2">
        <f xml:space="preserve"> 0.000000000000857379*1000000000000</f>
        <v>0.857379</v>
      </c>
      <c r="J119" s="36">
        <v>66</v>
      </c>
      <c r="K119" s="2">
        <f t="shared" si="26"/>
        <v>0.30182820347267658</v>
      </c>
      <c r="L119" s="36">
        <v>0</v>
      </c>
      <c r="M119" s="124">
        <v>1.8159700000000001</v>
      </c>
      <c r="N119" s="124">
        <v>0.198347</v>
      </c>
      <c r="O119" s="64">
        <v>66</v>
      </c>
      <c r="P119" s="36">
        <v>0.54</v>
      </c>
      <c r="Q119" s="36">
        <v>3.94</v>
      </c>
      <c r="S119" s="36">
        <v>0.08</v>
      </c>
      <c r="X119" s="36">
        <v>0.74</v>
      </c>
      <c r="AF119" s="36">
        <v>1</v>
      </c>
      <c r="AG119" s="36">
        <v>0.92</v>
      </c>
      <c r="AP119" s="8"/>
      <c r="AQ119" s="8"/>
      <c r="AR119" s="8"/>
      <c r="AS119" s="8"/>
      <c r="AT119" s="8"/>
      <c r="AU119" s="8"/>
      <c r="AV119" s="8"/>
      <c r="AW119" s="8"/>
      <c r="AX119" s="8"/>
      <c r="AY119" s="121"/>
      <c r="AZ119" s="121"/>
      <c r="BA119" s="64"/>
      <c r="BB119" s="8"/>
    </row>
    <row r="120" spans="1:54" s="36" customFormat="1">
      <c r="A120" s="36" t="s">
        <v>169</v>
      </c>
      <c r="B120" s="36" t="s">
        <v>232</v>
      </c>
      <c r="D120" s="36">
        <v>30</v>
      </c>
      <c r="E120" s="98" t="s">
        <v>231</v>
      </c>
      <c r="F120" s="36">
        <v>169</v>
      </c>
      <c r="G120" s="2">
        <f xml:space="preserve"> -0.0000000000453605*1000000000000</f>
        <v>-45.360499999999995</v>
      </c>
      <c r="H120" s="2">
        <f xml:space="preserve"> 0.0000000000112466*1000000000000</f>
        <v>11.246600000000001</v>
      </c>
      <c r="I120" s="2">
        <f xml:space="preserve"> 0.00000000000143998*1000000000000</f>
        <v>1.43998</v>
      </c>
      <c r="J120" s="36">
        <v>61</v>
      </c>
      <c r="K120" s="2">
        <f t="shared" si="26"/>
        <v>0.24793818410290897</v>
      </c>
      <c r="L120" s="36">
        <v>0</v>
      </c>
      <c r="M120" s="124">
        <v>2.0724499999999999</v>
      </c>
      <c r="N120" s="124">
        <v>0.10746600000000001</v>
      </c>
      <c r="O120" s="64">
        <v>61</v>
      </c>
      <c r="P120" s="36">
        <v>0.56000000000000005</v>
      </c>
      <c r="Q120" s="36">
        <v>3.37</v>
      </c>
      <c r="S120" s="36">
        <v>0</v>
      </c>
      <c r="X120" s="36">
        <v>0.93</v>
      </c>
      <c r="AF120" s="36">
        <v>1</v>
      </c>
      <c r="AG120" s="36">
        <v>1</v>
      </c>
      <c r="AP120" s="8"/>
      <c r="AQ120" s="8"/>
      <c r="AR120" s="8"/>
      <c r="AS120" s="8"/>
      <c r="AT120" s="8"/>
      <c r="AU120" s="8"/>
      <c r="AV120" s="8"/>
      <c r="AW120" s="8"/>
      <c r="AX120" s="8"/>
      <c r="AY120" s="121"/>
      <c r="AZ120" s="121"/>
      <c r="BA120" s="64"/>
      <c r="BB120" s="8"/>
    </row>
    <row r="121" spans="1:54" s="36" customFormat="1">
      <c r="A121" s="36" t="s">
        <v>170</v>
      </c>
      <c r="B121" s="36" t="s">
        <v>230</v>
      </c>
      <c r="C121" s="36" t="s">
        <v>210</v>
      </c>
      <c r="D121" s="36">
        <v>16</v>
      </c>
      <c r="E121" s="36">
        <v>204</v>
      </c>
      <c r="F121" s="36">
        <v>223</v>
      </c>
      <c r="G121" s="2">
        <f xml:space="preserve"> -0.0000000000175744*1000000000000</f>
        <v>-17.574400000000001</v>
      </c>
      <c r="H121" s="2">
        <f xml:space="preserve"> 0.00000000000664634*1000000000000</f>
        <v>6.6463399999999995</v>
      </c>
      <c r="I121" s="2">
        <f xml:space="preserve"> 0.000000000000783279*1000000000000</f>
        <v>0.78327899999999995</v>
      </c>
      <c r="J121" s="36">
        <v>72</v>
      </c>
      <c r="K121" s="2">
        <f t="shared" si="26"/>
        <v>0.37818303896576833</v>
      </c>
      <c r="L121" s="2">
        <f>2/J121</f>
        <v>2.7777777777777776E-2</v>
      </c>
      <c r="M121" s="124">
        <v>2.9418000000000002</v>
      </c>
      <c r="N121" s="124">
        <v>0.40852699999999997</v>
      </c>
      <c r="O121" s="64">
        <v>70</v>
      </c>
      <c r="P121" s="2">
        <v>1.1200000000000001</v>
      </c>
      <c r="Q121" s="2">
        <v>4.4400000000000004</v>
      </c>
      <c r="S121" s="36">
        <v>0</v>
      </c>
      <c r="X121" s="36">
        <v>0.76</v>
      </c>
      <c r="AF121" s="36">
        <v>0.97222222222222221</v>
      </c>
      <c r="AG121" s="36">
        <v>1</v>
      </c>
      <c r="AP121" s="8"/>
      <c r="AQ121" s="8"/>
      <c r="AR121" s="8"/>
      <c r="AS121" s="8"/>
      <c r="AT121" s="8"/>
      <c r="AU121" s="8"/>
      <c r="AV121" s="8"/>
      <c r="AW121" s="8"/>
      <c r="AX121" s="8"/>
      <c r="AY121" s="121"/>
      <c r="AZ121" s="121"/>
      <c r="BA121" s="64"/>
      <c r="BB121" s="8"/>
    </row>
    <row r="122" spans="1:54" s="36" customFormat="1">
      <c r="A122" s="36" t="s">
        <v>171</v>
      </c>
      <c r="B122" s="36" t="s">
        <v>232</v>
      </c>
      <c r="D122" s="36">
        <v>21</v>
      </c>
      <c r="E122" s="36">
        <v>181</v>
      </c>
      <c r="F122" s="36">
        <v>212</v>
      </c>
      <c r="G122" s="2">
        <f xml:space="preserve"> -0.0000000000179798*1000000000000</f>
        <v>-17.979800000000001</v>
      </c>
      <c r="H122" s="2">
        <f xml:space="preserve"> 0.00000000000451916*1000000000000</f>
        <v>4.5191600000000003</v>
      </c>
      <c r="I122" s="2">
        <f xml:space="preserve"> 0.000000000000659188*1000000000000</f>
        <v>0.659188</v>
      </c>
      <c r="J122" s="36">
        <v>47</v>
      </c>
      <c r="K122" s="2">
        <f t="shared" si="26"/>
        <v>0.25134651108466166</v>
      </c>
      <c r="L122" s="2">
        <v>0</v>
      </c>
      <c r="M122" s="124">
        <v>2.2203300000000001</v>
      </c>
      <c r="N122" s="124">
        <v>0.33172499999999999</v>
      </c>
      <c r="O122" s="64">
        <v>47</v>
      </c>
      <c r="P122" s="2">
        <v>1.47</v>
      </c>
      <c r="Q122" s="2">
        <v>6.36</v>
      </c>
      <c r="S122" s="36">
        <v>0</v>
      </c>
      <c r="X122" s="36">
        <v>0.81</v>
      </c>
      <c r="AF122" s="36">
        <v>1</v>
      </c>
      <c r="AG122" s="36">
        <v>1</v>
      </c>
      <c r="AP122" s="8"/>
      <c r="AQ122" s="8"/>
      <c r="AR122" s="8"/>
      <c r="AS122" s="8"/>
      <c r="AT122" s="8"/>
      <c r="AU122" s="8"/>
      <c r="AV122" s="8"/>
      <c r="AW122" s="8"/>
      <c r="AX122" s="8"/>
      <c r="AY122" s="121"/>
      <c r="AZ122" s="121"/>
      <c r="BA122" s="64"/>
      <c r="BB122" s="8"/>
    </row>
    <row r="123" spans="1:54" s="36" customFormat="1">
      <c r="A123" s="36" t="s">
        <v>172</v>
      </c>
      <c r="B123" s="36" t="s">
        <v>230</v>
      </c>
      <c r="D123" s="36">
        <v>14</v>
      </c>
      <c r="E123" s="98">
        <v>165</v>
      </c>
      <c r="F123" s="36">
        <v>175</v>
      </c>
      <c r="G123" s="2">
        <f xml:space="preserve"> -0.000000000131617*1000000000000</f>
        <v>-131.61700000000002</v>
      </c>
      <c r="H123" s="2">
        <f xml:space="preserve"> 0.0000000000142782*1000000000000</f>
        <v>14.2782</v>
      </c>
      <c r="I123" s="2">
        <f xml:space="preserve"> 0.00000000000187481*1000000000000</f>
        <v>1.8748100000000001</v>
      </c>
      <c r="J123" s="36">
        <v>58</v>
      </c>
      <c r="K123" s="2">
        <f t="shared" si="26"/>
        <v>0.10848294673180514</v>
      </c>
      <c r="L123" s="36">
        <v>0</v>
      </c>
      <c r="M123" s="124">
        <v>1.5227900000000001</v>
      </c>
      <c r="N123" s="124">
        <v>5.29238E-2</v>
      </c>
      <c r="O123" s="64">
        <v>58</v>
      </c>
      <c r="P123" s="36">
        <v>1.1000000000000001</v>
      </c>
      <c r="Q123" s="36">
        <v>3.2</v>
      </c>
      <c r="S123" s="36">
        <v>0</v>
      </c>
      <c r="X123" s="36">
        <v>0.77</v>
      </c>
      <c r="AF123" s="36">
        <v>1</v>
      </c>
      <c r="AG123" s="36">
        <v>1</v>
      </c>
      <c r="AP123" s="8"/>
      <c r="AQ123" s="8"/>
      <c r="AR123" s="8"/>
      <c r="AS123" s="8"/>
      <c r="AT123" s="8"/>
      <c r="AU123" s="8"/>
      <c r="AV123" s="8"/>
      <c r="AW123" s="8"/>
      <c r="AX123" s="8"/>
      <c r="AY123" s="121"/>
      <c r="AZ123" s="121"/>
      <c r="BA123" s="64"/>
      <c r="BB123" s="8"/>
    </row>
    <row r="124" spans="1:54" s="36" customFormat="1">
      <c r="A124" s="36" t="s">
        <v>173</v>
      </c>
      <c r="B124" s="36" t="s">
        <v>230</v>
      </c>
      <c r="D124" s="36">
        <v>32</v>
      </c>
      <c r="E124" s="36">
        <v>126</v>
      </c>
      <c r="F124" s="36">
        <v>161</v>
      </c>
      <c r="G124" s="2">
        <f xml:space="preserve"> -0.0000000000379839*1000000000000</f>
        <v>-37.983899999999998</v>
      </c>
      <c r="H124" s="2">
        <f xml:space="preserve"> 0.00000000000603053*1000000000000</f>
        <v>6.0305299999999997</v>
      </c>
      <c r="I124" s="2">
        <f xml:space="preserve"> 0.000000000000747995*1000000000000</f>
        <v>0.74799499999999997</v>
      </c>
      <c r="J124" s="36">
        <v>65</v>
      </c>
      <c r="K124" s="2">
        <f t="shared" ref="K124:K129" si="27">H124/-G124</f>
        <v>0.15876542429818949</v>
      </c>
      <c r="L124" s="36">
        <v>0</v>
      </c>
      <c r="M124" s="124">
        <v>2.8294000000000001</v>
      </c>
      <c r="N124" s="124">
        <v>0.119339</v>
      </c>
      <c r="O124" s="64">
        <v>65</v>
      </c>
      <c r="P124" s="36">
        <v>2.46</v>
      </c>
      <c r="Q124" s="36">
        <v>4.78</v>
      </c>
      <c r="S124" s="36">
        <v>0</v>
      </c>
      <c r="X124" s="36">
        <v>0.68</v>
      </c>
      <c r="AF124" s="36">
        <v>1</v>
      </c>
      <c r="AG124" s="36">
        <v>1</v>
      </c>
      <c r="AP124" s="8"/>
      <c r="AQ124" s="8"/>
      <c r="AR124" s="8"/>
      <c r="AS124" s="8"/>
      <c r="AT124" s="8"/>
      <c r="AU124" s="8"/>
      <c r="AV124" s="8"/>
      <c r="AW124" s="8"/>
      <c r="AX124" s="8"/>
      <c r="AY124" s="121"/>
      <c r="AZ124" s="121"/>
      <c r="BA124" s="64"/>
      <c r="BB124" s="8"/>
    </row>
    <row r="125" spans="1:54" s="36" customFormat="1">
      <c r="A125" s="36" t="s">
        <v>174</v>
      </c>
      <c r="B125" s="36" t="s">
        <v>230</v>
      </c>
      <c r="D125" s="36">
        <v>14</v>
      </c>
      <c r="E125" s="98" t="s">
        <v>231</v>
      </c>
      <c r="F125" s="36">
        <v>175</v>
      </c>
      <c r="G125" s="2">
        <f xml:space="preserve"> -0.00000000000906911*1000000000000</f>
        <v>-9.0691100000000002</v>
      </c>
      <c r="H125" s="2">
        <f xml:space="preserve"> 0.00000000000315559*1000000000000</f>
        <v>3.1555899999999997</v>
      </c>
      <c r="I125" s="2">
        <f xml:space="preserve"> 0.000000000000417968*1000000000000</f>
        <v>0.41796800000000001</v>
      </c>
      <c r="J125" s="36">
        <v>57</v>
      </c>
      <c r="K125" s="2">
        <f t="shared" si="27"/>
        <v>0.34794924750058159</v>
      </c>
      <c r="L125" s="36">
        <v>0</v>
      </c>
      <c r="M125" s="124">
        <v>2.0041099999999998</v>
      </c>
      <c r="N125" s="124">
        <v>0.32722200000000001</v>
      </c>
      <c r="O125" s="64">
        <v>57</v>
      </c>
      <c r="P125" s="36">
        <v>0.37</v>
      </c>
      <c r="Q125" s="36">
        <v>9.57</v>
      </c>
      <c r="S125" s="36">
        <v>0</v>
      </c>
      <c r="X125" s="36">
        <v>0.73</v>
      </c>
      <c r="AF125" s="36">
        <v>1</v>
      </c>
      <c r="AG125" s="36">
        <v>1</v>
      </c>
      <c r="AP125" s="8"/>
      <c r="AQ125" s="8"/>
      <c r="AR125" s="8"/>
      <c r="AS125" s="8"/>
      <c r="AT125" s="8"/>
      <c r="AU125" s="8"/>
      <c r="AV125" s="8"/>
      <c r="AW125" s="8"/>
      <c r="AX125" s="8"/>
      <c r="AY125" s="121"/>
      <c r="AZ125" s="121"/>
      <c r="BA125" s="64"/>
      <c r="BB125" s="8"/>
    </row>
    <row r="126" spans="1:54" s="36" customFormat="1">
      <c r="A126" s="36" t="s">
        <v>175</v>
      </c>
      <c r="B126" s="36" t="s">
        <v>230</v>
      </c>
      <c r="D126" s="36">
        <v>14</v>
      </c>
      <c r="E126" s="98" t="s">
        <v>231</v>
      </c>
      <c r="F126" s="36">
        <v>159</v>
      </c>
      <c r="G126" s="2">
        <f xml:space="preserve"> -0.0000000000106491*1000000000000</f>
        <v>-10.649100000000001</v>
      </c>
      <c r="H126" s="2">
        <f xml:space="preserve"> 0.00000000000502207*1000000000000</f>
        <v>5.0220700000000003</v>
      </c>
      <c r="I126" s="2">
        <f xml:space="preserve"> 0.000000000000618173*1000000000000</f>
        <v>0.61817299999999997</v>
      </c>
      <c r="J126" s="36">
        <v>66</v>
      </c>
      <c r="K126" s="2">
        <f t="shared" si="27"/>
        <v>0.47159572170418157</v>
      </c>
      <c r="L126" s="2">
        <f>2/J126</f>
        <v>3.0303030303030304E-2</v>
      </c>
      <c r="M126" s="124">
        <v>2.0708899999999999</v>
      </c>
      <c r="N126" s="124">
        <v>0.44738499999999998</v>
      </c>
      <c r="O126" s="64">
        <v>58</v>
      </c>
      <c r="P126" s="36">
        <v>1.04</v>
      </c>
      <c r="Q126" s="36">
        <v>2.61</v>
      </c>
      <c r="S126" s="36">
        <v>0.11</v>
      </c>
      <c r="X126" s="36">
        <v>0.65</v>
      </c>
      <c r="AF126" s="36">
        <v>0.96969696969696972</v>
      </c>
      <c r="AG126" s="36">
        <v>0.89</v>
      </c>
      <c r="AP126" s="8"/>
      <c r="AQ126" s="8"/>
      <c r="AR126" s="8"/>
      <c r="AS126" s="8"/>
      <c r="AT126" s="8"/>
      <c r="AU126" s="8"/>
      <c r="AV126" s="8"/>
      <c r="AW126" s="8"/>
      <c r="AX126" s="8"/>
      <c r="AY126" s="121"/>
      <c r="AZ126" s="121"/>
      <c r="BA126" s="64"/>
      <c r="BB126" s="8"/>
    </row>
    <row r="127" spans="1:54" s="36" customFormat="1">
      <c r="A127" s="36" t="s">
        <v>176</v>
      </c>
      <c r="B127" s="36" t="s">
        <v>230</v>
      </c>
      <c r="C127" s="36" t="s">
        <v>210</v>
      </c>
      <c r="D127" s="36">
        <v>15</v>
      </c>
      <c r="E127" s="98" t="s">
        <v>231</v>
      </c>
      <c r="F127" s="36">
        <v>188</v>
      </c>
      <c r="G127" s="2">
        <f xml:space="preserve"> -0.0000000000347498*1000000000000</f>
        <v>-34.7498</v>
      </c>
      <c r="H127" s="2">
        <f xml:space="preserve"> 0.00000000000767569*1000000000000</f>
        <v>7.6756899999999995</v>
      </c>
      <c r="I127" s="2">
        <f xml:space="preserve"> 0.00000000000107481*1000000000000</f>
        <v>1.07481</v>
      </c>
      <c r="J127" s="36">
        <v>51</v>
      </c>
      <c r="K127" s="2">
        <f t="shared" si="27"/>
        <v>0.22088443674495967</v>
      </c>
      <c r="L127" s="36">
        <v>0</v>
      </c>
      <c r="M127" s="124">
        <v>2.5263800000000001</v>
      </c>
      <c r="N127" s="124">
        <v>0.20860799999999999</v>
      </c>
      <c r="O127" s="64">
        <v>51</v>
      </c>
      <c r="P127" s="36">
        <v>1.88</v>
      </c>
      <c r="Q127" s="36">
        <v>5.05</v>
      </c>
      <c r="S127" s="36">
        <v>0</v>
      </c>
      <c r="X127" s="36">
        <v>0.82</v>
      </c>
      <c r="AF127" s="36">
        <v>1</v>
      </c>
      <c r="AG127" s="36">
        <v>1</v>
      </c>
      <c r="AP127" s="8"/>
      <c r="AQ127" s="8"/>
      <c r="AR127" s="8"/>
      <c r="AS127" s="8"/>
      <c r="AT127" s="8"/>
      <c r="AU127" s="8"/>
      <c r="AV127" s="8"/>
      <c r="AW127" s="8"/>
      <c r="AX127" s="8"/>
      <c r="AY127" s="121"/>
      <c r="AZ127" s="121"/>
      <c r="BA127" s="64"/>
      <c r="BB127" s="8"/>
    </row>
    <row r="128" spans="1:54" s="36" customFormat="1">
      <c r="A128" s="36" t="s">
        <v>177</v>
      </c>
      <c r="B128" s="36" t="s">
        <v>232</v>
      </c>
      <c r="D128" s="36">
        <v>21</v>
      </c>
      <c r="E128" s="98" t="s">
        <v>231</v>
      </c>
      <c r="F128" s="36">
        <v>76</v>
      </c>
      <c r="G128" s="2">
        <f xml:space="preserve"> -0.000000000114677*1000000000000</f>
        <v>-114.67699999999999</v>
      </c>
      <c r="H128" s="2">
        <f xml:space="preserve"> 0.0000000000294324*1000000000000</f>
        <v>29.432399999999998</v>
      </c>
      <c r="I128" s="2">
        <f xml:space="preserve"> 0.00000000000339857*1000000000000</f>
        <v>3.3985700000000003</v>
      </c>
      <c r="J128" s="36">
        <v>75</v>
      </c>
      <c r="K128" s="2">
        <f t="shared" si="27"/>
        <v>0.25665477820312704</v>
      </c>
      <c r="L128" s="36">
        <v>0</v>
      </c>
      <c r="M128" s="124">
        <v>1.5842700000000001</v>
      </c>
      <c r="N128" s="124">
        <v>0.168708</v>
      </c>
      <c r="O128" s="64">
        <v>75</v>
      </c>
      <c r="S128" s="36">
        <v>0</v>
      </c>
      <c r="X128" s="36">
        <v>0.91</v>
      </c>
      <c r="AF128" s="36">
        <v>1</v>
      </c>
      <c r="AG128" s="36">
        <v>1</v>
      </c>
      <c r="AP128" s="8"/>
      <c r="AQ128" s="8"/>
      <c r="AR128" s="8"/>
      <c r="AS128" s="8"/>
      <c r="AT128" s="8"/>
      <c r="AU128" s="8"/>
      <c r="AV128" s="8"/>
      <c r="AW128" s="8"/>
      <c r="AX128" s="8"/>
      <c r="AY128" s="121"/>
      <c r="AZ128" s="121"/>
      <c r="BA128" s="64"/>
      <c r="BB128" s="8"/>
    </row>
    <row r="129" spans="1:54" s="36" customFormat="1">
      <c r="A129" s="36" t="s">
        <v>178</v>
      </c>
      <c r="B129" s="36" t="s">
        <v>230</v>
      </c>
      <c r="D129" s="36">
        <v>17</v>
      </c>
      <c r="E129" s="36">
        <v>198</v>
      </c>
      <c r="F129" s="36">
        <v>210</v>
      </c>
      <c r="G129" s="2">
        <f xml:space="preserve"> -0.0000000000332728*1000000000000</f>
        <v>-33.272799999999997</v>
      </c>
      <c r="H129" s="2">
        <f xml:space="preserve"> 0.00000000000534779*1000000000000</f>
        <v>5.3477899999999998</v>
      </c>
      <c r="I129" s="2">
        <f xml:space="preserve"> 0.00000000000067917*1000000000000</f>
        <v>0.67917000000000005</v>
      </c>
      <c r="J129" s="36">
        <v>62</v>
      </c>
      <c r="K129" s="2">
        <f t="shared" si="27"/>
        <v>0.1607255776490106</v>
      </c>
      <c r="L129" s="36">
        <v>0</v>
      </c>
      <c r="M129" s="124">
        <v>1.66666</v>
      </c>
      <c r="N129" s="124">
        <v>0.108422</v>
      </c>
      <c r="O129" s="64">
        <v>62</v>
      </c>
      <c r="P129" s="36">
        <v>1.1200000000000001</v>
      </c>
      <c r="Q129" s="36">
        <v>3.8</v>
      </c>
      <c r="S129" s="36">
        <v>0.01</v>
      </c>
      <c r="X129" s="36">
        <v>0.53</v>
      </c>
      <c r="AF129" s="36">
        <v>1</v>
      </c>
      <c r="AG129" s="36">
        <v>0.99</v>
      </c>
      <c r="AP129" s="8"/>
      <c r="AQ129" s="8"/>
      <c r="AR129" s="8"/>
      <c r="AS129" s="8"/>
      <c r="AT129" s="8"/>
      <c r="AU129" s="8"/>
      <c r="AV129" s="8"/>
      <c r="AW129" s="8"/>
      <c r="AX129" s="8"/>
      <c r="AY129" s="121"/>
      <c r="AZ129" s="121"/>
      <c r="BA129" s="64"/>
      <c r="BB129" s="8"/>
    </row>
    <row r="130" spans="1:54" s="36" customFormat="1">
      <c r="A130" s="36" t="s">
        <v>179</v>
      </c>
      <c r="B130" s="36" t="s">
        <v>230</v>
      </c>
      <c r="D130" s="36">
        <v>17</v>
      </c>
      <c r="E130" s="98" t="s">
        <v>231</v>
      </c>
      <c r="F130" s="36">
        <v>195</v>
      </c>
      <c r="G130" s="2">
        <f xml:space="preserve"> -0.0000000000554841*1000000000000</f>
        <v>-55.484099999999998</v>
      </c>
      <c r="H130" s="2">
        <f xml:space="preserve"> 0.0000000000138991*1000000000000</f>
        <v>13.899099999999999</v>
      </c>
      <c r="I130" s="2">
        <f xml:space="preserve"> 1.69805</f>
        <v>1.6980500000000001</v>
      </c>
      <c r="J130" s="36">
        <v>67</v>
      </c>
      <c r="K130" s="2">
        <f t="shared" ref="K130:K135" si="28">H130/-G130</f>
        <v>0.25050600081825242</v>
      </c>
      <c r="L130" s="36">
        <v>0</v>
      </c>
      <c r="M130" s="124">
        <v>1.83026</v>
      </c>
      <c r="N130" s="124">
        <v>0.22018699999999999</v>
      </c>
      <c r="O130" s="64">
        <v>67</v>
      </c>
      <c r="P130" s="36">
        <v>0.69</v>
      </c>
      <c r="Q130" s="36">
        <v>3.85</v>
      </c>
      <c r="S130" s="36">
        <v>0</v>
      </c>
      <c r="X130" s="36">
        <v>0.69</v>
      </c>
      <c r="AF130" s="36">
        <v>1</v>
      </c>
      <c r="AG130" s="36">
        <v>1</v>
      </c>
      <c r="AP130" s="8"/>
      <c r="AQ130" s="8"/>
      <c r="AR130" s="8"/>
      <c r="AS130" s="8"/>
      <c r="AT130" s="8"/>
      <c r="AU130" s="8"/>
      <c r="AV130" s="8"/>
      <c r="AW130" s="8"/>
      <c r="AX130" s="8"/>
      <c r="AY130" s="121"/>
      <c r="AZ130" s="121"/>
      <c r="BA130" s="64"/>
      <c r="BB130" s="8"/>
    </row>
    <row r="131" spans="1:54" s="36" customFormat="1">
      <c r="A131" s="36" t="s">
        <v>180</v>
      </c>
      <c r="B131" s="36" t="s">
        <v>230</v>
      </c>
      <c r="D131" s="36">
        <v>17</v>
      </c>
      <c r="E131" s="36">
        <v>125</v>
      </c>
      <c r="F131" s="36">
        <v>205</v>
      </c>
      <c r="G131" s="2">
        <f xml:space="preserve"> -0.0000000000269439*1000000000000</f>
        <v>-26.943899999999999</v>
      </c>
      <c r="H131" s="2">
        <f xml:space="preserve"> 0.00000000000683603*1000000000000</f>
        <v>6.8360300000000001</v>
      </c>
      <c r="I131" s="2">
        <f xml:space="preserve"> 0.00000000000100792*1000000000000</f>
        <v>1.0079199999999999</v>
      </c>
      <c r="J131" s="36">
        <v>46</v>
      </c>
      <c r="K131" s="2">
        <f t="shared" si="28"/>
        <v>0.25371345647808968</v>
      </c>
      <c r="L131" s="36">
        <v>0</v>
      </c>
      <c r="M131" s="124">
        <v>2.0694300000000001</v>
      </c>
      <c r="N131" s="124">
        <v>0.279561</v>
      </c>
      <c r="O131" s="64">
        <v>46</v>
      </c>
      <c r="P131" s="36">
        <v>1.1399999999999999</v>
      </c>
      <c r="Q131" s="36">
        <v>4.43</v>
      </c>
      <c r="S131" s="36">
        <v>0</v>
      </c>
      <c r="X131" s="36">
        <v>0.73</v>
      </c>
      <c r="AF131" s="36">
        <v>1</v>
      </c>
      <c r="AG131" s="36">
        <v>1</v>
      </c>
      <c r="AP131" s="8"/>
      <c r="AQ131" s="8"/>
      <c r="AR131" s="8"/>
      <c r="AS131" s="8"/>
      <c r="AT131" s="8"/>
      <c r="AU131" s="8"/>
      <c r="AV131" s="8"/>
      <c r="AW131" s="8"/>
      <c r="AX131" s="8"/>
      <c r="AY131" s="121"/>
      <c r="AZ131" s="121"/>
      <c r="BA131" s="64"/>
      <c r="BB131" s="8"/>
    </row>
    <row r="132" spans="1:54" s="36" customFormat="1">
      <c r="A132" s="36" t="s">
        <v>181</v>
      </c>
      <c r="B132" s="36" t="s">
        <v>230</v>
      </c>
      <c r="D132" s="36">
        <v>15</v>
      </c>
      <c r="E132" s="98" t="s">
        <v>231</v>
      </c>
      <c r="F132" s="36">
        <v>199</v>
      </c>
      <c r="G132" s="2">
        <f xml:space="preserve"> -0.0000000000583611*1000000000000</f>
        <v>-58.361099999999993</v>
      </c>
      <c r="H132" s="2">
        <f xml:space="preserve"> 0.00000000000870168*1000000000000</f>
        <v>8.7016799999999996</v>
      </c>
      <c r="I132" s="2">
        <f xml:space="preserve"> 0.00000000000108771*1000000000000</f>
        <v>1.08771</v>
      </c>
      <c r="J132" s="36">
        <v>64</v>
      </c>
      <c r="K132" s="2">
        <f t="shared" si="28"/>
        <v>0.14910068521669401</v>
      </c>
      <c r="L132" s="36">
        <v>0</v>
      </c>
      <c r="M132" s="124">
        <v>2.23224</v>
      </c>
      <c r="N132" s="124">
        <v>0.20520099999999999</v>
      </c>
      <c r="O132" s="64">
        <v>64</v>
      </c>
      <c r="P132" s="36">
        <v>1.69</v>
      </c>
      <c r="Q132" s="36">
        <v>4.28</v>
      </c>
      <c r="S132" s="36">
        <v>0</v>
      </c>
      <c r="X132" s="36">
        <v>0.59</v>
      </c>
      <c r="AF132" s="36">
        <v>1</v>
      </c>
      <c r="AG132" s="36">
        <v>1</v>
      </c>
      <c r="AP132" s="8"/>
      <c r="AQ132" s="8"/>
      <c r="AR132" s="8"/>
      <c r="AS132" s="8"/>
      <c r="AT132" s="8"/>
      <c r="AU132" s="8"/>
      <c r="AV132" s="8"/>
      <c r="AW132" s="8"/>
      <c r="AX132" s="8"/>
      <c r="AY132" s="121"/>
      <c r="AZ132" s="121"/>
      <c r="BA132" s="64"/>
      <c r="BB132" s="8"/>
    </row>
    <row r="133" spans="1:54" s="36" customFormat="1">
      <c r="A133" s="36" t="s">
        <v>182</v>
      </c>
      <c r="B133" s="36" t="s">
        <v>232</v>
      </c>
      <c r="C133" s="36" t="s">
        <v>210</v>
      </c>
      <c r="D133" s="36">
        <v>18</v>
      </c>
      <c r="E133" s="98" t="s">
        <v>231</v>
      </c>
      <c r="F133" s="36">
        <v>193</v>
      </c>
      <c r="G133" s="2">
        <f xml:space="preserve"> -0.000000000015533*1000000000000</f>
        <v>-15.532999999999999</v>
      </c>
      <c r="H133" s="2">
        <f xml:space="preserve"> 0.00000000000525832*1000000000000</f>
        <v>5.2583200000000003</v>
      </c>
      <c r="I133" s="2">
        <f xml:space="preserve"> 0.000000000000831414*1000000000000</f>
        <v>0.83141399999999999</v>
      </c>
      <c r="J133" s="36">
        <v>40</v>
      </c>
      <c r="K133" s="2">
        <f t="shared" si="28"/>
        <v>0.33852571943603943</v>
      </c>
      <c r="L133" s="36">
        <v>0</v>
      </c>
      <c r="M133" s="124">
        <v>1.52284</v>
      </c>
      <c r="N133" s="124">
        <v>0.26415</v>
      </c>
      <c r="O133" s="64">
        <v>40</v>
      </c>
      <c r="P133" s="36">
        <v>1.05</v>
      </c>
      <c r="Q133" s="36">
        <v>3.79</v>
      </c>
      <c r="S133" s="36">
        <v>0</v>
      </c>
      <c r="X133" s="36">
        <v>0.9</v>
      </c>
      <c r="AF133" s="36">
        <v>1</v>
      </c>
      <c r="AG133" s="36">
        <v>1</v>
      </c>
      <c r="AP133" s="8"/>
      <c r="AQ133" s="8"/>
      <c r="AR133" s="8"/>
      <c r="AS133" s="8"/>
      <c r="AT133" s="8"/>
      <c r="AU133" s="8"/>
      <c r="AV133" s="8"/>
      <c r="AW133" s="8"/>
      <c r="AX133" s="8"/>
      <c r="AY133" s="121"/>
      <c r="AZ133" s="121"/>
      <c r="BA133" s="64"/>
      <c r="BB133" s="118"/>
    </row>
    <row r="134" spans="1:54" s="36" customFormat="1">
      <c r="A134" s="36" t="s">
        <v>183</v>
      </c>
      <c r="B134" s="36" t="s">
        <v>232</v>
      </c>
      <c r="D134" s="36">
        <v>12</v>
      </c>
      <c r="E134" s="98">
        <v>134</v>
      </c>
      <c r="F134" s="36">
        <v>161</v>
      </c>
      <c r="G134" s="2">
        <f xml:space="preserve"> -0.0000000000194122*1000000000000</f>
        <v>-19.412200000000002</v>
      </c>
      <c r="H134" s="2">
        <f xml:space="preserve"> 0.0000000000053026*1000000000000</f>
        <v>5.3026</v>
      </c>
      <c r="I134" s="2">
        <f xml:space="preserve"> 0.000000000000629302*1000000000000</f>
        <v>0.62930200000000003</v>
      </c>
      <c r="J134" s="36">
        <v>71</v>
      </c>
      <c r="K134" s="2">
        <f t="shared" si="28"/>
        <v>0.27315811706040527</v>
      </c>
      <c r="L134" s="36">
        <v>0</v>
      </c>
      <c r="M134" s="124">
        <v>2.3008199999999999</v>
      </c>
      <c r="N134" s="124">
        <v>0.212066</v>
      </c>
      <c r="O134" s="64">
        <v>42</v>
      </c>
      <c r="S134" s="36">
        <v>0</v>
      </c>
      <c r="X134" s="36">
        <v>0.69</v>
      </c>
      <c r="AF134" s="36">
        <v>1</v>
      </c>
      <c r="AG134" s="36">
        <v>1</v>
      </c>
      <c r="AP134" s="8"/>
      <c r="AQ134" s="8"/>
      <c r="AR134" s="8"/>
      <c r="AS134" s="8"/>
      <c r="AT134" s="8"/>
      <c r="AU134" s="8"/>
      <c r="AV134" s="8"/>
      <c r="AW134" s="8"/>
      <c r="AX134" s="8"/>
      <c r="AY134" s="121"/>
      <c r="AZ134" s="121"/>
      <c r="BA134" s="8"/>
      <c r="BB134" s="8"/>
    </row>
    <row r="135" spans="1:54" s="36" customFormat="1">
      <c r="A135" s="36" t="s">
        <v>184</v>
      </c>
      <c r="B135" s="36" t="s">
        <v>232</v>
      </c>
      <c r="D135" s="36">
        <v>19</v>
      </c>
      <c r="E135" s="98">
        <v>54</v>
      </c>
      <c r="F135" s="36">
        <v>125</v>
      </c>
      <c r="G135" s="2">
        <f xml:space="preserve"> -0.0000000000400576*1000000000000</f>
        <v>-40.057600000000001</v>
      </c>
      <c r="H135" s="2">
        <f xml:space="preserve"> 0.0000000000057684*1000000000000</f>
        <v>5.7684000000000006</v>
      </c>
      <c r="I135" s="2">
        <f xml:space="preserve"> 0.000000000000744697*1000000000000</f>
        <v>0.74469700000000005</v>
      </c>
      <c r="J135" s="36">
        <v>60</v>
      </c>
      <c r="K135" s="2">
        <f t="shared" si="28"/>
        <v>0.14400263620386644</v>
      </c>
      <c r="L135" s="36">
        <v>0</v>
      </c>
      <c r="M135" s="124">
        <v>3.4125100000000002</v>
      </c>
      <c r="N135" s="124">
        <v>0.154886</v>
      </c>
      <c r="O135" s="64">
        <v>47</v>
      </c>
      <c r="P135" s="36">
        <v>0.79</v>
      </c>
      <c r="Q135" s="36">
        <v>1.66</v>
      </c>
      <c r="S135" s="36">
        <v>0</v>
      </c>
      <c r="X135" s="36">
        <v>0.72</v>
      </c>
      <c r="AF135" s="36">
        <v>1</v>
      </c>
      <c r="AG135" s="36">
        <v>1</v>
      </c>
      <c r="AP135" s="8"/>
      <c r="AQ135" s="8"/>
      <c r="AR135" s="8"/>
      <c r="AS135" s="8"/>
      <c r="AT135" s="8"/>
      <c r="AU135" s="8"/>
      <c r="AV135" s="8"/>
      <c r="AW135" s="8"/>
      <c r="AX135" s="8"/>
      <c r="AY135" s="121"/>
      <c r="AZ135" s="121"/>
      <c r="BA135" s="8"/>
      <c r="BB135" s="8"/>
    </row>
    <row r="136" spans="1:54" s="36" customFormat="1">
      <c r="A136" s="36" t="s">
        <v>185</v>
      </c>
      <c r="B136" s="36" t="s">
        <v>230</v>
      </c>
      <c r="D136" s="36">
        <v>34</v>
      </c>
      <c r="E136" s="36">
        <v>131</v>
      </c>
      <c r="F136" s="36">
        <v>226</v>
      </c>
      <c r="G136" s="2">
        <f xml:space="preserve"> -0.0000000000154607*1000000000000</f>
        <v>-15.460700000000001</v>
      </c>
      <c r="H136" s="2">
        <f xml:space="preserve"> 0.00000000000397157*1000000000000</f>
        <v>3.9715700000000003</v>
      </c>
      <c r="I136" s="2">
        <f xml:space="preserve"> 0.000000000000481623*1000000000000</f>
        <v>0.48162300000000002</v>
      </c>
      <c r="J136" s="36">
        <v>68</v>
      </c>
      <c r="K136" s="2">
        <f t="shared" ref="K136:K141" si="29">H136/-G136</f>
        <v>0.2568816418402789</v>
      </c>
      <c r="L136" s="2">
        <f>1/J136</f>
        <v>1.4705882352941176E-2</v>
      </c>
      <c r="M136" s="124">
        <v>1.51447</v>
      </c>
      <c r="N136" s="124">
        <v>0.20311999999999999</v>
      </c>
      <c r="O136" s="64">
        <v>67</v>
      </c>
      <c r="P136" s="2">
        <v>0.96</v>
      </c>
      <c r="Q136" s="2">
        <v>6.18</v>
      </c>
      <c r="S136" s="36">
        <v>0.05</v>
      </c>
      <c r="X136" s="36">
        <v>0.64</v>
      </c>
      <c r="AF136" s="36">
        <v>0.98529411764705888</v>
      </c>
      <c r="AG136" s="36">
        <v>0.95</v>
      </c>
      <c r="AP136" s="8"/>
      <c r="AQ136" s="8"/>
      <c r="AR136" s="8"/>
      <c r="AS136" s="8"/>
      <c r="AT136" s="8"/>
      <c r="AU136" s="8"/>
      <c r="AV136" s="8"/>
      <c r="AW136" s="8"/>
      <c r="AX136" s="8"/>
      <c r="AY136" s="121"/>
      <c r="AZ136" s="121"/>
      <c r="BA136" s="8"/>
      <c r="BB136" s="8"/>
    </row>
    <row r="137" spans="1:54" s="36" customFormat="1">
      <c r="A137" s="36" t="s">
        <v>186</v>
      </c>
      <c r="B137" s="36" t="s">
        <v>232</v>
      </c>
      <c r="D137" s="36">
        <v>18</v>
      </c>
      <c r="E137" s="98" t="s">
        <v>231</v>
      </c>
      <c r="F137" s="36">
        <v>187</v>
      </c>
      <c r="G137" s="2">
        <f xml:space="preserve"> -0.0000000000298254*1000000000000</f>
        <v>-29.825400000000002</v>
      </c>
      <c r="H137" s="2">
        <f xml:space="preserve"> 0.00000000000698437*1000000000000</f>
        <v>6.9843699999999993</v>
      </c>
      <c r="I137" s="2">
        <f xml:space="preserve"> 0.000000000000859716*1000000000000</f>
        <v>0.85971600000000004</v>
      </c>
      <c r="J137" s="36">
        <v>66</v>
      </c>
      <c r="K137" s="2">
        <f t="shared" si="29"/>
        <v>0.23417523319050201</v>
      </c>
      <c r="L137" s="2">
        <v>0</v>
      </c>
      <c r="M137" s="124">
        <v>1.9523600000000001</v>
      </c>
      <c r="N137" s="124">
        <v>0.22237199999999999</v>
      </c>
      <c r="O137" s="64">
        <v>66</v>
      </c>
      <c r="P137" s="2">
        <v>1.01</v>
      </c>
      <c r="Q137" s="2">
        <v>3.35</v>
      </c>
      <c r="S137" s="36">
        <v>0</v>
      </c>
      <c r="X137" s="36">
        <v>0.8</v>
      </c>
      <c r="AF137" s="36">
        <v>1</v>
      </c>
      <c r="AG137" s="36">
        <v>1</v>
      </c>
      <c r="AP137" s="8"/>
      <c r="AQ137" s="8"/>
      <c r="AR137" s="8"/>
      <c r="AS137" s="8"/>
      <c r="AT137" s="8"/>
      <c r="AU137" s="8"/>
      <c r="AV137" s="8"/>
      <c r="AW137" s="8"/>
      <c r="AX137" s="8"/>
      <c r="AY137" s="121"/>
      <c r="AZ137" s="121"/>
      <c r="BA137" s="64"/>
      <c r="BB137" s="8"/>
    </row>
    <row r="138" spans="1:54" s="36" customFormat="1">
      <c r="A138" s="36" t="s">
        <v>187</v>
      </c>
      <c r="B138" s="36" t="s">
        <v>230</v>
      </c>
      <c r="C138" s="36" t="s">
        <v>247</v>
      </c>
      <c r="D138" s="36">
        <v>19</v>
      </c>
      <c r="E138" s="98">
        <v>341</v>
      </c>
      <c r="F138" s="36">
        <v>223</v>
      </c>
      <c r="G138" s="2">
        <f xml:space="preserve"> -0.0000000000452282*1000000000000</f>
        <v>-45.228200000000001</v>
      </c>
      <c r="H138" s="2">
        <f xml:space="preserve"> 0.00000000000748267*1000000000000</f>
        <v>7.4826699999999997</v>
      </c>
      <c r="I138" s="2">
        <f xml:space="preserve"> 0.00000000000085273*1000000000000</f>
        <v>0.85272999999999999</v>
      </c>
      <c r="J138" s="36">
        <v>77</v>
      </c>
      <c r="K138" s="2">
        <f t="shared" si="29"/>
        <v>0.1654425778607152</v>
      </c>
      <c r="L138" s="2">
        <v>0</v>
      </c>
      <c r="M138" s="124">
        <v>1.8285800000000001</v>
      </c>
      <c r="N138" s="124">
        <v>0.37822699999999998</v>
      </c>
      <c r="O138" s="64">
        <v>77</v>
      </c>
      <c r="P138" s="2">
        <v>4.8</v>
      </c>
      <c r="Q138" s="2">
        <v>3.2</v>
      </c>
      <c r="S138" s="36">
        <v>0</v>
      </c>
      <c r="X138" s="36">
        <v>0.71</v>
      </c>
      <c r="AF138" s="36">
        <v>1</v>
      </c>
      <c r="AG138" s="36">
        <v>1</v>
      </c>
      <c r="AP138" s="8"/>
      <c r="AQ138" s="130"/>
      <c r="AR138" s="96"/>
      <c r="AS138" s="96"/>
      <c r="AT138" s="96"/>
      <c r="AU138" s="96"/>
      <c r="AV138" s="96"/>
      <c r="AW138" s="96"/>
      <c r="AX138" s="96"/>
      <c r="AY138" s="96"/>
      <c r="AZ138" s="96"/>
      <c r="BA138" s="8"/>
      <c r="BB138" s="8"/>
    </row>
    <row r="139" spans="1:54" s="36" customFormat="1">
      <c r="A139" s="36" t="s">
        <v>188</v>
      </c>
      <c r="B139" s="36" t="s">
        <v>230</v>
      </c>
      <c r="D139" s="36">
        <v>20</v>
      </c>
      <c r="E139" s="98" t="s">
        <v>233</v>
      </c>
      <c r="F139" s="36">
        <v>192</v>
      </c>
      <c r="G139" s="2">
        <f xml:space="preserve"> -0.0000000000284212*1000000000000</f>
        <v>-28.421199999999999</v>
      </c>
      <c r="H139" s="2">
        <f xml:space="preserve"> 0.00000000000421067*1000000000000</f>
        <v>4.2106699999999995</v>
      </c>
      <c r="I139" s="2">
        <f xml:space="preserve"> 0.000000000000589612*1000000000000</f>
        <v>0.58961200000000002</v>
      </c>
      <c r="J139" s="36">
        <v>51</v>
      </c>
      <c r="K139" s="2">
        <f t="shared" si="29"/>
        <v>0.14815243550588997</v>
      </c>
      <c r="L139" s="2">
        <v>0</v>
      </c>
      <c r="M139" s="124">
        <v>1.7841899999999999</v>
      </c>
      <c r="N139" s="124">
        <v>0.115287</v>
      </c>
      <c r="O139" s="64">
        <v>51</v>
      </c>
      <c r="P139" s="2">
        <v>0.74</v>
      </c>
      <c r="Q139" s="2">
        <v>4.6399999999999997</v>
      </c>
      <c r="S139" s="36">
        <v>0.01</v>
      </c>
      <c r="X139" s="36">
        <v>0.72</v>
      </c>
      <c r="AF139" s="36">
        <v>1</v>
      </c>
      <c r="AG139" s="36">
        <v>0.99</v>
      </c>
      <c r="AP139" s="8"/>
      <c r="AQ139" s="130"/>
      <c r="AR139" s="96"/>
      <c r="AS139" s="96"/>
      <c r="AT139" s="96"/>
      <c r="AU139" s="96"/>
      <c r="AV139" s="96"/>
      <c r="AW139" s="96"/>
      <c r="AX139" s="96"/>
      <c r="AY139" s="96"/>
      <c r="AZ139" s="96"/>
      <c r="BA139" s="8"/>
      <c r="BB139" s="8"/>
    </row>
    <row r="140" spans="1:54" s="36" customFormat="1">
      <c r="A140" s="36" t="s">
        <v>189</v>
      </c>
      <c r="B140" s="36" t="s">
        <v>230</v>
      </c>
      <c r="D140" s="36">
        <v>27</v>
      </c>
      <c r="E140" s="98" t="s">
        <v>231</v>
      </c>
      <c r="F140" s="36">
        <v>251</v>
      </c>
      <c r="G140" s="2">
        <f xml:space="preserve"> -0.0000000000239529*1000000000000</f>
        <v>-23.9529</v>
      </c>
      <c r="H140" s="2">
        <f xml:space="preserve"> 0.00000000000526521*1000000000000</f>
        <v>5.2652099999999997</v>
      </c>
      <c r="I140" s="2">
        <f xml:space="preserve"> 0.000000000000663354*1000000000000</f>
        <v>0.663354</v>
      </c>
      <c r="J140" s="36">
        <v>63</v>
      </c>
      <c r="K140" s="2">
        <f t="shared" si="29"/>
        <v>0.21981513720676826</v>
      </c>
      <c r="L140" s="2">
        <v>0</v>
      </c>
      <c r="M140" s="124">
        <v>2.1151499999999999</v>
      </c>
      <c r="N140" s="124">
        <v>0.20424</v>
      </c>
      <c r="O140" s="64">
        <v>63</v>
      </c>
      <c r="P140" s="2">
        <v>0.65</v>
      </c>
      <c r="Q140" s="2">
        <v>8.19</v>
      </c>
      <c r="S140" s="36">
        <v>0</v>
      </c>
      <c r="X140" s="36">
        <v>0.67</v>
      </c>
      <c r="AF140" s="36">
        <v>1</v>
      </c>
      <c r="AG140" s="36">
        <v>1</v>
      </c>
      <c r="AP140" s="8"/>
      <c r="AQ140" s="100"/>
      <c r="AR140" s="8"/>
      <c r="AS140" s="8"/>
      <c r="AT140" s="8"/>
      <c r="AU140" s="8"/>
      <c r="AV140" s="8"/>
      <c r="AW140" s="8"/>
      <c r="AX140" s="8"/>
      <c r="AY140" s="8"/>
      <c r="AZ140" s="8"/>
      <c r="BA140" s="8"/>
      <c r="BB140" s="8"/>
    </row>
    <row r="141" spans="1:54" s="36" customFormat="1">
      <c r="A141" s="8" t="s">
        <v>190</v>
      </c>
      <c r="B141" s="8" t="s">
        <v>230</v>
      </c>
      <c r="C141" s="8"/>
      <c r="D141" s="8">
        <v>20</v>
      </c>
      <c r="E141" s="130" t="s">
        <v>231</v>
      </c>
      <c r="F141" s="8">
        <v>120</v>
      </c>
      <c r="G141" s="2">
        <f xml:space="preserve"> -0.0000000000195328*1000000000000</f>
        <v>-19.532800000000002</v>
      </c>
      <c r="H141" s="2">
        <f xml:space="preserve"> 0.00000000000515914*1000000000000</f>
        <v>5.1591399999999998</v>
      </c>
      <c r="I141" s="2">
        <f xml:space="preserve"> 0.00000000000060801*1000000000000</f>
        <v>0.60800999999999994</v>
      </c>
      <c r="J141" s="8">
        <v>72</v>
      </c>
      <c r="K141" s="97">
        <f t="shared" si="29"/>
        <v>0.26412700688073393</v>
      </c>
      <c r="L141" s="97">
        <f>1/J141</f>
        <v>1.3888888888888888E-2</v>
      </c>
      <c r="M141" s="124">
        <v>2.9454899999999999</v>
      </c>
      <c r="N141" s="124">
        <v>0.36700300000000002</v>
      </c>
      <c r="O141" s="64">
        <v>71</v>
      </c>
      <c r="P141" s="97">
        <v>0.65</v>
      </c>
      <c r="Q141" s="97">
        <v>5.13</v>
      </c>
      <c r="S141" s="36">
        <v>0.02</v>
      </c>
      <c r="X141" s="36">
        <v>0.9</v>
      </c>
      <c r="AF141" s="36">
        <v>0.98611111111111116</v>
      </c>
      <c r="AG141" s="36">
        <v>0.98</v>
      </c>
      <c r="AP141" s="8"/>
      <c r="AQ141" s="100"/>
      <c r="AR141" s="8"/>
      <c r="AS141" s="8"/>
      <c r="AT141" s="8"/>
      <c r="AU141" s="8"/>
      <c r="AV141" s="8"/>
      <c r="AW141" s="8"/>
      <c r="AX141" s="8"/>
      <c r="AY141" s="8"/>
      <c r="AZ141" s="8"/>
      <c r="BA141" s="8"/>
      <c r="BB141" s="8"/>
    </row>
    <row r="142" spans="1:54" s="36" customFormat="1">
      <c r="A142" s="8" t="s">
        <v>191</v>
      </c>
      <c r="B142" s="8" t="s">
        <v>232</v>
      </c>
      <c r="C142" s="8" t="s">
        <v>234</v>
      </c>
      <c r="D142" s="64">
        <v>15</v>
      </c>
      <c r="E142" s="130" t="s">
        <v>231</v>
      </c>
      <c r="F142" s="8">
        <v>144</v>
      </c>
      <c r="G142" s="2">
        <v>-122.37000000000002</v>
      </c>
      <c r="H142" s="2">
        <v>14.576700000000001</v>
      </c>
      <c r="I142" s="2">
        <v>1.6831700000000001</v>
      </c>
      <c r="J142" s="8">
        <v>75</v>
      </c>
      <c r="K142" s="97">
        <v>0.11911988232409904</v>
      </c>
      <c r="L142" s="97">
        <v>0</v>
      </c>
      <c r="M142" s="124">
        <v>2.0736500000000002</v>
      </c>
      <c r="N142" s="124">
        <v>0.18273</v>
      </c>
      <c r="O142" s="64">
        <v>75</v>
      </c>
      <c r="P142" s="97">
        <v>2.82</v>
      </c>
      <c r="Q142" s="97">
        <v>2.88</v>
      </c>
      <c r="S142" s="36">
        <v>0</v>
      </c>
      <c r="X142" s="36">
        <v>0.59</v>
      </c>
      <c r="AF142" s="36">
        <v>1</v>
      </c>
      <c r="AG142" s="36">
        <v>1</v>
      </c>
      <c r="AP142" s="8"/>
      <c r="AQ142" s="8"/>
      <c r="AR142" s="8"/>
      <c r="AS142" s="8"/>
      <c r="AT142" s="8"/>
      <c r="AU142" s="8"/>
      <c r="AV142" s="8"/>
      <c r="AW142" s="8"/>
      <c r="AX142" s="8"/>
      <c r="AY142" s="8"/>
      <c r="AZ142" s="8"/>
      <c r="BA142" s="8"/>
      <c r="BB142" s="8"/>
    </row>
    <row r="143" spans="1:54" s="36" customFormat="1">
      <c r="A143" s="8" t="s">
        <v>192</v>
      </c>
      <c r="B143" s="8" t="s">
        <v>232</v>
      </c>
      <c r="C143" s="8" t="s">
        <v>235</v>
      </c>
      <c r="D143" s="64">
        <v>17</v>
      </c>
      <c r="E143" s="130" t="s">
        <v>231</v>
      </c>
      <c r="F143" s="8">
        <v>153</v>
      </c>
      <c r="G143" s="2">
        <v>-19.520499999999998</v>
      </c>
      <c r="H143" s="2">
        <v>6.97173</v>
      </c>
      <c r="I143" s="2">
        <v>0.82739299999999993</v>
      </c>
      <c r="J143" s="8">
        <v>71</v>
      </c>
      <c r="K143" s="97">
        <v>0.35714915089265137</v>
      </c>
      <c r="L143" s="97">
        <v>0</v>
      </c>
      <c r="M143" s="124">
        <v>2.12303</v>
      </c>
      <c r="N143" s="124">
        <v>0.58504199999999995</v>
      </c>
      <c r="O143" s="36">
        <v>71</v>
      </c>
      <c r="P143" s="97">
        <v>2.13</v>
      </c>
      <c r="Q143" s="97">
        <v>2.57</v>
      </c>
      <c r="S143" s="36">
        <v>0.01</v>
      </c>
      <c r="X143" s="36">
        <v>0.62</v>
      </c>
      <c r="AF143" s="36">
        <v>1</v>
      </c>
      <c r="AG143" s="36">
        <v>0.99</v>
      </c>
      <c r="AP143" s="8"/>
      <c r="AQ143" s="8"/>
      <c r="AR143" s="8"/>
      <c r="AS143" s="8"/>
      <c r="AT143" s="8"/>
      <c r="AU143" s="8"/>
      <c r="AV143" s="8"/>
      <c r="AW143" s="8"/>
      <c r="AX143" s="8"/>
      <c r="AY143" s="8"/>
      <c r="AZ143" s="8"/>
      <c r="BA143" s="8"/>
      <c r="BB143" s="8"/>
    </row>
    <row r="144" spans="1:54" s="36" customFormat="1">
      <c r="A144" s="8" t="s">
        <v>193</v>
      </c>
      <c r="B144" s="8" t="s">
        <v>232</v>
      </c>
      <c r="C144" s="8" t="s">
        <v>236</v>
      </c>
      <c r="D144" s="64">
        <v>37</v>
      </c>
      <c r="E144" s="130">
        <v>172</v>
      </c>
      <c r="F144" s="8">
        <v>129</v>
      </c>
      <c r="G144" s="2">
        <v>-24.0868</v>
      </c>
      <c r="H144" s="2">
        <v>6.0086900000000005</v>
      </c>
      <c r="I144" s="2">
        <v>0.76933399999999996</v>
      </c>
      <c r="J144" s="8">
        <v>61</v>
      </c>
      <c r="K144" s="97">
        <v>0.24945987013634024</v>
      </c>
      <c r="L144" s="97">
        <v>0</v>
      </c>
      <c r="M144" s="124">
        <v>1.7029399999999999</v>
      </c>
      <c r="N144" s="124">
        <v>0.31894699999999998</v>
      </c>
      <c r="O144" s="36">
        <v>61</v>
      </c>
      <c r="P144" s="97"/>
      <c r="Q144" s="97"/>
      <c r="S144" s="36">
        <v>0</v>
      </c>
      <c r="X144" s="36">
        <v>0.78</v>
      </c>
      <c r="AF144" s="36">
        <v>1</v>
      </c>
      <c r="AG144" s="36">
        <v>1</v>
      </c>
      <c r="AP144" s="8"/>
      <c r="AQ144" s="8"/>
      <c r="AR144" s="8"/>
      <c r="AS144" s="8"/>
      <c r="AT144" s="8"/>
      <c r="AU144" s="8"/>
      <c r="AV144" s="8"/>
      <c r="AW144" s="8"/>
      <c r="AX144" s="8"/>
      <c r="AY144" s="8"/>
      <c r="AZ144" s="8"/>
      <c r="BA144" s="8"/>
      <c r="BB144" s="8"/>
    </row>
    <row r="145" spans="1:54" s="36" customFormat="1">
      <c r="A145" s="8" t="s">
        <v>194</v>
      </c>
      <c r="B145" s="8" t="s">
        <v>230</v>
      </c>
      <c r="C145" s="8" t="s">
        <v>237</v>
      </c>
      <c r="D145" s="64">
        <v>19</v>
      </c>
      <c r="E145" s="130" t="s">
        <v>231</v>
      </c>
      <c r="F145" s="8">
        <v>196</v>
      </c>
      <c r="G145" s="2">
        <v>-36.785800000000002</v>
      </c>
      <c r="H145" s="2">
        <v>9.974120000000001</v>
      </c>
      <c r="I145" s="2">
        <v>1.39666</v>
      </c>
      <c r="J145" s="8">
        <v>51</v>
      </c>
      <c r="K145" s="97">
        <v>0.27114049442991589</v>
      </c>
      <c r="L145" s="97">
        <v>0</v>
      </c>
      <c r="M145" s="124">
        <v>2.2387899999999998</v>
      </c>
      <c r="N145" s="124">
        <v>0.26442500000000002</v>
      </c>
      <c r="O145" s="36">
        <v>51</v>
      </c>
      <c r="P145" s="8">
        <v>0.59</v>
      </c>
      <c r="Q145" s="8">
        <v>5.37</v>
      </c>
      <c r="S145" s="36">
        <v>0</v>
      </c>
      <c r="X145" s="36">
        <v>0.75</v>
      </c>
      <c r="AF145" s="36">
        <v>1</v>
      </c>
      <c r="AG145" s="36">
        <v>1</v>
      </c>
      <c r="AP145" s="8"/>
      <c r="AQ145" s="8"/>
      <c r="AR145" s="8"/>
      <c r="AS145" s="8"/>
      <c r="AT145" s="8"/>
      <c r="AU145" s="8"/>
      <c r="AV145" s="8"/>
      <c r="AW145" s="8"/>
      <c r="AX145" s="8"/>
      <c r="AY145" s="8"/>
      <c r="AZ145" s="8"/>
      <c r="BA145" s="8"/>
      <c r="BB145" s="8"/>
    </row>
    <row r="146" spans="1:54" s="36" customFormat="1">
      <c r="A146" s="8" t="s">
        <v>195</v>
      </c>
      <c r="B146" s="8" t="s">
        <v>232</v>
      </c>
      <c r="C146" s="8" t="s">
        <v>237</v>
      </c>
      <c r="D146" s="64">
        <v>19</v>
      </c>
      <c r="E146" s="130" t="s">
        <v>231</v>
      </c>
      <c r="F146" s="8">
        <v>218</v>
      </c>
      <c r="G146" s="97">
        <v>-25.610799999999998</v>
      </c>
      <c r="H146" s="97">
        <v>7.8262199999999993</v>
      </c>
      <c r="I146" s="97">
        <v>0.94216599999999995</v>
      </c>
      <c r="J146" s="8">
        <v>69</v>
      </c>
      <c r="K146" s="97">
        <v>0.30558280100582569</v>
      </c>
      <c r="L146" s="97">
        <v>0</v>
      </c>
      <c r="M146" s="124">
        <v>2.1941600000000001</v>
      </c>
      <c r="N146" s="124">
        <v>0.235711</v>
      </c>
      <c r="O146" s="36">
        <v>69</v>
      </c>
      <c r="P146" s="8">
        <v>1.37</v>
      </c>
      <c r="Q146" s="8">
        <v>4.1399999999999997</v>
      </c>
      <c r="R146" s="8"/>
      <c r="S146" s="8">
        <v>0</v>
      </c>
      <c r="T146" s="8"/>
      <c r="U146" s="8"/>
      <c r="V146" s="8"/>
      <c r="W146" s="8"/>
      <c r="X146" s="8">
        <v>1.01</v>
      </c>
      <c r="Y146" s="8"/>
      <c r="Z146" s="8"/>
      <c r="AA146" s="8"/>
      <c r="AB146" s="8"/>
      <c r="AC146" s="8"/>
      <c r="AD146" s="8"/>
      <c r="AE146" s="8"/>
      <c r="AF146" s="36">
        <v>1</v>
      </c>
      <c r="AG146" s="36">
        <v>1</v>
      </c>
    </row>
    <row r="147" spans="1:54" s="36" customFormat="1">
      <c r="A147" s="11" t="s">
        <v>196</v>
      </c>
      <c r="B147" s="11" t="s">
        <v>232</v>
      </c>
      <c r="C147" s="11" t="s">
        <v>236</v>
      </c>
      <c r="D147" s="86">
        <v>15</v>
      </c>
      <c r="E147" s="11" t="s">
        <v>231</v>
      </c>
      <c r="F147" s="11">
        <v>42</v>
      </c>
      <c r="G147" s="12">
        <v>-65.118499999999997</v>
      </c>
      <c r="H147" s="12">
        <v>37.172499999999999</v>
      </c>
      <c r="I147" s="12">
        <v>4.6833</v>
      </c>
      <c r="J147" s="11">
        <v>63</v>
      </c>
      <c r="K147" s="12">
        <v>0.57084392300191189</v>
      </c>
      <c r="L147" s="12">
        <v>1.5873015873015872E-2</v>
      </c>
      <c r="M147" s="131">
        <v>1.73899</v>
      </c>
      <c r="N147" s="131">
        <v>0.33552500000000002</v>
      </c>
      <c r="O147" s="86">
        <v>62</v>
      </c>
      <c r="P147" s="12">
        <v>4.29</v>
      </c>
      <c r="Q147" s="12">
        <v>0.51</v>
      </c>
      <c r="R147" s="11"/>
      <c r="S147" s="11">
        <v>0.03</v>
      </c>
      <c r="T147" s="11"/>
      <c r="U147" s="11"/>
      <c r="V147" s="11"/>
      <c r="W147" s="11"/>
      <c r="X147" s="11">
        <v>0.62</v>
      </c>
      <c r="Y147" s="11"/>
      <c r="Z147" s="11"/>
      <c r="AA147" s="11"/>
      <c r="AB147" s="11"/>
      <c r="AC147" s="11"/>
      <c r="AD147" s="11"/>
      <c r="AE147" s="11"/>
      <c r="AF147" s="11">
        <v>0.98412698412698418</v>
      </c>
      <c r="AG147" s="11">
        <v>0.97</v>
      </c>
    </row>
    <row r="148" spans="1:54" s="36" customFormat="1">
      <c r="A148" s="117" t="s">
        <v>65</v>
      </c>
      <c r="D148" s="135">
        <f>AVERAGE(D86:D147,D61:D84)</f>
        <v>19.534883720930232</v>
      </c>
      <c r="G148" s="117">
        <f>AVERAGE(G86:G147,G61:G84)</f>
        <v>-42.776459069767434</v>
      </c>
      <c r="H148" s="2"/>
      <c r="K148" s="117"/>
      <c r="L148" s="117">
        <f>AVERAGE(L86:L147,L61:L84)</f>
        <v>4.8207760466652108E-2</v>
      </c>
      <c r="M148" s="117">
        <f>AVERAGE(M86:M147,M61:M84)</f>
        <v>2.0055318604651169</v>
      </c>
      <c r="N148" s="117">
        <f>AVERAGE(N86:N147,N61:N84)</f>
        <v>0.27250923953488382</v>
      </c>
      <c r="P148" s="117"/>
      <c r="Q148" s="117"/>
      <c r="W148" s="117"/>
      <c r="X148" s="117">
        <f>AVERAGE(X61:X147)</f>
        <v>0.80050924418604663</v>
      </c>
      <c r="Y148" s="117"/>
      <c r="AA148" s="117"/>
      <c r="AB148" s="8"/>
      <c r="AC148" s="8"/>
      <c r="AF148" s="117">
        <f>AVERAGE(AF61:AF147)</f>
        <v>0.95179223953329906</v>
      </c>
      <c r="AG148" s="117">
        <f>AVERAGE(AG61:AG147)</f>
        <v>0.96062826808759127</v>
      </c>
    </row>
    <row r="149" spans="1:54" s="36" customFormat="1">
      <c r="A149" s="36" t="s">
        <v>63</v>
      </c>
      <c r="D149" s="101">
        <f>STDEV(D86:D147,D61:D84)</f>
        <v>6.4383002404609924</v>
      </c>
      <c r="G149" s="2">
        <f>STDEV(G86:G147,G61:G84)</f>
        <v>38.044051595046099</v>
      </c>
      <c r="H149" s="2"/>
      <c r="K149" s="2"/>
      <c r="L149" s="2">
        <f>STDEV(L86:L147,L61:L84)</f>
        <v>0.10007027218731571</v>
      </c>
      <c r="M149" s="2">
        <f>STDEV(M86:M147,M61:M84)</f>
        <v>0.44729366303032309</v>
      </c>
      <c r="N149" s="2">
        <f>STDEV(N86:N147,N61:N84)</f>
        <v>0.15086622907901509</v>
      </c>
      <c r="P149" s="2"/>
      <c r="Q149" s="2"/>
      <c r="W149" s="2"/>
      <c r="X149" s="2">
        <f>STDEV(X61:X147)</f>
        <v>0.18185412764397546</v>
      </c>
      <c r="Y149" s="2"/>
      <c r="AA149" s="2"/>
      <c r="AB149" s="8"/>
      <c r="AC149" s="8"/>
      <c r="AF149" s="2">
        <f>STDEV(AF61:AF147)</f>
        <v>0.10007027218729124</v>
      </c>
      <c r="AG149" s="2">
        <f>STDEV(AG61:AG147)</f>
        <v>7.179559439077185E-2</v>
      </c>
    </row>
    <row r="150" spans="1:54" s="36" customFormat="1">
      <c r="A150" s="36" t="s">
        <v>67</v>
      </c>
      <c r="D150" s="101">
        <f>D149/SQRT(COUNT((D86:D147,D61:D84)))</f>
        <v>0.69425976964527314</v>
      </c>
      <c r="G150" s="2">
        <f>G149/SQRT(COUNT((G86:G147,G61:G84)))</f>
        <v>4.1023955873885152</v>
      </c>
      <c r="H150" s="2"/>
      <c r="K150" s="2"/>
      <c r="L150" s="2">
        <f>L149/SQRT(COUNT((L86:L147,L61:L84)))</f>
        <v>1.0790854965181165E-2</v>
      </c>
      <c r="M150" s="2">
        <f>M149/SQRT(COUNT((M86:M147,M61:M84)))</f>
        <v>4.8232916120884033E-2</v>
      </c>
      <c r="N150" s="2">
        <f>N149/SQRT(COUNT((N86:N147,N61:N84)))</f>
        <v>1.626832386433542E-2</v>
      </c>
      <c r="P150" s="2"/>
      <c r="Q150" s="2"/>
      <c r="W150" s="2"/>
      <c r="X150" s="2">
        <f>X149/SQRT(COUNT((X61:X147)))</f>
        <v>1.9609834902341947E-2</v>
      </c>
      <c r="Y150" s="2"/>
      <c r="AA150" s="2"/>
      <c r="AB150" s="8"/>
      <c r="AC150" s="8"/>
      <c r="AF150" s="2">
        <f>AF149/SQRT(COUNT((AF61:AF147)))</f>
        <v>1.0790854965178526E-2</v>
      </c>
      <c r="AG150" s="2">
        <f>AG149/SQRT(COUNT((AG61:AG147)))</f>
        <v>7.7419180469461557E-3</v>
      </c>
    </row>
    <row r="151" spans="1:54" s="36" customFormat="1">
      <c r="A151" s="36" t="s">
        <v>6</v>
      </c>
      <c r="D151" s="101">
        <f>COUNT((D86:D147,D61:D84))</f>
        <v>86</v>
      </c>
      <c r="G151" s="37">
        <f>COUNT((G86:G147,G61:G84))</f>
        <v>86</v>
      </c>
      <c r="H151" s="2"/>
      <c r="K151" s="37"/>
      <c r="L151" s="37">
        <f>COUNT((L86:L147,L61:L84))</f>
        <v>86</v>
      </c>
      <c r="M151" s="37">
        <f>COUNT((M86:M147,M61:M84))</f>
        <v>86</v>
      </c>
      <c r="N151" s="37">
        <f>COUNT((N86:N147,N61:N84))</f>
        <v>86</v>
      </c>
      <c r="P151" s="37"/>
      <c r="Q151" s="37"/>
      <c r="W151" s="37"/>
      <c r="X151" s="37">
        <f>COUNT((X61:X147))</f>
        <v>86</v>
      </c>
      <c r="Y151" s="37"/>
      <c r="AA151" s="37"/>
      <c r="AB151" s="8"/>
      <c r="AC151" s="8"/>
      <c r="AF151" s="37">
        <f>COUNT((AF61:AF147))</f>
        <v>86</v>
      </c>
      <c r="AG151" s="37">
        <f>COUNT((AG61:AG147))</f>
        <v>86</v>
      </c>
    </row>
    <row r="152" spans="1:54" s="36" customFormat="1">
      <c r="A152" s="105" t="s">
        <v>238</v>
      </c>
      <c r="D152" s="133">
        <f>MEDIAN(D86:D147,D61:D84)</f>
        <v>18</v>
      </c>
      <c r="G152" s="128">
        <f>MEDIAN(G86:G147,G61:G84)</f>
        <v>-28.5306</v>
      </c>
      <c r="H152" s="2"/>
      <c r="K152" s="128"/>
      <c r="L152" s="128">
        <f>MEDIAN(L86:L147,L61:L84)</f>
        <v>0</v>
      </c>
      <c r="M152" s="128">
        <f>MEDIAN(M86:M147,M61:M84)</f>
        <v>1.986075</v>
      </c>
      <c r="N152" s="128">
        <f>MEDIAN(N86:N147,N61:N84)</f>
        <v>0.241762</v>
      </c>
      <c r="P152" s="128"/>
      <c r="Q152" s="128"/>
      <c r="W152" s="128"/>
      <c r="X152" s="128">
        <f>MEDIAN(X61:X147)</f>
        <v>0.77836700000000003</v>
      </c>
      <c r="Y152" s="128"/>
      <c r="AB152" s="8"/>
      <c r="AC152" s="8"/>
      <c r="AF152" s="128">
        <f>MEDIAN(AF61:AF147)</f>
        <v>1</v>
      </c>
      <c r="AG152" s="128">
        <f>MEDIAN(AG61:AG147)</f>
        <v>0.99</v>
      </c>
    </row>
    <row r="153" spans="1:54" s="36" customFormat="1">
      <c r="A153" s="36" t="s">
        <v>49</v>
      </c>
      <c r="D153" s="101">
        <f>QUARTILE((D86:D147,D61:D84),1)</f>
        <v>15</v>
      </c>
      <c r="G153" s="2">
        <f>_xlfn.QUARTILE.EXC((G86:G147,G61:G84),1)</f>
        <v>-53.347949999999997</v>
      </c>
      <c r="H153" s="2"/>
      <c r="K153" s="2"/>
      <c r="L153" s="2">
        <f>_xlfn.QUARTILE.EXC((L86:L147,L61:L84),1)</f>
        <v>0</v>
      </c>
      <c r="M153" s="2">
        <f>_xlfn.QUARTILE.EXC((M86:M147,M61:M84),1)</f>
        <v>1.6670875000000001</v>
      </c>
      <c r="N153" s="2">
        <f>_xlfn.QUARTILE.EXC((N86:N147,N61:N84),1)</f>
        <v>0.14248549999999999</v>
      </c>
      <c r="P153" s="2"/>
      <c r="Q153" s="2"/>
      <c r="W153" s="2"/>
      <c r="X153" s="2">
        <f>_xlfn.QUARTILE.EXC((X61:X147),1)</f>
        <v>0.69</v>
      </c>
      <c r="Y153" s="2"/>
      <c r="AB153" s="8"/>
      <c r="AC153" s="8"/>
      <c r="AF153" s="2">
        <f>_xlfn.QUARTILE.EXC((AF61:AF147),1)</f>
        <v>0.9654853620955316</v>
      </c>
      <c r="AG153" s="2">
        <f>_xlfn.QUARTILE.EXC((AG61:AG147),1)</f>
        <v>0.94934210526315788</v>
      </c>
    </row>
    <row r="154" spans="1:54" s="36" customFormat="1">
      <c r="A154" s="36" t="s">
        <v>48</v>
      </c>
      <c r="D154" s="101">
        <f>QUARTILE((D86:D147,D61:D84),3)</f>
        <v>21.75</v>
      </c>
      <c r="G154" s="2">
        <f>_xlfn.QUARTILE.EXC((G86:G147,G61:G84),3)</f>
        <v>-18.277625</v>
      </c>
      <c r="H154" s="2"/>
      <c r="K154" s="2"/>
      <c r="L154" s="2">
        <f>_xlfn.QUARTILE.EXC((L86:L147,L61:L84),3)</f>
        <v>3.4514637904468411E-2</v>
      </c>
      <c r="M154" s="2">
        <f>_xlfn.QUARTILE.EXC((M86:M147,M61:M84),3)</f>
        <v>2.249765</v>
      </c>
      <c r="N154" s="2">
        <f>_xlfn.QUARTILE.EXC((N86:N147,N61:N84),3)</f>
        <v>0.36783874999999999</v>
      </c>
      <c r="P154" s="2"/>
      <c r="Q154" s="2"/>
      <c r="W154" s="2"/>
      <c r="X154" s="2">
        <f>_xlfn.QUARTILE.EXC((X61:X147),3)</f>
        <v>0.90471324999999991</v>
      </c>
      <c r="Y154" s="2"/>
      <c r="AB154" s="132"/>
      <c r="AC154" s="132"/>
      <c r="AF154" s="2">
        <f>_xlfn.QUARTILE.EXC((AF61:AF147),3)</f>
        <v>1</v>
      </c>
      <c r="AG154" s="2">
        <f>_xlfn.QUARTILE.EXC((AG61:AG147),3)</f>
        <v>1</v>
      </c>
    </row>
    <row r="155" spans="1:54" s="36" customFormat="1">
      <c r="A155" s="51"/>
      <c r="B155" s="3"/>
      <c r="I155" s="37"/>
      <c r="J155" s="37"/>
      <c r="K155" s="37"/>
      <c r="L155" s="37"/>
      <c r="M155" s="97"/>
      <c r="Y155" s="2"/>
      <c r="Z155" s="2"/>
    </row>
    <row r="156" spans="1:54" s="36" customFormat="1">
      <c r="A156" s="51"/>
      <c r="B156" s="3"/>
      <c r="I156" s="37"/>
      <c r="J156" s="37"/>
      <c r="K156" s="37"/>
      <c r="L156" s="37"/>
      <c r="M156" s="97"/>
      <c r="Y156" s="2"/>
      <c r="Z156" s="2"/>
    </row>
    <row r="157" spans="1:54" s="36" customFormat="1">
      <c r="A157" s="51"/>
      <c r="B157" s="3"/>
      <c r="I157" s="37"/>
      <c r="J157" s="37"/>
      <c r="K157" s="37"/>
      <c r="L157" s="37"/>
      <c r="M157" s="97"/>
      <c r="Y157" s="37"/>
      <c r="Z157" s="37"/>
    </row>
    <row r="158" spans="1:54" s="36" customFormat="1">
      <c r="A158" s="51"/>
      <c r="B158" s="3"/>
      <c r="I158" s="37"/>
      <c r="J158" s="37"/>
      <c r="K158" s="37"/>
      <c r="L158" s="37"/>
      <c r="M158" s="132"/>
    </row>
    <row r="159" spans="1:54" s="36" customFormat="1">
      <c r="A159" s="51"/>
      <c r="B159" s="3"/>
      <c r="I159" s="37"/>
      <c r="J159" s="37"/>
      <c r="K159" s="37"/>
      <c r="L159" s="37"/>
      <c r="M159" s="2"/>
    </row>
    <row r="160" spans="1:54" s="36" customFormat="1">
      <c r="A160" s="51"/>
      <c r="B160" s="3"/>
      <c r="I160" s="37"/>
      <c r="J160" s="37"/>
      <c r="K160" s="37"/>
      <c r="L160" s="37"/>
      <c r="M160" s="2"/>
    </row>
    <row r="161" spans="1:13" s="36" customFormat="1">
      <c r="A161" s="51"/>
      <c r="B161" s="3"/>
      <c r="I161" s="37"/>
      <c r="J161" s="37"/>
      <c r="K161" s="37"/>
      <c r="L161" s="37"/>
      <c r="M161" s="37"/>
    </row>
    <row r="162" spans="1:13" s="36" customFormat="1">
      <c r="A162" s="51"/>
      <c r="B162" s="3"/>
      <c r="I162" s="37"/>
      <c r="J162" s="37"/>
      <c r="K162" s="37"/>
      <c r="L162" s="37"/>
      <c r="M162" s="128"/>
    </row>
    <row r="163" spans="1:13" s="36" customFormat="1">
      <c r="A163" s="51"/>
      <c r="B163" s="3"/>
      <c r="I163" s="37"/>
      <c r="J163" s="37"/>
      <c r="K163" s="37"/>
      <c r="L163" s="37"/>
      <c r="M163" s="2"/>
    </row>
    <row r="164" spans="1:13" s="36" customFormat="1">
      <c r="A164" s="51"/>
      <c r="B164" s="3"/>
      <c r="I164" s="37"/>
      <c r="J164" s="37"/>
      <c r="K164" s="37"/>
      <c r="L164" s="37"/>
      <c r="M164" s="2"/>
    </row>
    <row r="165" spans="1:13" s="36" customFormat="1">
      <c r="A165" s="51"/>
      <c r="B165" s="3"/>
      <c r="I165" s="37"/>
      <c r="J165" s="37"/>
      <c r="K165" s="37"/>
      <c r="L165" s="37"/>
    </row>
    <row r="166" spans="1:13" s="36" customFormat="1">
      <c r="A166" s="51"/>
      <c r="B166" s="3"/>
      <c r="I166" s="37"/>
      <c r="J166" s="37"/>
      <c r="K166" s="37"/>
      <c r="L166" s="37"/>
    </row>
    <row r="167" spans="1:13" s="36" customFormat="1">
      <c r="A167" s="51"/>
      <c r="B167" s="3"/>
      <c r="I167" s="37"/>
      <c r="J167" s="37"/>
      <c r="K167" s="37"/>
      <c r="L167" s="37"/>
    </row>
    <row r="168" spans="1:13" s="36" customFormat="1">
      <c r="A168" s="51"/>
      <c r="B168" s="3"/>
      <c r="I168" s="37"/>
      <c r="J168" s="37"/>
      <c r="K168" s="37"/>
      <c r="L168" s="37"/>
    </row>
    <row r="169" spans="1:13" s="36" customFormat="1">
      <c r="A169" s="51"/>
      <c r="B169" s="3"/>
      <c r="I169" s="37"/>
      <c r="J169" s="37"/>
      <c r="K169" s="37"/>
      <c r="L169" s="37"/>
    </row>
    <row r="170" spans="1:13" s="36" customFormat="1">
      <c r="A170" s="51"/>
      <c r="B170" s="3"/>
      <c r="I170" s="37"/>
      <c r="J170" s="37"/>
      <c r="K170" s="37"/>
      <c r="L170" s="37"/>
    </row>
    <row r="171" spans="1:13" s="36" customFormat="1">
      <c r="A171" s="51"/>
      <c r="B171" s="3"/>
      <c r="I171" s="37"/>
      <c r="J171" s="37"/>
      <c r="K171" s="37"/>
      <c r="L171" s="37"/>
    </row>
    <row r="172" spans="1:13" s="36" customFormat="1">
      <c r="A172" s="51"/>
      <c r="B172" s="3"/>
      <c r="I172" s="37"/>
      <c r="J172" s="37"/>
      <c r="K172" s="37"/>
      <c r="L172" s="37"/>
    </row>
    <row r="173" spans="1:13" s="36" customFormat="1">
      <c r="A173" s="51"/>
      <c r="B173" s="3"/>
      <c r="I173" s="37"/>
      <c r="J173" s="37"/>
      <c r="K173" s="37"/>
      <c r="L173" s="37"/>
    </row>
    <row r="174" spans="1:13" s="36" customFormat="1">
      <c r="A174" s="51"/>
      <c r="B174" s="3"/>
      <c r="I174" s="37"/>
      <c r="J174" s="37"/>
      <c r="K174" s="37"/>
      <c r="L174" s="37"/>
    </row>
    <row r="175" spans="1:13" s="36" customFormat="1">
      <c r="A175" s="51"/>
      <c r="B175" s="3"/>
      <c r="I175" s="37"/>
      <c r="J175" s="37"/>
      <c r="K175" s="37"/>
      <c r="L175" s="37"/>
    </row>
    <row r="176" spans="1:13" s="36" customFormat="1">
      <c r="A176" s="51"/>
      <c r="B176" s="3"/>
      <c r="I176" s="37"/>
      <c r="J176" s="37"/>
      <c r="K176" s="37"/>
      <c r="L176" s="37"/>
    </row>
    <row r="177" spans="1:33" s="36" customFormat="1">
      <c r="A177" s="51"/>
      <c r="B177" s="3"/>
      <c r="I177" s="37"/>
      <c r="J177" s="37"/>
      <c r="K177" s="37"/>
      <c r="L177" s="37"/>
    </row>
    <row r="178" spans="1:33" s="36" customFormat="1">
      <c r="A178" s="51"/>
      <c r="B178" s="3"/>
      <c r="I178" s="37"/>
      <c r="J178" s="37"/>
      <c r="K178" s="37"/>
      <c r="L178" s="37"/>
    </row>
    <row r="179" spans="1:33" s="36" customFormat="1">
      <c r="A179" s="51"/>
      <c r="B179" s="3"/>
      <c r="I179" s="37"/>
      <c r="J179" s="37"/>
      <c r="K179" s="37"/>
      <c r="L179" s="37"/>
    </row>
    <row r="180" spans="1:33" s="36" customFormat="1">
      <c r="A180" s="51"/>
      <c r="B180" s="3"/>
      <c r="I180" s="37"/>
      <c r="J180" s="37"/>
      <c r="K180" s="37"/>
      <c r="L180" s="37"/>
    </row>
    <row r="181" spans="1:33" s="36" customFormat="1">
      <c r="A181" s="51"/>
      <c r="B181" s="3"/>
      <c r="I181" s="37"/>
      <c r="J181" s="37"/>
      <c r="K181" s="37"/>
      <c r="L181" s="37"/>
    </row>
    <row r="182" spans="1:33" s="36" customFormat="1">
      <c r="A182" s="51"/>
      <c r="B182" s="3"/>
      <c r="I182" s="37"/>
      <c r="J182" s="37"/>
      <c r="K182" s="37"/>
      <c r="L182" s="37"/>
    </row>
    <row r="183" spans="1:33" s="36" customFormat="1">
      <c r="A183" s="51"/>
      <c r="B183" s="3"/>
      <c r="I183" s="37"/>
      <c r="J183" s="37"/>
      <c r="K183" s="37"/>
      <c r="L183" s="37"/>
    </row>
    <row r="184" spans="1:33" s="36" customFormat="1">
      <c r="A184" s="51"/>
      <c r="B184" s="3"/>
      <c r="I184" s="37"/>
      <c r="J184" s="37"/>
      <c r="K184" s="37"/>
      <c r="L184" s="37"/>
    </row>
    <row r="185" spans="1:33" s="36" customFormat="1">
      <c r="A185" s="51"/>
      <c r="B185" s="3"/>
      <c r="I185" s="37"/>
      <c r="J185" s="37"/>
      <c r="K185" s="37"/>
      <c r="L185" s="37"/>
    </row>
    <row r="186" spans="1:33" s="36" customFormat="1">
      <c r="A186" s="51"/>
      <c r="B186" s="3"/>
      <c r="I186" s="37"/>
      <c r="J186" s="37"/>
      <c r="K186" s="37"/>
      <c r="L186" s="37"/>
    </row>
    <row r="187" spans="1:33" s="36" customFormat="1">
      <c r="A187" s="51"/>
      <c r="B187" s="3"/>
      <c r="I187" s="37"/>
      <c r="J187" s="37"/>
      <c r="K187" s="37"/>
      <c r="L187" s="37"/>
    </row>
    <row r="188" spans="1:33" s="36" customFormat="1">
      <c r="A188" s="51"/>
      <c r="B188" s="3"/>
      <c r="I188" s="37"/>
      <c r="J188" s="37"/>
      <c r="K188" s="37"/>
      <c r="L188" s="37"/>
    </row>
    <row r="189" spans="1:33">
      <c r="AF189" s="35"/>
      <c r="AG189" s="35"/>
    </row>
  </sheetData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96"/>
  <sheetViews>
    <sheetView workbookViewId="0">
      <selection activeCell="P2" sqref="P2"/>
    </sheetView>
  </sheetViews>
  <sheetFormatPr baseColWidth="10" defaultRowHeight="15"/>
  <cols>
    <col min="1" max="1" width="15.5703125" style="87" customWidth="1"/>
    <col min="2" max="2" width="12.7109375" bestFit="1" customWidth="1"/>
    <col min="3" max="6" width="12.7109375" style="35" customWidth="1"/>
    <col min="10" max="11" width="11.42578125" style="35"/>
    <col min="16" max="16" width="17.28515625" style="36" customWidth="1"/>
    <col min="17" max="17" width="11.5703125" bestFit="1" customWidth="1"/>
    <col min="18" max="18" width="11.5703125" style="25" bestFit="1" customWidth="1"/>
    <col min="19" max="20" width="11.5703125" bestFit="1" customWidth="1"/>
    <col min="21" max="21" width="11.5703125" style="35" customWidth="1"/>
    <col min="22" max="22" width="11.5703125" bestFit="1" customWidth="1"/>
    <col min="23" max="23" width="12.7109375" bestFit="1" customWidth="1"/>
    <col min="25" max="25" width="11.42578125" style="35"/>
    <col min="26" max="26" width="12.7109375" style="35" customWidth="1"/>
  </cols>
  <sheetData>
    <row r="1" spans="1:29" s="35" customFormat="1" ht="18.75">
      <c r="A1" s="91" t="s">
        <v>110</v>
      </c>
      <c r="P1" s="61" t="s">
        <v>108</v>
      </c>
      <c r="R1" s="25"/>
    </row>
    <row r="2" spans="1:29">
      <c r="A2" s="86" t="s">
        <v>201</v>
      </c>
      <c r="B2" s="12" t="s">
        <v>56</v>
      </c>
      <c r="C2" s="12" t="s">
        <v>109</v>
      </c>
      <c r="D2" s="12" t="s">
        <v>4</v>
      </c>
      <c r="E2" s="21" t="s">
        <v>7</v>
      </c>
      <c r="F2" s="21" t="s">
        <v>197</v>
      </c>
      <c r="G2" s="41" t="s">
        <v>8</v>
      </c>
      <c r="H2" s="11" t="s">
        <v>21</v>
      </c>
      <c r="I2" s="41" t="s">
        <v>66</v>
      </c>
      <c r="J2" s="41" t="s">
        <v>199</v>
      </c>
      <c r="K2" s="21" t="s">
        <v>197</v>
      </c>
      <c r="L2" s="11" t="s">
        <v>19</v>
      </c>
      <c r="M2" s="11" t="s">
        <v>58</v>
      </c>
      <c r="N2" s="11" t="s">
        <v>59</v>
      </c>
      <c r="P2" s="86" t="s">
        <v>201</v>
      </c>
      <c r="Q2" s="12" t="s">
        <v>56</v>
      </c>
      <c r="R2" s="82" t="s">
        <v>109</v>
      </c>
      <c r="S2" s="12" t="s">
        <v>4</v>
      </c>
      <c r="T2" s="21" t="s">
        <v>7</v>
      </c>
      <c r="U2" s="21" t="s">
        <v>197</v>
      </c>
      <c r="V2" s="41" t="s">
        <v>8</v>
      </c>
      <c r="W2" s="11" t="s">
        <v>21</v>
      </c>
      <c r="X2" s="41" t="s">
        <v>66</v>
      </c>
      <c r="Y2" s="41" t="s">
        <v>200</v>
      </c>
      <c r="Z2" s="21" t="s">
        <v>197</v>
      </c>
      <c r="AA2" s="11" t="s">
        <v>19</v>
      </c>
      <c r="AB2" s="11" t="s">
        <v>58</v>
      </c>
      <c r="AC2" s="11" t="s">
        <v>59</v>
      </c>
    </row>
    <row r="3" spans="1:29">
      <c r="A3" s="51" t="s">
        <v>35</v>
      </c>
      <c r="B3" s="38">
        <v>-1.66511E-11</v>
      </c>
      <c r="C3" s="39">
        <f>B3*-1000000000000</f>
        <v>16.6511</v>
      </c>
      <c r="D3" s="37">
        <v>1.04845E-11</v>
      </c>
      <c r="E3" s="38">
        <v>0.62965810066602212</v>
      </c>
      <c r="F3" s="39">
        <f>SQRT(SUMSQ((C3-$C$48)))</f>
        <v>8.3475900000000003</v>
      </c>
      <c r="G3" s="37">
        <v>0.10434782608695652</v>
      </c>
      <c r="H3" s="35">
        <v>2.2000000000000002</v>
      </c>
      <c r="I3">
        <v>0.77163300000000001</v>
      </c>
      <c r="J3" s="35">
        <f>I3/H3</f>
        <v>0.35074227272727271</v>
      </c>
      <c r="K3" s="39">
        <f>SQRT(SUMSQ((F3-$H$48)))</f>
        <v>5.8875900000000003</v>
      </c>
      <c r="L3" s="35">
        <v>1.52</v>
      </c>
      <c r="M3" s="35">
        <v>0.86</v>
      </c>
      <c r="N3" s="35">
        <v>0.96</v>
      </c>
      <c r="P3" s="62" t="s">
        <v>111</v>
      </c>
      <c r="Q3" s="76">
        <v>-50.43</v>
      </c>
      <c r="R3" s="83">
        <f>-Q3</f>
        <v>50.43</v>
      </c>
      <c r="S3" s="76">
        <f t="shared" ref="S3:S15" si="0">T3*(SQRT(V3))</f>
        <v>31.143106781437208</v>
      </c>
      <c r="T3" s="76">
        <v>9.39</v>
      </c>
      <c r="U3" s="39">
        <f t="shared" ref="U3:U34" si="1">SQRT(SUMSQ((R3-$R$92)))</f>
        <v>21.8994</v>
      </c>
      <c r="V3" s="62">
        <v>11</v>
      </c>
      <c r="W3" s="76">
        <v>1.7962100000000001</v>
      </c>
      <c r="X3" s="77">
        <v>0.24781300000000001</v>
      </c>
      <c r="Y3" s="85">
        <f>X3/W3</f>
        <v>0.13796438055683913</v>
      </c>
      <c r="Z3" s="39">
        <f>SQRT(SUMSQ((W3-$W$92)))</f>
        <v>0.18986499999999995</v>
      </c>
      <c r="AA3">
        <v>0.96595500000000001</v>
      </c>
      <c r="AB3">
        <v>0.73</v>
      </c>
      <c r="AC3">
        <v>0.90909090909090906</v>
      </c>
    </row>
    <row r="4" spans="1:29">
      <c r="A4" s="51" t="s">
        <v>39</v>
      </c>
      <c r="B4" s="38">
        <v>-3.6425999999999998E-12</v>
      </c>
      <c r="C4" s="39">
        <f t="shared" ref="C4:C44" si="2">B4*-1000000000000</f>
        <v>3.6425999999999998</v>
      </c>
      <c r="D4" s="38">
        <v>3.6252800000000001E-12</v>
      </c>
      <c r="E4" s="39">
        <v>0.99524515455992979</v>
      </c>
      <c r="F4" s="39">
        <f>SQRT(SUMSQ((C4-$C$48)))</f>
        <v>4.6609099999999994</v>
      </c>
      <c r="G4" s="39">
        <v>0.29166666666666669</v>
      </c>
      <c r="H4" s="35">
        <v>3.91</v>
      </c>
      <c r="I4">
        <v>0.71317299999999995</v>
      </c>
      <c r="J4" s="35">
        <f t="shared" ref="J4:J44" si="3">I4/H4</f>
        <v>0.18239718670076724</v>
      </c>
      <c r="K4" s="39">
        <f t="shared" ref="K4:K44" si="4">SQRT(SUMSQ((F4-$H$48)))</f>
        <v>2.2009099999999995</v>
      </c>
      <c r="L4" s="35">
        <v>6.31</v>
      </c>
      <c r="M4" s="35">
        <v>0.68</v>
      </c>
      <c r="N4" s="35">
        <v>0.95</v>
      </c>
      <c r="P4" s="25" t="s">
        <v>112</v>
      </c>
      <c r="Q4" s="78">
        <v>-60.21</v>
      </c>
      <c r="R4" s="83">
        <f t="shared" ref="R4:R61" si="5">-Q4</f>
        <v>60.21</v>
      </c>
      <c r="S4" s="78">
        <f t="shared" si="0"/>
        <v>25.481259780473966</v>
      </c>
      <c r="T4" s="78">
        <v>4.37</v>
      </c>
      <c r="U4" s="39">
        <f t="shared" si="1"/>
        <v>31.679400000000001</v>
      </c>
      <c r="V4" s="79">
        <v>34</v>
      </c>
      <c r="W4" s="76">
        <v>1.8955900000000001</v>
      </c>
      <c r="X4" s="80">
        <v>0.15540899999999999</v>
      </c>
      <c r="Y4" s="85">
        <f t="shared" ref="Y4:Y67" si="6">X4/W4</f>
        <v>8.1984500867803678E-2</v>
      </c>
      <c r="Z4" s="39">
        <f t="shared" ref="Z4:Z67" si="7">SQRT(SUMSQ((W4-$W$92)))</f>
        <v>9.0484999999999927E-2</v>
      </c>
      <c r="AA4">
        <v>0.84993700000000005</v>
      </c>
      <c r="AB4">
        <v>0.97099999999999997</v>
      </c>
      <c r="AC4">
        <v>0.94444444444444442</v>
      </c>
    </row>
    <row r="5" spans="1:29">
      <c r="A5" s="51" t="s">
        <v>40</v>
      </c>
      <c r="B5" s="35"/>
      <c r="C5" s="39"/>
      <c r="E5" s="39"/>
      <c r="F5" s="39"/>
      <c r="G5" s="39"/>
      <c r="H5" s="35"/>
      <c r="K5" s="39"/>
      <c r="L5" s="35"/>
      <c r="M5" s="35"/>
      <c r="N5" s="35"/>
      <c r="P5" s="25" t="s">
        <v>113</v>
      </c>
      <c r="Q5" s="81">
        <v>-115.444</v>
      </c>
      <c r="R5" s="72">
        <f t="shared" si="5"/>
        <v>115.444</v>
      </c>
      <c r="S5" s="71">
        <f t="shared" si="0"/>
        <v>11.32114256085489</v>
      </c>
      <c r="T5" s="81">
        <v>1.56996</v>
      </c>
      <c r="U5" s="39">
        <f t="shared" si="1"/>
        <v>86.913399999999996</v>
      </c>
      <c r="V5" s="74">
        <v>52</v>
      </c>
      <c r="W5" s="72">
        <v>2.1904599999999999</v>
      </c>
      <c r="X5" s="75">
        <v>7.3734599999999997E-2</v>
      </c>
      <c r="Y5" s="84">
        <f t="shared" si="6"/>
        <v>3.3661696629931612E-2</v>
      </c>
      <c r="Z5" s="39">
        <f t="shared" si="7"/>
        <v>0.20438499999999982</v>
      </c>
      <c r="AA5">
        <v>0.58415499999999998</v>
      </c>
      <c r="AB5">
        <v>1</v>
      </c>
      <c r="AC5">
        <v>1</v>
      </c>
    </row>
    <row r="6" spans="1:29">
      <c r="A6" s="51" t="s">
        <v>41</v>
      </c>
      <c r="B6" s="38">
        <v>-6.5063100000000004E-12</v>
      </c>
      <c r="C6" s="39">
        <f t="shared" si="2"/>
        <v>6.50631</v>
      </c>
      <c r="D6" s="38">
        <v>5.3736400000000001E-12</v>
      </c>
      <c r="E6" s="39">
        <v>0.8259120761230252</v>
      </c>
      <c r="F6" s="39">
        <f t="shared" ref="F6:F44" si="8">SQRT(SUMSQ((C6-$C$48)))</f>
        <v>1.7971999999999992</v>
      </c>
      <c r="G6" s="39">
        <v>0.23589743589743589</v>
      </c>
      <c r="H6" s="35">
        <v>2.14</v>
      </c>
      <c r="I6">
        <v>0.79122599999999998</v>
      </c>
      <c r="J6" s="35">
        <f t="shared" si="3"/>
        <v>0.36973177570093457</v>
      </c>
      <c r="K6" s="39">
        <f t="shared" si="4"/>
        <v>0.66280000000000072</v>
      </c>
      <c r="L6" s="35">
        <v>1.1399999999999999</v>
      </c>
      <c r="M6" s="35">
        <v>0.8</v>
      </c>
      <c r="N6" s="35">
        <v>0.83000000000000007</v>
      </c>
      <c r="P6" s="25" t="s">
        <v>114</v>
      </c>
      <c r="Q6" s="81">
        <v>-73.4375</v>
      </c>
      <c r="R6" s="72">
        <f t="shared" si="5"/>
        <v>73.4375</v>
      </c>
      <c r="S6" s="71">
        <f t="shared" si="0"/>
        <v>16.797163761540222</v>
      </c>
      <c r="T6" s="81">
        <v>1.87798</v>
      </c>
      <c r="U6" s="39">
        <f t="shared" si="1"/>
        <v>44.9069</v>
      </c>
      <c r="V6" s="74">
        <v>80</v>
      </c>
      <c r="W6" s="72">
        <v>1.66723</v>
      </c>
      <c r="X6" s="75">
        <v>9.68942E-2</v>
      </c>
      <c r="Y6" s="84">
        <f t="shared" si="6"/>
        <v>5.8116876495744436E-2</v>
      </c>
      <c r="Z6" s="39">
        <f t="shared" si="7"/>
        <v>0.31884500000000005</v>
      </c>
      <c r="AA6">
        <v>0.65150300000000005</v>
      </c>
      <c r="AB6">
        <v>1</v>
      </c>
      <c r="AC6">
        <v>1</v>
      </c>
    </row>
    <row r="7" spans="1:29">
      <c r="A7" s="51" t="s">
        <v>42</v>
      </c>
      <c r="B7" s="38">
        <v>-4.52368E-12</v>
      </c>
      <c r="C7" s="39">
        <f t="shared" si="2"/>
        <v>4.5236799999999997</v>
      </c>
      <c r="D7" s="38">
        <v>4.1142099999999997E-12</v>
      </c>
      <c r="E7" s="39">
        <v>0.9094829873023732</v>
      </c>
      <c r="F7" s="39">
        <f t="shared" si="8"/>
        <v>3.7798299999999996</v>
      </c>
      <c r="G7" s="39">
        <v>0.33333333333333331</v>
      </c>
      <c r="H7" s="35">
        <v>1.93</v>
      </c>
      <c r="I7">
        <v>0.31241400000000003</v>
      </c>
      <c r="J7" s="35">
        <f t="shared" si="3"/>
        <v>0.16187253886010364</v>
      </c>
      <c r="K7" s="39">
        <f t="shared" si="4"/>
        <v>1.3198299999999996</v>
      </c>
      <c r="L7" s="35">
        <v>1.3</v>
      </c>
      <c r="M7" s="35">
        <v>0.67</v>
      </c>
      <c r="N7" s="35">
        <v>0.78</v>
      </c>
      <c r="P7" s="36" t="s">
        <v>115</v>
      </c>
      <c r="Q7" s="2">
        <v>-49.290999999999997</v>
      </c>
      <c r="R7" s="72">
        <f t="shared" si="5"/>
        <v>49.290999999999997</v>
      </c>
      <c r="S7" s="71">
        <f t="shared" si="0"/>
        <v>14.1784</v>
      </c>
      <c r="T7" s="2">
        <v>1.7723</v>
      </c>
      <c r="U7" s="39">
        <f t="shared" si="1"/>
        <v>20.760399999999997</v>
      </c>
      <c r="V7" s="74">
        <v>64</v>
      </c>
      <c r="W7" s="72">
        <v>2.2459099999999999</v>
      </c>
      <c r="X7" s="75">
        <v>0.33077499999999999</v>
      </c>
      <c r="Y7" s="84">
        <f t="shared" si="6"/>
        <v>0.1472788312977813</v>
      </c>
      <c r="Z7" s="39">
        <f t="shared" si="7"/>
        <v>0.25983499999999982</v>
      </c>
      <c r="AA7">
        <v>0.91987699999999994</v>
      </c>
      <c r="AB7">
        <v>0.89</v>
      </c>
      <c r="AC7">
        <v>0.97142857142857142</v>
      </c>
    </row>
    <row r="8" spans="1:29">
      <c r="A8" s="51" t="s">
        <v>43</v>
      </c>
      <c r="B8" s="38">
        <v>-4.5477499999999999E-12</v>
      </c>
      <c r="C8" s="39">
        <f t="shared" si="2"/>
        <v>4.5477499999999997</v>
      </c>
      <c r="D8" s="38">
        <v>4.4714400000000002E-12</v>
      </c>
      <c r="E8" s="39">
        <v>0.98322027376175036</v>
      </c>
      <c r="F8" s="39">
        <f t="shared" si="8"/>
        <v>3.7557599999999995</v>
      </c>
      <c r="G8" s="39">
        <v>0.30718954248366015</v>
      </c>
      <c r="H8" s="35">
        <v>2.21</v>
      </c>
      <c r="I8">
        <v>0.57392500000000002</v>
      </c>
      <c r="J8" s="35">
        <f t="shared" si="3"/>
        <v>0.25969457013574659</v>
      </c>
      <c r="K8" s="39">
        <f t="shared" si="4"/>
        <v>1.2957599999999996</v>
      </c>
      <c r="L8" s="35">
        <v>1.52</v>
      </c>
      <c r="M8" s="35">
        <v>0.56999999999999995</v>
      </c>
      <c r="N8" s="35">
        <v>0.79</v>
      </c>
      <c r="P8" s="36" t="s">
        <v>116</v>
      </c>
      <c r="Q8" s="2">
        <v>-46.791899999999998</v>
      </c>
      <c r="R8" s="72">
        <f t="shared" si="5"/>
        <v>46.791899999999998</v>
      </c>
      <c r="S8" s="66">
        <f t="shared" si="0"/>
        <v>9.9623928586459591</v>
      </c>
      <c r="T8" s="2">
        <v>1.2171000000000001</v>
      </c>
      <c r="U8" s="39">
        <f t="shared" si="1"/>
        <v>18.261299999999999</v>
      </c>
      <c r="V8" s="67">
        <v>67</v>
      </c>
      <c r="W8" s="68">
        <v>2.2717000000000001</v>
      </c>
      <c r="X8" s="75">
        <v>0.11859</v>
      </c>
      <c r="Y8" s="84">
        <f t="shared" si="6"/>
        <v>5.2203195844521724E-2</v>
      </c>
      <c r="Z8" s="39">
        <f t="shared" si="7"/>
        <v>0.28562500000000002</v>
      </c>
      <c r="AA8">
        <v>0.72281300000000004</v>
      </c>
      <c r="AB8">
        <v>1</v>
      </c>
      <c r="AC8">
        <v>1</v>
      </c>
    </row>
    <row r="9" spans="1:29">
      <c r="A9" s="51" t="s">
        <v>44</v>
      </c>
      <c r="B9" s="38">
        <v>-6.3902E-12</v>
      </c>
      <c r="C9" s="39">
        <f t="shared" si="2"/>
        <v>6.3902000000000001</v>
      </c>
      <c r="D9" s="38">
        <v>5.3802300000000004E-12</v>
      </c>
      <c r="E9" s="39">
        <v>0.84195017370348357</v>
      </c>
      <c r="F9" s="39">
        <f t="shared" si="8"/>
        <v>1.9133099999999992</v>
      </c>
      <c r="G9" s="39">
        <v>0.26923076923076922</v>
      </c>
      <c r="H9" s="35">
        <v>2.63</v>
      </c>
      <c r="I9">
        <v>0.51206499999999999</v>
      </c>
      <c r="J9" s="35">
        <f t="shared" si="3"/>
        <v>0.19470152091254753</v>
      </c>
      <c r="K9" s="39">
        <f t="shared" si="4"/>
        <v>0.54669000000000079</v>
      </c>
      <c r="L9" s="35">
        <v>1.37</v>
      </c>
      <c r="M9" s="35">
        <v>0.75</v>
      </c>
      <c r="N9" s="35">
        <v>0.91999999999999993</v>
      </c>
      <c r="P9" s="36" t="s">
        <v>117</v>
      </c>
      <c r="Q9" s="2">
        <v>-25.72</v>
      </c>
      <c r="R9" s="72">
        <f t="shared" si="5"/>
        <v>25.72</v>
      </c>
      <c r="S9" s="66">
        <f t="shared" si="0"/>
        <v>10.668229460636848</v>
      </c>
      <c r="T9" s="2">
        <v>0.90813999999999995</v>
      </c>
      <c r="U9" s="39">
        <f t="shared" si="1"/>
        <v>2.8106000000000009</v>
      </c>
      <c r="V9" s="67">
        <v>138</v>
      </c>
      <c r="W9" s="68">
        <v>2.2417699999999998</v>
      </c>
      <c r="X9" s="75">
        <v>0.29292200000000002</v>
      </c>
      <c r="Y9" s="84">
        <f t="shared" si="6"/>
        <v>0.13066550092114715</v>
      </c>
      <c r="Z9" s="39">
        <f t="shared" si="7"/>
        <v>0.25569499999999978</v>
      </c>
      <c r="AA9">
        <v>0.79857</v>
      </c>
      <c r="AB9">
        <v>0.92800000000000005</v>
      </c>
      <c r="AC9">
        <v>0.90909090909090906</v>
      </c>
    </row>
    <row r="10" spans="1:29">
      <c r="A10" s="51" t="s">
        <v>45</v>
      </c>
      <c r="B10" s="38">
        <v>-4.50118E-12</v>
      </c>
      <c r="C10" s="39">
        <f t="shared" si="2"/>
        <v>4.5011799999999997</v>
      </c>
      <c r="D10" s="38">
        <v>4.30959E-12</v>
      </c>
      <c r="E10" s="39">
        <v>0.95743560577448583</v>
      </c>
      <c r="F10" s="39">
        <f t="shared" si="8"/>
        <v>3.8023299999999995</v>
      </c>
      <c r="G10" s="39">
        <v>0.37037037037037035</v>
      </c>
      <c r="H10" s="35">
        <v>3.39</v>
      </c>
      <c r="I10">
        <v>1.29423</v>
      </c>
      <c r="J10" s="35">
        <f t="shared" si="3"/>
        <v>0.38177876106194686</v>
      </c>
      <c r="K10" s="39">
        <f t="shared" si="4"/>
        <v>1.3423299999999996</v>
      </c>
      <c r="L10" s="35">
        <v>1.88</v>
      </c>
      <c r="M10" s="35">
        <v>0.38</v>
      </c>
      <c r="N10" s="35">
        <v>0.08</v>
      </c>
      <c r="P10" s="36" t="s">
        <v>118</v>
      </c>
      <c r="Q10" s="2">
        <v>-19.007899999999999</v>
      </c>
      <c r="R10" s="72">
        <f t="shared" si="5"/>
        <v>19.007899999999999</v>
      </c>
      <c r="S10" s="66">
        <f t="shared" si="0"/>
        <v>7.1573120000000001</v>
      </c>
      <c r="T10" s="2">
        <v>0.89466400000000001</v>
      </c>
      <c r="U10" s="39">
        <f t="shared" si="1"/>
        <v>9.5227000000000004</v>
      </c>
      <c r="V10" s="67">
        <v>64</v>
      </c>
      <c r="W10" s="68">
        <v>2.4739300000000002</v>
      </c>
      <c r="X10" s="75">
        <v>0.35817900000000003</v>
      </c>
      <c r="Y10" s="84">
        <f t="shared" si="6"/>
        <v>0.14478138023307047</v>
      </c>
      <c r="Z10" s="39">
        <f t="shared" si="7"/>
        <v>0.48785500000000015</v>
      </c>
      <c r="AA10">
        <v>0.91366400000000003</v>
      </c>
      <c r="AB10">
        <v>0.82000000000000006</v>
      </c>
      <c r="AC10">
        <v>0.96551724137931039</v>
      </c>
    </row>
    <row r="11" spans="1:29">
      <c r="A11" s="51" t="s">
        <v>46</v>
      </c>
      <c r="B11" s="38">
        <v>-6.70266E-12</v>
      </c>
      <c r="C11" s="39">
        <f t="shared" si="2"/>
        <v>6.7026599999999998</v>
      </c>
      <c r="D11" s="38">
        <v>6.2222499999999997E-12</v>
      </c>
      <c r="E11" s="39">
        <v>0.92832547078324124</v>
      </c>
      <c r="F11" s="39">
        <f t="shared" si="8"/>
        <v>1.6008499999999994</v>
      </c>
      <c r="G11" s="39">
        <v>0.22500000000000001</v>
      </c>
      <c r="H11" s="35">
        <v>2.0299999999999998</v>
      </c>
      <c r="I11">
        <v>0.81381499999999996</v>
      </c>
      <c r="J11" s="35">
        <f t="shared" si="3"/>
        <v>0.40089408866995074</v>
      </c>
      <c r="K11" s="39">
        <f t="shared" si="4"/>
        <v>0.85915000000000052</v>
      </c>
      <c r="L11" s="35">
        <v>1.04</v>
      </c>
      <c r="M11" s="35">
        <v>0.73</v>
      </c>
      <c r="N11" s="35">
        <v>0.81</v>
      </c>
      <c r="P11" s="36" t="s">
        <v>119</v>
      </c>
      <c r="Q11" s="2">
        <v>-12.55</v>
      </c>
      <c r="R11" s="72">
        <f t="shared" si="5"/>
        <v>12.55</v>
      </c>
      <c r="S11" s="66">
        <f t="shared" si="0"/>
        <v>9.6636881710866476</v>
      </c>
      <c r="T11" s="2">
        <v>0.88217000000000001</v>
      </c>
      <c r="U11" s="39">
        <f t="shared" si="1"/>
        <v>15.980599999999999</v>
      </c>
      <c r="V11" s="67">
        <v>120</v>
      </c>
      <c r="W11" s="68">
        <v>2.66188</v>
      </c>
      <c r="X11" s="75">
        <v>0.56808700000000001</v>
      </c>
      <c r="Y11" s="84">
        <f t="shared" si="6"/>
        <v>0.21341570619261574</v>
      </c>
      <c r="Z11" s="39">
        <f t="shared" si="7"/>
        <v>0.67580499999999999</v>
      </c>
      <c r="AA11">
        <v>1.4875499999999999</v>
      </c>
      <c r="AB11">
        <v>0.47</v>
      </c>
      <c r="AC11">
        <v>0.75862068965517238</v>
      </c>
    </row>
    <row r="12" spans="1:29">
      <c r="A12" s="51" t="s">
        <v>50</v>
      </c>
      <c r="B12" s="38">
        <v>-8.3017599999999996E-12</v>
      </c>
      <c r="C12" s="39">
        <f t="shared" si="2"/>
        <v>8.3017599999999998</v>
      </c>
      <c r="D12" s="38">
        <v>5.7037600000000003E-12</v>
      </c>
      <c r="E12" s="39">
        <v>0.68705431137493744</v>
      </c>
      <c r="F12" s="39">
        <f t="shared" si="8"/>
        <v>1.7499999999994742E-3</v>
      </c>
      <c r="G12" s="39">
        <v>0.16949152542372881</v>
      </c>
      <c r="H12" s="35">
        <v>2.2200000000000002</v>
      </c>
      <c r="I12">
        <v>0.490174</v>
      </c>
      <c r="J12" s="35">
        <f t="shared" si="3"/>
        <v>0.22079909909909909</v>
      </c>
      <c r="K12" s="39">
        <f t="shared" si="4"/>
        <v>2.4582500000000005</v>
      </c>
      <c r="L12" s="35">
        <v>1.42</v>
      </c>
      <c r="M12" s="35">
        <v>0.84</v>
      </c>
      <c r="N12" s="35">
        <v>0.99</v>
      </c>
      <c r="P12" s="36" t="s">
        <v>120</v>
      </c>
      <c r="Q12" s="2">
        <v>-60.9499</v>
      </c>
      <c r="R12" s="72">
        <f t="shared" si="5"/>
        <v>60.9499</v>
      </c>
      <c r="S12" s="66">
        <f t="shared" si="0"/>
        <v>10.359465162101758</v>
      </c>
      <c r="T12" s="2">
        <v>0.99683999999999995</v>
      </c>
      <c r="U12" s="39">
        <f t="shared" si="1"/>
        <v>32.4193</v>
      </c>
      <c r="V12" s="67">
        <v>108</v>
      </c>
      <c r="W12" s="68">
        <v>1.8789899999999999</v>
      </c>
      <c r="X12" s="75">
        <v>0.10215</v>
      </c>
      <c r="Y12" s="84">
        <f t="shared" si="6"/>
        <v>5.4364312742483996E-2</v>
      </c>
      <c r="Z12" s="39">
        <f t="shared" si="7"/>
        <v>0.1070850000000001</v>
      </c>
      <c r="AA12">
        <v>0.72890100000000002</v>
      </c>
      <c r="AB12">
        <v>1</v>
      </c>
      <c r="AC12">
        <v>1</v>
      </c>
    </row>
    <row r="13" spans="1:29">
      <c r="A13" s="51" t="s">
        <v>51</v>
      </c>
      <c r="B13" s="38">
        <v>-4.3067900000000001E-12</v>
      </c>
      <c r="C13" s="39">
        <f t="shared" si="2"/>
        <v>4.3067900000000003</v>
      </c>
      <c r="D13" s="38">
        <v>3.4581800000000001E-12</v>
      </c>
      <c r="E13" s="39">
        <v>0.80295997715235712</v>
      </c>
      <c r="F13" s="39">
        <f t="shared" si="8"/>
        <v>3.9967199999999989</v>
      </c>
      <c r="G13" s="39">
        <v>0.25641025641025639</v>
      </c>
      <c r="H13" s="35">
        <v>3.08</v>
      </c>
      <c r="I13">
        <v>0.77355399999999996</v>
      </c>
      <c r="J13" s="35">
        <f t="shared" si="3"/>
        <v>0.2511538961038961</v>
      </c>
      <c r="K13" s="39">
        <f t="shared" si="4"/>
        <v>1.536719999999999</v>
      </c>
      <c r="L13" s="35">
        <v>1.88</v>
      </c>
      <c r="M13" s="35">
        <v>0.74</v>
      </c>
      <c r="N13" s="35">
        <v>0.86</v>
      </c>
      <c r="P13" s="36" t="s">
        <v>121</v>
      </c>
      <c r="Q13" s="2">
        <v>-31.230799999999999</v>
      </c>
      <c r="R13" s="72">
        <f t="shared" si="5"/>
        <v>31.230799999999999</v>
      </c>
      <c r="S13" s="66">
        <f t="shared" si="0"/>
        <v>15.770688679623346</v>
      </c>
      <c r="T13" s="2">
        <v>1.3623799999999999</v>
      </c>
      <c r="U13" s="39">
        <f t="shared" si="1"/>
        <v>2.7001999999999988</v>
      </c>
      <c r="V13" s="67">
        <v>134</v>
      </c>
      <c r="W13" s="68">
        <v>2.5226299999999999</v>
      </c>
      <c r="X13" s="75">
        <v>0.52891100000000002</v>
      </c>
      <c r="Y13" s="84">
        <f t="shared" si="6"/>
        <v>0.20966649885238819</v>
      </c>
      <c r="Z13" s="39">
        <f t="shared" si="7"/>
        <v>0.53655499999999989</v>
      </c>
      <c r="AA13">
        <v>1.1146499999999999</v>
      </c>
      <c r="AB13">
        <v>0.82000000000000006</v>
      </c>
      <c r="AC13">
        <v>0.98684210526315785</v>
      </c>
    </row>
    <row r="14" spans="1:29">
      <c r="A14" s="51" t="s">
        <v>53</v>
      </c>
      <c r="B14" s="38">
        <v>-8.2045400000000001E-12</v>
      </c>
      <c r="C14" s="39">
        <f t="shared" si="2"/>
        <v>8.2045399999999997</v>
      </c>
      <c r="D14" s="38">
        <v>7.68428E-12</v>
      </c>
      <c r="E14" s="39">
        <v>0.93658876670721336</v>
      </c>
      <c r="F14" s="39">
        <f t="shared" si="8"/>
        <v>9.8969999999999558E-2</v>
      </c>
      <c r="G14" s="39">
        <v>0.23943661971830985</v>
      </c>
      <c r="H14" s="35">
        <v>2.4900000000000002</v>
      </c>
      <c r="I14">
        <v>0.475773</v>
      </c>
      <c r="J14" s="35">
        <f t="shared" si="3"/>
        <v>0.19107349397590359</v>
      </c>
      <c r="K14" s="39">
        <f t="shared" si="4"/>
        <v>2.3610300000000004</v>
      </c>
      <c r="L14" s="35">
        <v>2.2799999999999998</v>
      </c>
      <c r="M14" s="35">
        <v>0.75</v>
      </c>
      <c r="N14" s="35">
        <v>0.89999999999999991</v>
      </c>
      <c r="P14" s="36" t="s">
        <v>122</v>
      </c>
      <c r="Q14" s="2">
        <v>-41.7682</v>
      </c>
      <c r="R14" s="72">
        <f t="shared" si="5"/>
        <v>41.7682</v>
      </c>
      <c r="S14" s="66">
        <f t="shared" si="0"/>
        <v>9.6864654848978837</v>
      </c>
      <c r="T14" s="2">
        <v>0.95910300000000004</v>
      </c>
      <c r="U14" s="39">
        <f t="shared" si="1"/>
        <v>13.2376</v>
      </c>
      <c r="V14" s="67">
        <v>102</v>
      </c>
      <c r="W14" s="68">
        <v>2.1167500000000001</v>
      </c>
      <c r="X14" s="75">
        <v>0.144007</v>
      </c>
      <c r="Y14" s="84">
        <f t="shared" si="6"/>
        <v>6.8032124719499223E-2</v>
      </c>
      <c r="Z14" s="39">
        <f t="shared" si="7"/>
        <v>0.1306750000000001</v>
      </c>
      <c r="AA14">
        <v>0.83006100000000005</v>
      </c>
      <c r="AB14">
        <v>1</v>
      </c>
      <c r="AC14">
        <v>1</v>
      </c>
    </row>
    <row r="15" spans="1:29">
      <c r="A15" s="51" t="s">
        <v>54</v>
      </c>
      <c r="B15" s="38">
        <v>-5.71782E-12</v>
      </c>
      <c r="C15" s="39">
        <f t="shared" si="2"/>
        <v>5.7178199999999997</v>
      </c>
      <c r="D15" s="38">
        <v>4.0560600000000004E-12</v>
      </c>
      <c r="E15" s="39">
        <v>0.70937175357041682</v>
      </c>
      <c r="F15" s="39">
        <f t="shared" si="8"/>
        <v>2.5856899999999996</v>
      </c>
      <c r="G15" s="39">
        <v>0.15151515151515152</v>
      </c>
      <c r="H15" s="35">
        <v>2.2000000000000002</v>
      </c>
      <c r="I15">
        <v>0.627328</v>
      </c>
      <c r="J15" s="35">
        <f t="shared" si="3"/>
        <v>0.28514909090909091</v>
      </c>
      <c r="K15" s="39">
        <f t="shared" si="4"/>
        <v>0.12568999999999964</v>
      </c>
      <c r="L15" s="35">
        <v>1.32</v>
      </c>
      <c r="M15" s="35">
        <v>0.79999999999999993</v>
      </c>
      <c r="N15" s="35">
        <v>0.90999999999999992</v>
      </c>
      <c r="P15" s="36" t="s">
        <v>123</v>
      </c>
      <c r="Q15" s="2">
        <v>-18.89</v>
      </c>
      <c r="R15" s="72">
        <f t="shared" si="5"/>
        <v>18.89</v>
      </c>
      <c r="S15" s="66">
        <f t="shared" si="0"/>
        <v>8.4379727328665854</v>
      </c>
      <c r="T15" s="2">
        <v>0.90988999999999998</v>
      </c>
      <c r="U15" s="39">
        <f t="shared" si="1"/>
        <v>9.6405999999999992</v>
      </c>
      <c r="V15" s="67">
        <v>86</v>
      </c>
      <c r="W15" s="68">
        <v>1.8906799999999999</v>
      </c>
      <c r="X15" s="75">
        <v>0.47460599999999997</v>
      </c>
      <c r="Y15" s="84">
        <f t="shared" si="6"/>
        <v>0.25102397021177564</v>
      </c>
      <c r="Z15" s="39">
        <f t="shared" si="7"/>
        <v>9.5395000000000119E-2</v>
      </c>
      <c r="AA15">
        <v>0.95993799999999996</v>
      </c>
      <c r="AB15">
        <v>0.77</v>
      </c>
      <c r="AC15">
        <v>0.94594594594594594</v>
      </c>
    </row>
    <row r="16" spans="1:29">
      <c r="A16" s="51" t="s">
        <v>79</v>
      </c>
      <c r="B16" s="42">
        <v>-1.5252E-11</v>
      </c>
      <c r="C16" s="39">
        <f t="shared" si="2"/>
        <v>15.252000000000001</v>
      </c>
      <c r="D16" s="42">
        <v>4.9886200000000002E-12</v>
      </c>
      <c r="E16" s="39">
        <v>0.3270797272488854</v>
      </c>
      <c r="F16" s="39">
        <f t="shared" si="8"/>
        <v>6.9484900000000014</v>
      </c>
      <c r="G16" s="39">
        <v>1.8181818181818181E-2</v>
      </c>
      <c r="H16" s="35">
        <v>2.69</v>
      </c>
      <c r="I16">
        <v>0.33331</v>
      </c>
      <c r="J16" s="35">
        <f t="shared" si="3"/>
        <v>0.12390706319702602</v>
      </c>
      <c r="K16" s="39">
        <f t="shared" si="4"/>
        <v>4.4884900000000014</v>
      </c>
      <c r="L16" s="35">
        <v>0.71</v>
      </c>
      <c r="M16" s="35">
        <v>0.92</v>
      </c>
      <c r="N16" s="35">
        <v>0.95</v>
      </c>
      <c r="P16" s="63" t="s">
        <v>124</v>
      </c>
      <c r="Q16" s="69">
        <v>-87.77</v>
      </c>
      <c r="R16" s="72">
        <f t="shared" si="5"/>
        <v>87.77</v>
      </c>
      <c r="S16" s="66">
        <f t="shared" ref="S16:S26" si="9">T16*(SQRT(V16))</f>
        <v>37.161501584300922</v>
      </c>
      <c r="T16" s="69">
        <v>4.54</v>
      </c>
      <c r="U16" s="39">
        <f t="shared" si="1"/>
        <v>59.239399999999996</v>
      </c>
      <c r="V16" s="51">
        <v>67</v>
      </c>
      <c r="W16" s="68">
        <v>1.50789</v>
      </c>
      <c r="X16" s="75">
        <v>8.2275899999999999E-2</v>
      </c>
      <c r="Y16" s="84">
        <f t="shared" si="6"/>
        <v>5.4563595487734519E-2</v>
      </c>
      <c r="Z16" s="39">
        <f t="shared" si="7"/>
        <v>0.47818500000000008</v>
      </c>
      <c r="AA16">
        <v>0.77673400000000004</v>
      </c>
      <c r="AB16">
        <v>1</v>
      </c>
      <c r="AC16">
        <v>1</v>
      </c>
    </row>
    <row r="17" spans="1:29">
      <c r="A17" s="51" t="s">
        <v>86</v>
      </c>
      <c r="B17" s="42">
        <v>-3.7251399999999996E-12</v>
      </c>
      <c r="C17" s="39">
        <f t="shared" si="2"/>
        <v>3.7251399999999997</v>
      </c>
      <c r="D17" s="42">
        <v>3.7474599999999999E-12</v>
      </c>
      <c r="E17" s="39">
        <v>1.0059917211165219</v>
      </c>
      <c r="F17" s="39">
        <f t="shared" si="8"/>
        <v>4.5783699999999996</v>
      </c>
      <c r="G17" s="39">
        <v>0.31372549019607843</v>
      </c>
      <c r="H17" s="35">
        <v>3.11</v>
      </c>
      <c r="I17">
        <v>0.851051</v>
      </c>
      <c r="J17" s="35">
        <f t="shared" si="3"/>
        <v>0.27364983922829583</v>
      </c>
      <c r="K17" s="39">
        <f t="shared" si="4"/>
        <v>2.1183699999999996</v>
      </c>
      <c r="L17" s="35">
        <v>1.1200000000000001</v>
      </c>
      <c r="M17" s="35">
        <v>0.66999999999999993</v>
      </c>
      <c r="N17" s="35">
        <v>0.73</v>
      </c>
      <c r="P17" s="36" t="s">
        <v>125</v>
      </c>
      <c r="Q17" s="2">
        <v>-40.994</v>
      </c>
      <c r="R17" s="72">
        <f t="shared" si="5"/>
        <v>40.994</v>
      </c>
      <c r="S17" s="66">
        <f t="shared" si="9"/>
        <v>5.7141904236990557</v>
      </c>
      <c r="T17" s="2">
        <v>0.61617699999999997</v>
      </c>
      <c r="U17" s="39">
        <f t="shared" si="1"/>
        <v>12.4634</v>
      </c>
      <c r="V17" s="36">
        <v>86</v>
      </c>
      <c r="W17" s="68">
        <v>2.05321</v>
      </c>
      <c r="X17" s="75">
        <v>8.7323399999999995E-2</v>
      </c>
      <c r="Y17" s="84">
        <f t="shared" si="6"/>
        <v>4.2530184442896732E-2</v>
      </c>
      <c r="Z17" s="39">
        <f t="shared" si="7"/>
        <v>6.7134999999999945E-2</v>
      </c>
      <c r="AA17">
        <v>0.53516799999999998</v>
      </c>
      <c r="AB17">
        <v>1</v>
      </c>
      <c r="AC17">
        <v>1</v>
      </c>
    </row>
    <row r="18" spans="1:29">
      <c r="A18" s="51" t="s">
        <v>81</v>
      </c>
      <c r="B18" s="42">
        <v>-3.1246399999999998E-11</v>
      </c>
      <c r="C18" s="39">
        <f t="shared" si="2"/>
        <v>31.246399999999998</v>
      </c>
      <c r="D18" s="42">
        <v>1.17495E-11</v>
      </c>
      <c r="E18" s="39">
        <v>0.37602731834707359</v>
      </c>
      <c r="F18" s="39">
        <f t="shared" si="8"/>
        <v>22.942889999999998</v>
      </c>
      <c r="G18" s="39">
        <v>1.1363636363636364E-2</v>
      </c>
      <c r="H18" s="35">
        <v>2.38</v>
      </c>
      <c r="I18">
        <v>0.29875400000000002</v>
      </c>
      <c r="J18" s="35">
        <f t="shared" si="3"/>
        <v>0.12552689075630252</v>
      </c>
      <c r="K18" s="39">
        <f t="shared" si="4"/>
        <v>20.482889999999998</v>
      </c>
      <c r="L18" s="35">
        <v>1.2</v>
      </c>
      <c r="M18" s="35">
        <v>0.97</v>
      </c>
      <c r="N18" s="35">
        <v>1</v>
      </c>
      <c r="P18" s="51" t="s">
        <v>126</v>
      </c>
      <c r="Q18" s="69">
        <v>-28.64</v>
      </c>
      <c r="R18" s="72">
        <f t="shared" si="5"/>
        <v>28.64</v>
      </c>
      <c r="S18" s="66">
        <f t="shared" si="9"/>
        <v>14.105013293152192</v>
      </c>
      <c r="T18" s="69">
        <v>1.37</v>
      </c>
      <c r="U18" s="39">
        <f t="shared" si="1"/>
        <v>0.10940000000000083</v>
      </c>
      <c r="V18" s="51">
        <v>106</v>
      </c>
      <c r="W18" s="68">
        <v>1.73075</v>
      </c>
      <c r="X18" s="75">
        <v>0.27176600000000001</v>
      </c>
      <c r="Y18" s="84">
        <f t="shared" si="6"/>
        <v>0.15702210024555829</v>
      </c>
      <c r="Z18" s="39">
        <f t="shared" si="7"/>
        <v>0.25532500000000002</v>
      </c>
      <c r="AA18">
        <v>0.55271300000000001</v>
      </c>
      <c r="AB18">
        <v>0.83</v>
      </c>
      <c r="AC18">
        <v>0.85714285714285721</v>
      </c>
    </row>
    <row r="19" spans="1:29">
      <c r="A19" s="51" t="s">
        <v>83</v>
      </c>
      <c r="B19" s="42">
        <v>-5.1267900000000002E-12</v>
      </c>
      <c r="C19" s="39">
        <f t="shared" si="2"/>
        <v>5.1267900000000006</v>
      </c>
      <c r="D19" s="42">
        <v>4.3234900000000002E-12</v>
      </c>
      <c r="E19" s="39">
        <v>0.84331326229473025</v>
      </c>
      <c r="F19" s="39">
        <f t="shared" si="8"/>
        <v>3.1767199999999987</v>
      </c>
      <c r="G19" s="39">
        <v>0.20338983050847459</v>
      </c>
      <c r="H19" s="35">
        <v>5.29</v>
      </c>
      <c r="I19">
        <v>1.1365799999999999</v>
      </c>
      <c r="J19" s="35">
        <f t="shared" si="3"/>
        <v>0.21485444234404535</v>
      </c>
      <c r="K19" s="39">
        <f t="shared" si="4"/>
        <v>0.71671999999999869</v>
      </c>
      <c r="L19" s="35">
        <v>1.64</v>
      </c>
      <c r="M19" s="35">
        <v>0.84</v>
      </c>
      <c r="N19" s="35">
        <v>0.82</v>
      </c>
      <c r="P19" s="51" t="s">
        <v>127</v>
      </c>
      <c r="Q19" s="69">
        <v>-42.16</v>
      </c>
      <c r="R19" s="72">
        <f t="shared" si="5"/>
        <v>42.16</v>
      </c>
      <c r="S19" s="66">
        <f t="shared" si="9"/>
        <v>20.755237893119894</v>
      </c>
      <c r="T19" s="69">
        <v>1.97</v>
      </c>
      <c r="U19" s="39">
        <f t="shared" si="1"/>
        <v>13.629399999999997</v>
      </c>
      <c r="V19" s="51">
        <v>111</v>
      </c>
      <c r="W19" s="68">
        <v>1.96804</v>
      </c>
      <c r="X19" s="75">
        <v>0.28111000000000003</v>
      </c>
      <c r="Y19" s="84">
        <f t="shared" si="6"/>
        <v>0.1428375439523587</v>
      </c>
      <c r="Z19" s="39">
        <f t="shared" si="7"/>
        <v>1.8035000000000023E-2</v>
      </c>
      <c r="AA19">
        <v>0.72143199999999996</v>
      </c>
      <c r="AB19">
        <v>0.88</v>
      </c>
      <c r="AC19">
        <v>1</v>
      </c>
    </row>
    <row r="20" spans="1:29">
      <c r="A20" s="51" t="s">
        <v>84</v>
      </c>
      <c r="B20" s="42">
        <v>-1.1214099999999999E-11</v>
      </c>
      <c r="C20" s="39">
        <f t="shared" si="2"/>
        <v>11.214099999999998</v>
      </c>
      <c r="D20" s="42">
        <v>9.2180300000000001E-12</v>
      </c>
      <c r="E20" s="39">
        <v>0.82200354910336104</v>
      </c>
      <c r="F20" s="39">
        <f t="shared" si="8"/>
        <v>2.9105899999999991</v>
      </c>
      <c r="G20" s="39">
        <v>0.12676056338028169</v>
      </c>
      <c r="H20" s="35">
        <v>2.4900000000000002</v>
      </c>
      <c r="I20">
        <v>0.56832199999999999</v>
      </c>
      <c r="J20" s="35">
        <f t="shared" si="3"/>
        <v>0.22824176706827307</v>
      </c>
      <c r="K20" s="39">
        <f t="shared" si="4"/>
        <v>0.45058999999999916</v>
      </c>
      <c r="L20" s="35">
        <v>2.14</v>
      </c>
      <c r="M20" s="35">
        <v>0.86</v>
      </c>
      <c r="N20" s="35">
        <v>0.99</v>
      </c>
      <c r="P20" s="51" t="s">
        <v>128</v>
      </c>
      <c r="Q20" s="69">
        <v>-132.44</v>
      </c>
      <c r="R20" s="72">
        <f t="shared" si="5"/>
        <v>132.44</v>
      </c>
      <c r="S20" s="66">
        <f t="shared" si="9"/>
        <v>37.042408129062018</v>
      </c>
      <c r="T20" s="69">
        <v>3.3</v>
      </c>
      <c r="U20" s="39">
        <f t="shared" si="1"/>
        <v>103.90940000000001</v>
      </c>
      <c r="V20" s="51">
        <v>126</v>
      </c>
      <c r="W20" s="68">
        <v>1.8259300000000001</v>
      </c>
      <c r="X20" s="75">
        <v>0.13792099999999999</v>
      </c>
      <c r="Y20" s="84">
        <f t="shared" si="6"/>
        <v>7.5534659050456476E-2</v>
      </c>
      <c r="Z20" s="39">
        <f t="shared" si="7"/>
        <v>0.16014499999999998</v>
      </c>
      <c r="AA20">
        <v>0.53723699999999996</v>
      </c>
      <c r="AB20">
        <v>1</v>
      </c>
      <c r="AC20">
        <v>0.97142857142857142</v>
      </c>
    </row>
    <row r="21" spans="1:29">
      <c r="A21" s="51" t="s">
        <v>76</v>
      </c>
      <c r="B21" s="38">
        <v>-9.4419299999999995E-12</v>
      </c>
      <c r="C21" s="39">
        <f t="shared" si="2"/>
        <v>9.4419299999999993</v>
      </c>
      <c r="D21" s="38">
        <v>5.7542300000000002E-12</v>
      </c>
      <c r="E21" s="39">
        <v>0.60943366451562342</v>
      </c>
      <c r="F21" s="39">
        <f t="shared" si="8"/>
        <v>1.13842</v>
      </c>
      <c r="G21" s="39">
        <v>0.13432835820895522</v>
      </c>
      <c r="H21" s="35">
        <v>2.13</v>
      </c>
      <c r="I21">
        <v>0.48287799999999997</v>
      </c>
      <c r="J21" s="35">
        <f t="shared" si="3"/>
        <v>0.22670328638497653</v>
      </c>
      <c r="K21" s="39">
        <f t="shared" si="4"/>
        <v>1.32158</v>
      </c>
      <c r="L21" s="35">
        <v>1.1200000000000001</v>
      </c>
      <c r="M21" s="35">
        <v>0.89</v>
      </c>
      <c r="N21" s="35">
        <v>0.97</v>
      </c>
      <c r="P21" s="51" t="s">
        <v>129</v>
      </c>
      <c r="Q21" s="69">
        <v>-19.695799999999998</v>
      </c>
      <c r="R21" s="72">
        <f t="shared" si="5"/>
        <v>19.695799999999998</v>
      </c>
      <c r="S21" s="66">
        <f t="shared" si="9"/>
        <v>7.106109957980526</v>
      </c>
      <c r="T21" s="69">
        <v>0.67754099999999995</v>
      </c>
      <c r="U21" s="39">
        <f t="shared" si="1"/>
        <v>8.8348000000000013</v>
      </c>
      <c r="V21" s="51">
        <v>110</v>
      </c>
      <c r="W21" s="68">
        <v>2.0963799999999999</v>
      </c>
      <c r="X21" s="75">
        <v>0.21829000000000001</v>
      </c>
      <c r="Y21" s="84">
        <f t="shared" si="6"/>
        <v>0.10412711435903797</v>
      </c>
      <c r="Z21" s="39">
        <f t="shared" si="7"/>
        <v>0.11030499999999988</v>
      </c>
      <c r="AA21">
        <v>0.84768900000000003</v>
      </c>
      <c r="AB21">
        <v>0.8</v>
      </c>
      <c r="AC21">
        <v>0.94736842105263164</v>
      </c>
    </row>
    <row r="22" spans="1:29">
      <c r="A22" s="51" t="s">
        <v>89</v>
      </c>
      <c r="B22" s="46">
        <v>-1.82132E-11</v>
      </c>
      <c r="C22" s="39">
        <f t="shared" si="2"/>
        <v>18.213200000000001</v>
      </c>
      <c r="D22" s="46">
        <v>6.6836799999999996E-12</v>
      </c>
      <c r="E22" s="39">
        <v>0.36696901148617483</v>
      </c>
      <c r="F22" s="39">
        <f t="shared" si="8"/>
        <v>9.9096900000000012</v>
      </c>
      <c r="G22" s="39">
        <v>2.5974025974025976E-2</v>
      </c>
      <c r="H22" s="35">
        <v>4.4400000000000004</v>
      </c>
      <c r="I22">
        <v>0.58083700000000005</v>
      </c>
      <c r="J22" s="35">
        <f t="shared" si="3"/>
        <v>0.13081914414414414</v>
      </c>
      <c r="K22" s="39">
        <f t="shared" si="4"/>
        <v>7.4496900000000013</v>
      </c>
      <c r="L22" s="35">
        <v>0.9</v>
      </c>
      <c r="M22" s="35">
        <v>1</v>
      </c>
      <c r="N22" s="35">
        <v>1</v>
      </c>
      <c r="P22" s="51" t="s">
        <v>130</v>
      </c>
      <c r="Q22" s="69">
        <v>-24.69</v>
      </c>
      <c r="R22" s="72">
        <f t="shared" si="5"/>
        <v>24.69</v>
      </c>
      <c r="S22" s="66">
        <f t="shared" si="9"/>
        <v>7.6176395731223732</v>
      </c>
      <c r="T22" s="69">
        <v>0.56006</v>
      </c>
      <c r="U22" s="39">
        <f t="shared" si="1"/>
        <v>3.8405999999999985</v>
      </c>
      <c r="V22" s="51">
        <v>185</v>
      </c>
      <c r="W22" s="68">
        <v>2.0793699999999999</v>
      </c>
      <c r="X22" s="75">
        <v>0.30430099999999999</v>
      </c>
      <c r="Y22" s="84">
        <f t="shared" si="6"/>
        <v>0.14634288270004858</v>
      </c>
      <c r="Z22" s="39">
        <f t="shared" si="7"/>
        <v>9.3294999999999906E-2</v>
      </c>
      <c r="AA22">
        <v>0.73285699999999998</v>
      </c>
      <c r="AB22">
        <v>0.96199999999999997</v>
      </c>
      <c r="AC22">
        <v>0.91666666666666663</v>
      </c>
    </row>
    <row r="23" spans="1:29">
      <c r="A23" s="51" t="s">
        <v>92</v>
      </c>
      <c r="B23" s="38">
        <v>-5.9102000000000004E-12</v>
      </c>
      <c r="C23" s="39">
        <f t="shared" si="2"/>
        <v>5.9102000000000006</v>
      </c>
      <c r="D23" s="38">
        <v>5.8837399999999997E-12</v>
      </c>
      <c r="E23" s="39">
        <v>0.9955229941457141</v>
      </c>
      <c r="F23" s="39">
        <f t="shared" si="8"/>
        <v>2.3933099999999987</v>
      </c>
      <c r="G23" s="39">
        <v>0.30434782608695654</v>
      </c>
      <c r="H23" s="35">
        <v>2.35</v>
      </c>
      <c r="I23">
        <v>0.809199</v>
      </c>
      <c r="J23" s="35">
        <f t="shared" si="3"/>
        <v>0.34433999999999998</v>
      </c>
      <c r="K23" s="39">
        <f t="shared" si="4"/>
        <v>6.6690000000001248E-2</v>
      </c>
      <c r="L23" s="35">
        <v>1.99</v>
      </c>
      <c r="M23" s="35">
        <v>0.71</v>
      </c>
      <c r="N23" s="35">
        <v>0.96</v>
      </c>
      <c r="P23" s="36" t="s">
        <v>131</v>
      </c>
      <c r="Q23" s="2">
        <v>-18.143599999999999</v>
      </c>
      <c r="R23" s="72">
        <f t="shared" si="5"/>
        <v>18.143599999999999</v>
      </c>
      <c r="S23" s="66">
        <f t="shared" si="9"/>
        <v>10.011163500228333</v>
      </c>
      <c r="T23" s="2">
        <v>0.99614800000000003</v>
      </c>
      <c r="U23" s="39">
        <f t="shared" si="1"/>
        <v>10.387</v>
      </c>
      <c r="V23" s="36">
        <v>101</v>
      </c>
      <c r="W23" s="68">
        <v>2.2225100000000002</v>
      </c>
      <c r="X23" s="75">
        <v>0.275505</v>
      </c>
      <c r="Y23" s="84">
        <f t="shared" si="6"/>
        <v>0.12396119702498526</v>
      </c>
      <c r="Z23" s="39">
        <f t="shared" si="7"/>
        <v>0.23643500000000017</v>
      </c>
      <c r="AA23">
        <v>0.91925599999999996</v>
      </c>
      <c r="AB23">
        <v>0.7</v>
      </c>
      <c r="AC23">
        <v>0.90476190476190477</v>
      </c>
    </row>
    <row r="24" spans="1:29">
      <c r="A24" s="51" t="s">
        <v>94</v>
      </c>
      <c r="B24" s="42">
        <v>-8.49688E-12</v>
      </c>
      <c r="C24" s="39">
        <f t="shared" si="2"/>
        <v>8.4968800000000009</v>
      </c>
      <c r="D24" s="42">
        <v>5.3965600000000002E-12</v>
      </c>
      <c r="E24" s="39">
        <v>0.6351225390967038</v>
      </c>
      <c r="F24" s="39">
        <f t="shared" si="8"/>
        <v>0.1933700000000016</v>
      </c>
      <c r="G24" s="39">
        <v>6.9767441860465115E-2</v>
      </c>
      <c r="H24" s="35">
        <v>2.86</v>
      </c>
      <c r="I24">
        <v>0.93182699999999996</v>
      </c>
      <c r="J24" s="35">
        <f t="shared" si="3"/>
        <v>0.32581363636363636</v>
      </c>
      <c r="K24" s="39">
        <f t="shared" si="4"/>
        <v>2.2666299999999984</v>
      </c>
      <c r="L24" s="35">
        <v>0.85</v>
      </c>
      <c r="M24" s="35">
        <v>0.75</v>
      </c>
      <c r="N24" s="35">
        <v>1</v>
      </c>
      <c r="P24" s="36" t="s">
        <v>132</v>
      </c>
      <c r="Q24" s="2">
        <v>-27.12</v>
      </c>
      <c r="R24" s="72">
        <f t="shared" si="5"/>
        <v>27.12</v>
      </c>
      <c r="S24" s="66">
        <f t="shared" si="9"/>
        <v>18.366229879863749</v>
      </c>
      <c r="T24" s="2">
        <v>1.52</v>
      </c>
      <c r="U24" s="39">
        <f t="shared" si="1"/>
        <v>1.4105999999999987</v>
      </c>
      <c r="V24" s="36">
        <v>146</v>
      </c>
      <c r="W24" s="68">
        <v>1.3017000000000001</v>
      </c>
      <c r="X24" s="75">
        <v>0.152588</v>
      </c>
      <c r="Y24" s="84">
        <f t="shared" si="6"/>
        <v>0.11722209418452792</v>
      </c>
      <c r="Z24" s="39">
        <f t="shared" si="7"/>
        <v>0.68437499999999996</v>
      </c>
      <c r="AA24">
        <v>0.90295099999999995</v>
      </c>
      <c r="AB24">
        <v>0.71</v>
      </c>
      <c r="AC24">
        <v>0.81818181818181812</v>
      </c>
    </row>
    <row r="25" spans="1:29">
      <c r="A25" s="51" t="s">
        <v>96</v>
      </c>
      <c r="B25" s="42">
        <v>-3.6024400000000001E-12</v>
      </c>
      <c r="C25" s="39">
        <f t="shared" si="2"/>
        <v>3.6024400000000001</v>
      </c>
      <c r="D25" s="42">
        <v>3.9345600000000001E-12</v>
      </c>
      <c r="E25" s="39">
        <v>1.0921930691420259</v>
      </c>
      <c r="F25" s="39">
        <f t="shared" si="8"/>
        <v>4.7010699999999996</v>
      </c>
      <c r="G25" s="39">
        <v>0.3595505617977528</v>
      </c>
      <c r="H25" s="35">
        <v>2.61</v>
      </c>
      <c r="I25">
        <v>1.08832</v>
      </c>
      <c r="J25" s="35">
        <f t="shared" si="3"/>
        <v>0.41698084291187737</v>
      </c>
      <c r="K25" s="39">
        <f t="shared" si="4"/>
        <v>2.2410699999999997</v>
      </c>
      <c r="L25" s="35">
        <v>1.99</v>
      </c>
      <c r="M25" s="35">
        <v>0.73</v>
      </c>
      <c r="N25" s="35">
        <v>0.78</v>
      </c>
      <c r="P25" s="36" t="s">
        <v>133</v>
      </c>
      <c r="Q25" s="2">
        <v>-133.37</v>
      </c>
      <c r="R25" s="72">
        <f t="shared" si="5"/>
        <v>133.37</v>
      </c>
      <c r="S25" s="66">
        <f t="shared" si="9"/>
        <v>24.99276495308192</v>
      </c>
      <c r="T25" s="2">
        <v>2.09</v>
      </c>
      <c r="U25" s="39">
        <f t="shared" si="1"/>
        <v>104.83940000000001</v>
      </c>
      <c r="V25" s="36">
        <v>143</v>
      </c>
      <c r="W25" s="68">
        <v>1.2579899999999999</v>
      </c>
      <c r="X25" s="75">
        <v>5.4270699999999998E-2</v>
      </c>
      <c r="Y25" s="84">
        <f t="shared" si="6"/>
        <v>4.3140803980953747E-2</v>
      </c>
      <c r="Z25" s="39">
        <f t="shared" si="7"/>
        <v>0.72808500000000009</v>
      </c>
      <c r="AA25">
        <v>0.85636299999999999</v>
      </c>
      <c r="AB25">
        <v>1</v>
      </c>
      <c r="AC25">
        <v>1</v>
      </c>
    </row>
    <row r="26" spans="1:29">
      <c r="A26" s="51" t="s">
        <v>97</v>
      </c>
      <c r="B26" s="42">
        <v>-1.31719E-11</v>
      </c>
      <c r="C26" s="39">
        <f t="shared" si="2"/>
        <v>13.171899999999999</v>
      </c>
      <c r="D26" s="42">
        <v>1.03726E-11</v>
      </c>
      <c r="E26" s="39">
        <v>0.7874794069192752</v>
      </c>
      <c r="F26" s="39">
        <f t="shared" si="8"/>
        <v>4.8683899999999998</v>
      </c>
      <c r="G26" s="39">
        <v>0.2</v>
      </c>
      <c r="H26" s="35">
        <v>2.9</v>
      </c>
      <c r="I26">
        <v>0.529976</v>
      </c>
      <c r="J26" s="35">
        <f t="shared" si="3"/>
        <v>0.1827503448275862</v>
      </c>
      <c r="K26" s="39">
        <f t="shared" si="4"/>
        <v>2.4083899999999998</v>
      </c>
      <c r="L26" s="35">
        <v>1.21</v>
      </c>
      <c r="M26" s="35">
        <v>0.81</v>
      </c>
      <c r="N26" s="35">
        <v>0.92999999999999994</v>
      </c>
      <c r="P26" s="36" t="s">
        <v>134</v>
      </c>
      <c r="Q26" s="2">
        <v>-19.52</v>
      </c>
      <c r="R26" s="72">
        <f t="shared" si="5"/>
        <v>19.52</v>
      </c>
      <c r="S26" s="66">
        <f t="shared" si="9"/>
        <v>7.3110041234292833</v>
      </c>
      <c r="T26" s="2">
        <v>0.74231999999999998</v>
      </c>
      <c r="U26" s="39">
        <f t="shared" si="1"/>
        <v>9.0106000000000002</v>
      </c>
      <c r="V26" s="36">
        <v>97</v>
      </c>
      <c r="W26" s="68">
        <v>1.9128799999999999</v>
      </c>
      <c r="X26" s="75">
        <v>0.26851199999999997</v>
      </c>
      <c r="Y26" s="84">
        <f t="shared" si="6"/>
        <v>0.14037054075530089</v>
      </c>
      <c r="Z26" s="39">
        <f t="shared" si="7"/>
        <v>7.3195000000000121E-2</v>
      </c>
      <c r="AA26">
        <v>0.923821</v>
      </c>
      <c r="AB26">
        <v>0.83</v>
      </c>
      <c r="AC26">
        <v>0.9375</v>
      </c>
    </row>
    <row r="27" spans="1:29">
      <c r="A27" s="51" t="s">
        <v>60</v>
      </c>
      <c r="B27" s="35">
        <f xml:space="preserve"> -0.00000000000830351</f>
        <v>-8.30351E-12</v>
      </c>
      <c r="C27" s="39">
        <f t="shared" si="2"/>
        <v>8.3035099999999993</v>
      </c>
      <c r="D27" s="38">
        <v>5.9172699999999999E-12</v>
      </c>
      <c r="E27" s="39">
        <v>0.71262273424130274</v>
      </c>
      <c r="F27" s="39">
        <f t="shared" si="8"/>
        <v>0</v>
      </c>
      <c r="G27" s="39">
        <v>0.16417910447761194</v>
      </c>
      <c r="H27" s="35">
        <v>2.23</v>
      </c>
      <c r="I27">
        <v>0.54834300000000002</v>
      </c>
      <c r="J27" s="35">
        <f t="shared" si="3"/>
        <v>0.24589372197309417</v>
      </c>
      <c r="K27" s="39">
        <f t="shared" si="4"/>
        <v>2.46</v>
      </c>
      <c r="L27" s="35">
        <v>1.42</v>
      </c>
      <c r="M27" s="35">
        <v>0.86</v>
      </c>
      <c r="N27" s="35">
        <v>0.91</v>
      </c>
      <c r="P27" s="25" t="s">
        <v>135</v>
      </c>
      <c r="Q27" s="69">
        <v>-64.332000000000008</v>
      </c>
      <c r="R27" s="72">
        <f t="shared" si="5"/>
        <v>64.332000000000008</v>
      </c>
      <c r="S27" s="71">
        <v>16.2194</v>
      </c>
      <c r="T27" s="69">
        <v>2.6311400000000003</v>
      </c>
      <c r="U27" s="39">
        <f t="shared" si="1"/>
        <v>35.801400000000008</v>
      </c>
      <c r="V27" s="51">
        <v>38</v>
      </c>
      <c r="W27" s="72">
        <v>2.74</v>
      </c>
      <c r="X27" s="70">
        <v>0.17363100000000001</v>
      </c>
      <c r="Y27" s="84">
        <f t="shared" si="6"/>
        <v>6.3368978102189777E-2</v>
      </c>
      <c r="Z27" s="39">
        <f t="shared" si="7"/>
        <v>0.75392500000000018</v>
      </c>
      <c r="AA27">
        <v>0.73</v>
      </c>
      <c r="AB27">
        <v>1</v>
      </c>
      <c r="AC27">
        <v>1</v>
      </c>
    </row>
    <row r="28" spans="1:29">
      <c r="A28" s="51" t="s">
        <v>61</v>
      </c>
      <c r="B28" s="38">
        <v>-1.3631900000000001E-11</v>
      </c>
      <c r="C28" s="39">
        <f t="shared" si="2"/>
        <v>13.6319</v>
      </c>
      <c r="D28" s="38">
        <v>7.64399E-12</v>
      </c>
      <c r="E28" s="39">
        <v>0.56074281648192836</v>
      </c>
      <c r="F28" s="39">
        <f t="shared" si="8"/>
        <v>5.3283900000000006</v>
      </c>
      <c r="G28" s="37">
        <v>9.3023255813953487E-2</v>
      </c>
      <c r="H28" s="35">
        <v>1.94</v>
      </c>
      <c r="I28">
        <v>0.90899300000000005</v>
      </c>
      <c r="J28" s="35">
        <f t="shared" si="3"/>
        <v>0.46855309278350521</v>
      </c>
      <c r="K28" s="39">
        <f t="shared" si="4"/>
        <v>2.8683900000000007</v>
      </c>
      <c r="L28" s="35">
        <v>1.03</v>
      </c>
      <c r="M28" s="35">
        <v>0.84000000000000008</v>
      </c>
      <c r="N28" s="35">
        <v>0.86</v>
      </c>
      <c r="P28" s="25" t="s">
        <v>136</v>
      </c>
      <c r="Q28" s="69">
        <v>-52.635899999999999</v>
      </c>
      <c r="R28" s="72">
        <f t="shared" si="5"/>
        <v>52.635899999999999</v>
      </c>
      <c r="S28" s="71">
        <v>13.779800000000002</v>
      </c>
      <c r="T28" s="69">
        <v>2.8732900000000003</v>
      </c>
      <c r="U28" s="39">
        <f t="shared" si="1"/>
        <v>24.1053</v>
      </c>
      <c r="V28" s="51">
        <v>23</v>
      </c>
      <c r="W28" s="72">
        <v>2.64</v>
      </c>
      <c r="X28" s="73">
        <v>0.13256200000000001</v>
      </c>
      <c r="Y28" s="84">
        <f t="shared" si="6"/>
        <v>5.0212878787878792E-2</v>
      </c>
      <c r="Z28" s="39">
        <f t="shared" si="7"/>
        <v>0.65392500000000009</v>
      </c>
      <c r="AA28">
        <v>0.69</v>
      </c>
      <c r="AB28">
        <v>1</v>
      </c>
      <c r="AC28">
        <v>1</v>
      </c>
    </row>
    <row r="29" spans="1:29">
      <c r="A29" s="51" t="s">
        <v>78</v>
      </c>
      <c r="B29" s="38">
        <v>-1.7904099999999999E-11</v>
      </c>
      <c r="C29" s="39">
        <f t="shared" si="2"/>
        <v>17.9041</v>
      </c>
      <c r="D29" s="38">
        <v>6.85786E-12</v>
      </c>
      <c r="E29" s="39">
        <v>0.38303293658994308</v>
      </c>
      <c r="F29" s="39">
        <f t="shared" si="8"/>
        <v>9.6005900000000004</v>
      </c>
      <c r="G29" s="37">
        <v>3.8461538461538464E-2</v>
      </c>
      <c r="H29" s="35">
        <v>2.14</v>
      </c>
      <c r="I29">
        <v>0.595503</v>
      </c>
      <c r="J29" s="35">
        <f t="shared" si="3"/>
        <v>0.27827242990654205</v>
      </c>
      <c r="K29" s="39">
        <f t="shared" si="4"/>
        <v>7.1405900000000004</v>
      </c>
      <c r="L29" s="35">
        <v>1</v>
      </c>
      <c r="M29" s="35">
        <v>0.94000000000000006</v>
      </c>
      <c r="N29" s="35">
        <v>0.98</v>
      </c>
      <c r="P29" s="25" t="s">
        <v>137</v>
      </c>
      <c r="Q29" s="69">
        <v>-27.964200000000002</v>
      </c>
      <c r="R29" s="72">
        <f t="shared" si="5"/>
        <v>27.964200000000002</v>
      </c>
      <c r="S29" s="71">
        <v>13.0091</v>
      </c>
      <c r="T29" s="69">
        <v>2.37513</v>
      </c>
      <c r="U29" s="39">
        <f t="shared" si="1"/>
        <v>0.56639999999999802</v>
      </c>
      <c r="V29" s="51">
        <v>30</v>
      </c>
      <c r="W29" s="72">
        <v>1.19</v>
      </c>
      <c r="X29" s="70">
        <v>0.23142599999999999</v>
      </c>
      <c r="Y29" s="84">
        <f t="shared" si="6"/>
        <v>0.19447563025210085</v>
      </c>
      <c r="Z29" s="39">
        <f t="shared" si="7"/>
        <v>0.79607500000000009</v>
      </c>
      <c r="AA29">
        <v>0.98</v>
      </c>
      <c r="AB29">
        <v>1</v>
      </c>
      <c r="AC29">
        <v>1</v>
      </c>
    </row>
    <row r="30" spans="1:29">
      <c r="A30" s="51" t="s">
        <v>80</v>
      </c>
      <c r="B30" s="38">
        <v>-2.9136399999999999E-11</v>
      </c>
      <c r="C30" s="39">
        <f t="shared" si="2"/>
        <v>29.136399999999998</v>
      </c>
      <c r="D30" s="38">
        <v>9.1775099999999997E-12</v>
      </c>
      <c r="E30" s="39">
        <v>0.31498434947351078</v>
      </c>
      <c r="F30" s="39">
        <f t="shared" si="8"/>
        <v>20.832889999999999</v>
      </c>
      <c r="G30" s="37">
        <v>1.5151515151515152E-2</v>
      </c>
      <c r="H30" s="35">
        <v>2.4700000000000002</v>
      </c>
      <c r="I30">
        <v>0.223603</v>
      </c>
      <c r="J30" s="35">
        <f t="shared" si="3"/>
        <v>9.0527530364372458E-2</v>
      </c>
      <c r="K30" s="39">
        <f t="shared" si="4"/>
        <v>18.372889999999998</v>
      </c>
      <c r="L30" s="35">
        <v>0.98</v>
      </c>
      <c r="M30" s="35">
        <v>0.92</v>
      </c>
      <c r="N30" s="35">
        <v>0.97</v>
      </c>
      <c r="P30" s="25" t="s">
        <v>138</v>
      </c>
      <c r="Q30" s="69">
        <v>-18.428999999999998</v>
      </c>
      <c r="R30" s="72">
        <f t="shared" si="5"/>
        <v>18.428999999999998</v>
      </c>
      <c r="S30" s="71">
        <v>7.0570300000000001</v>
      </c>
      <c r="T30" s="69">
        <v>1.07619</v>
      </c>
      <c r="U30" s="39">
        <f t="shared" si="1"/>
        <v>10.101600000000001</v>
      </c>
      <c r="V30" s="51">
        <v>43</v>
      </c>
      <c r="W30" s="72">
        <v>1.67</v>
      </c>
      <c r="X30" s="70">
        <v>0.337899</v>
      </c>
      <c r="Y30" s="84">
        <f t="shared" si="6"/>
        <v>0.20233473053892218</v>
      </c>
      <c r="Z30" s="39">
        <f t="shared" si="7"/>
        <v>0.31607500000000011</v>
      </c>
      <c r="AA30">
        <v>1</v>
      </c>
      <c r="AB30">
        <v>1</v>
      </c>
      <c r="AC30">
        <v>1</v>
      </c>
    </row>
    <row r="31" spans="1:29">
      <c r="A31" s="51" t="s">
        <v>74</v>
      </c>
      <c r="B31" s="38">
        <v>-5.2328500000000002E-11</v>
      </c>
      <c r="C31" s="39">
        <f t="shared" si="2"/>
        <v>52.328500000000005</v>
      </c>
      <c r="D31" s="38">
        <v>1.46395E-11</v>
      </c>
      <c r="E31" s="39">
        <v>0.27976150663596316</v>
      </c>
      <c r="F31" s="39">
        <f t="shared" si="8"/>
        <v>44.024990000000003</v>
      </c>
      <c r="G31" s="37">
        <v>0</v>
      </c>
      <c r="H31" s="35">
        <v>1.63</v>
      </c>
      <c r="I31">
        <v>9.1860499999999998E-2</v>
      </c>
      <c r="J31" s="35">
        <f t="shared" si="3"/>
        <v>5.6356134969325157E-2</v>
      </c>
      <c r="K31" s="39">
        <f t="shared" si="4"/>
        <v>41.564990000000002</v>
      </c>
      <c r="L31" s="35">
        <v>0.94</v>
      </c>
      <c r="M31" s="35">
        <v>0.99</v>
      </c>
      <c r="N31" s="35">
        <v>1</v>
      </c>
      <c r="P31" s="25" t="s">
        <v>139</v>
      </c>
      <c r="Q31" s="2">
        <v>-211.07599999999999</v>
      </c>
      <c r="R31" s="72">
        <f t="shared" si="5"/>
        <v>211.07599999999999</v>
      </c>
      <c r="S31" s="71">
        <v>66.475399999999993</v>
      </c>
      <c r="T31" s="2">
        <v>6.5500100000000003</v>
      </c>
      <c r="U31" s="39">
        <f t="shared" si="1"/>
        <v>182.5454</v>
      </c>
      <c r="V31" s="74">
        <v>103</v>
      </c>
      <c r="W31" s="72">
        <v>1.1299999999999999</v>
      </c>
      <c r="X31" s="75">
        <v>6.6078999999999999E-2</v>
      </c>
      <c r="Y31" s="84">
        <f t="shared" si="6"/>
        <v>5.8476991150442484E-2</v>
      </c>
      <c r="Z31" s="39">
        <f t="shared" si="7"/>
        <v>0.85607500000000014</v>
      </c>
      <c r="AA31">
        <v>0.69</v>
      </c>
      <c r="AB31">
        <v>1</v>
      </c>
      <c r="AC31">
        <v>1</v>
      </c>
    </row>
    <row r="32" spans="1:29">
      <c r="A32" s="51" t="s">
        <v>77</v>
      </c>
      <c r="B32" s="42">
        <v>-1.34691E-11</v>
      </c>
      <c r="C32" s="39">
        <f t="shared" si="2"/>
        <v>13.469100000000001</v>
      </c>
      <c r="D32" s="42">
        <v>7.2217899999999997E-12</v>
      </c>
      <c r="E32" s="39">
        <v>0.53617465160998135</v>
      </c>
      <c r="F32" s="39">
        <f t="shared" si="8"/>
        <v>5.1655900000000017</v>
      </c>
      <c r="G32" s="37">
        <v>8.5714285714285715E-2</v>
      </c>
      <c r="H32" s="35">
        <v>3.23</v>
      </c>
      <c r="I32">
        <v>0.61608399999999996</v>
      </c>
      <c r="J32" s="35">
        <f t="shared" si="3"/>
        <v>0.19073808049535604</v>
      </c>
      <c r="K32" s="39">
        <f t="shared" si="4"/>
        <v>2.7055900000000017</v>
      </c>
      <c r="L32" s="35">
        <v>1.3</v>
      </c>
      <c r="M32" s="35">
        <v>0.91999999999999993</v>
      </c>
      <c r="N32" s="35">
        <v>0.94</v>
      </c>
      <c r="P32" s="25" t="s">
        <v>140</v>
      </c>
      <c r="Q32" s="36">
        <v>-5.1153300000000002</v>
      </c>
      <c r="R32" s="72">
        <f t="shared" si="5"/>
        <v>5.1153300000000002</v>
      </c>
      <c r="S32" s="36">
        <v>7.0086300000000001</v>
      </c>
      <c r="T32" s="36">
        <v>0.83177099999999993</v>
      </c>
      <c r="U32" s="39">
        <f t="shared" si="1"/>
        <v>23.41527</v>
      </c>
      <c r="V32" s="36">
        <v>71</v>
      </c>
      <c r="W32" s="36">
        <v>1.61</v>
      </c>
      <c r="X32" s="36">
        <v>0.432672</v>
      </c>
      <c r="Y32" s="84">
        <f t="shared" si="6"/>
        <v>0.26874037267080741</v>
      </c>
      <c r="Z32" s="39">
        <f t="shared" si="7"/>
        <v>0.37607499999999994</v>
      </c>
      <c r="AA32">
        <v>1.27</v>
      </c>
      <c r="AB32">
        <v>0.57746478873239437</v>
      </c>
      <c r="AC32">
        <v>0.54</v>
      </c>
    </row>
    <row r="33" spans="1:29">
      <c r="A33" s="51" t="s">
        <v>82</v>
      </c>
      <c r="B33" s="42">
        <v>-5.3034199999999996E-12</v>
      </c>
      <c r="C33" s="39">
        <f t="shared" si="2"/>
        <v>5.30342</v>
      </c>
      <c r="D33" s="42">
        <v>4.4535399999999996E-12</v>
      </c>
      <c r="E33" s="39">
        <v>0.83974869046766043</v>
      </c>
      <c r="F33" s="39">
        <f t="shared" si="8"/>
        <v>3.0000899999999993</v>
      </c>
      <c r="G33" s="37">
        <v>0.22388059701492538</v>
      </c>
      <c r="H33" s="35">
        <v>2.46</v>
      </c>
      <c r="I33">
        <v>0.56023000000000001</v>
      </c>
      <c r="J33" s="35">
        <f t="shared" si="3"/>
        <v>0.22773577235772358</v>
      </c>
      <c r="K33" s="39">
        <f t="shared" si="4"/>
        <v>0.54008999999999929</v>
      </c>
      <c r="L33" s="35">
        <v>0.59</v>
      </c>
      <c r="M33" s="35">
        <v>0.78</v>
      </c>
      <c r="N33" s="35">
        <v>0.57999999999999996</v>
      </c>
      <c r="P33" s="36" t="s">
        <v>141</v>
      </c>
      <c r="Q33" s="36">
        <v>-6.0322700000000005</v>
      </c>
      <c r="R33" s="72">
        <f t="shared" si="5"/>
        <v>6.0322700000000005</v>
      </c>
      <c r="S33" s="36">
        <v>4.33758</v>
      </c>
      <c r="T33" s="36">
        <v>0.70364899999999997</v>
      </c>
      <c r="U33" s="39">
        <f t="shared" si="1"/>
        <v>22.498329999999999</v>
      </c>
      <c r="V33" s="36">
        <v>38</v>
      </c>
      <c r="W33" s="36">
        <v>1.59</v>
      </c>
      <c r="X33" s="36">
        <v>0.48530400000000001</v>
      </c>
      <c r="Y33" s="84">
        <f t="shared" si="6"/>
        <v>0.30522264150943396</v>
      </c>
      <c r="Z33" s="39">
        <f t="shared" si="7"/>
        <v>0.39607499999999995</v>
      </c>
      <c r="AA33">
        <v>0.99</v>
      </c>
      <c r="AB33">
        <v>0.86842105263157898</v>
      </c>
      <c r="AC33">
        <v>0.88</v>
      </c>
    </row>
    <row r="34" spans="1:29">
      <c r="A34" s="51" t="s">
        <v>85</v>
      </c>
      <c r="B34" s="42">
        <v>-1.56571E-11</v>
      </c>
      <c r="C34" s="39">
        <f t="shared" si="2"/>
        <v>15.6571</v>
      </c>
      <c r="D34" s="42">
        <v>7.2005199999999997E-12</v>
      </c>
      <c r="E34" s="39">
        <v>0.45988848509621832</v>
      </c>
      <c r="F34" s="39">
        <f t="shared" si="8"/>
        <v>7.3535900000000005</v>
      </c>
      <c r="G34" s="37">
        <v>7.9365079365079361E-2</v>
      </c>
      <c r="H34" s="35">
        <v>3.04</v>
      </c>
      <c r="I34">
        <v>0.42204000000000003</v>
      </c>
      <c r="J34" s="35">
        <f t="shared" si="3"/>
        <v>0.13882894736842105</v>
      </c>
      <c r="K34" s="39">
        <f t="shared" si="4"/>
        <v>4.8935900000000006</v>
      </c>
      <c r="L34" s="35">
        <v>0.91</v>
      </c>
      <c r="M34" s="35">
        <v>0.91</v>
      </c>
      <c r="N34" s="35">
        <v>0.91</v>
      </c>
      <c r="P34" s="36" t="s">
        <v>142</v>
      </c>
      <c r="Q34" s="36">
        <v>-20.704599999999999</v>
      </c>
      <c r="R34" s="72">
        <f t="shared" si="5"/>
        <v>20.704599999999999</v>
      </c>
      <c r="S34" s="36">
        <v>6.9182600000000001</v>
      </c>
      <c r="T34" s="36">
        <v>0.94145500000000004</v>
      </c>
      <c r="U34" s="39">
        <f t="shared" si="1"/>
        <v>7.8260000000000005</v>
      </c>
      <c r="V34" s="36">
        <v>54</v>
      </c>
      <c r="W34" s="36">
        <v>1.57</v>
      </c>
      <c r="X34" s="36">
        <v>0.13364100000000001</v>
      </c>
      <c r="Y34" s="84">
        <f t="shared" si="6"/>
        <v>8.512165605095541E-2</v>
      </c>
      <c r="Z34" s="39">
        <f t="shared" si="7"/>
        <v>0.41607499999999997</v>
      </c>
      <c r="AA34">
        <v>0.76</v>
      </c>
      <c r="AB34">
        <v>1</v>
      </c>
      <c r="AC34">
        <v>0.98</v>
      </c>
    </row>
    <row r="35" spans="1:29">
      <c r="A35" s="51" t="s">
        <v>90</v>
      </c>
      <c r="B35" s="42">
        <v>-1.0956900000000001E-11</v>
      </c>
      <c r="C35" s="39">
        <f t="shared" si="2"/>
        <v>10.956900000000001</v>
      </c>
      <c r="D35" s="42">
        <v>5.8803600000000002E-12</v>
      </c>
      <c r="E35" s="39">
        <v>0.53668099553705884</v>
      </c>
      <c r="F35" s="39">
        <f t="shared" si="8"/>
        <v>2.6533900000000017</v>
      </c>
      <c r="G35" s="37">
        <v>6.8965517241379309E-2</v>
      </c>
      <c r="H35" s="35">
        <v>2.2000000000000002</v>
      </c>
      <c r="I35">
        <v>0.60333999999999999</v>
      </c>
      <c r="J35" s="35">
        <f t="shared" si="3"/>
        <v>0.27424545454545451</v>
      </c>
      <c r="K35" s="39">
        <f t="shared" si="4"/>
        <v>0.19339000000000173</v>
      </c>
      <c r="L35" s="35">
        <v>0.54</v>
      </c>
      <c r="M35" s="35">
        <v>0.8</v>
      </c>
      <c r="N35" s="35">
        <v>0.53</v>
      </c>
      <c r="P35" s="36" t="s">
        <v>143</v>
      </c>
      <c r="Q35" s="36">
        <v>-28.93</v>
      </c>
      <c r="R35" s="72">
        <f t="shared" si="5"/>
        <v>28.93</v>
      </c>
      <c r="S35" s="36">
        <v>7.1590400000000001</v>
      </c>
      <c r="T35" s="36">
        <v>1.2858000000000001</v>
      </c>
      <c r="U35" s="39">
        <f t="shared" ref="U35:U66" si="10">SQRT(SUMSQ((R35-$R$92)))</f>
        <v>0.39939999999999998</v>
      </c>
      <c r="V35" s="36">
        <v>31</v>
      </c>
      <c r="W35" s="36">
        <v>1.4522900000000001</v>
      </c>
      <c r="X35" s="36">
        <v>0.15925600000000001</v>
      </c>
      <c r="Y35" s="84">
        <f t="shared" si="6"/>
        <v>0.10965853927245936</v>
      </c>
      <c r="Z35" s="39">
        <f t="shared" si="7"/>
        <v>0.53378499999999995</v>
      </c>
      <c r="AA35">
        <v>0.79</v>
      </c>
      <c r="AB35">
        <v>1</v>
      </c>
      <c r="AC35">
        <v>0.77</v>
      </c>
    </row>
    <row r="36" spans="1:29">
      <c r="A36" s="51" t="s">
        <v>91</v>
      </c>
      <c r="B36" s="42">
        <v>-5.4374400000000002E-11</v>
      </c>
      <c r="C36" s="39">
        <f t="shared" si="2"/>
        <v>54.374400000000001</v>
      </c>
      <c r="D36" s="42">
        <v>1.7255400000000001E-11</v>
      </c>
      <c r="E36" s="39">
        <v>0.3173441913841808</v>
      </c>
      <c r="F36" s="39">
        <f t="shared" si="8"/>
        <v>46.070890000000006</v>
      </c>
      <c r="G36" s="37">
        <v>0</v>
      </c>
      <c r="H36" s="35">
        <v>2.4300000000000002</v>
      </c>
      <c r="I36">
        <v>0.198186</v>
      </c>
      <c r="J36" s="35">
        <f t="shared" si="3"/>
        <v>8.1558024691358019E-2</v>
      </c>
      <c r="K36" s="39">
        <f t="shared" si="4"/>
        <v>43.610890000000005</v>
      </c>
      <c r="L36" s="35">
        <v>0.97</v>
      </c>
      <c r="M36" s="35">
        <v>1</v>
      </c>
      <c r="N36" s="35">
        <v>1</v>
      </c>
      <c r="P36" s="36" t="s">
        <v>144</v>
      </c>
      <c r="Q36" s="36">
        <v>-94.33890000000001</v>
      </c>
      <c r="R36" s="72">
        <f t="shared" si="5"/>
        <v>94.33890000000001</v>
      </c>
      <c r="S36" s="36">
        <v>25.316800000000001</v>
      </c>
      <c r="T36" s="36">
        <v>3.9538199999999999</v>
      </c>
      <c r="U36" s="39">
        <f t="shared" si="10"/>
        <v>65.808300000000003</v>
      </c>
      <c r="V36" s="36">
        <v>41</v>
      </c>
      <c r="W36" s="36">
        <v>1.3816999999999999</v>
      </c>
      <c r="X36" s="36">
        <v>0.111694</v>
      </c>
      <c r="Y36" s="84">
        <f t="shared" si="6"/>
        <v>8.0838097995223276E-2</v>
      </c>
      <c r="Z36" s="39">
        <f t="shared" si="7"/>
        <v>0.60437500000000011</v>
      </c>
      <c r="AA36">
        <v>0.82</v>
      </c>
      <c r="AB36">
        <v>1</v>
      </c>
      <c r="AC36">
        <v>0.98</v>
      </c>
    </row>
    <row r="37" spans="1:29">
      <c r="A37" s="51" t="s">
        <v>93</v>
      </c>
      <c r="B37" s="42">
        <v>-1.12716E-11</v>
      </c>
      <c r="C37" s="39">
        <f t="shared" si="2"/>
        <v>11.271599999999999</v>
      </c>
      <c r="D37" s="42">
        <v>8.2888499999999998E-12</v>
      </c>
      <c r="E37" s="39">
        <v>0.73537474715213458</v>
      </c>
      <c r="F37" s="39">
        <f t="shared" si="8"/>
        <v>2.9680900000000001</v>
      </c>
      <c r="G37" s="37">
        <v>0.15</v>
      </c>
      <c r="H37" s="35">
        <v>3.35</v>
      </c>
      <c r="I37">
        <v>0.67110899999999996</v>
      </c>
      <c r="J37" s="35">
        <f t="shared" si="3"/>
        <v>0.20033104477611938</v>
      </c>
      <c r="K37" s="39">
        <f t="shared" si="4"/>
        <v>0.50809000000000015</v>
      </c>
      <c r="L37" s="35">
        <v>1.1599999999999999</v>
      </c>
      <c r="M37" s="35">
        <v>0.90999999999999992</v>
      </c>
      <c r="N37" s="35">
        <v>0.90999999999999992</v>
      </c>
      <c r="P37" s="8" t="s">
        <v>145</v>
      </c>
      <c r="Q37" s="36">
        <v>-84.389200000000002</v>
      </c>
      <c r="R37" s="72">
        <f t="shared" si="5"/>
        <v>84.389200000000002</v>
      </c>
      <c r="S37" s="36">
        <v>15.3346</v>
      </c>
      <c r="T37" s="36">
        <v>1.79478</v>
      </c>
      <c r="U37" s="39">
        <f t="shared" si="10"/>
        <v>55.858600000000003</v>
      </c>
      <c r="V37" s="36">
        <v>73</v>
      </c>
      <c r="W37" s="36">
        <v>1.7677499999999999</v>
      </c>
      <c r="X37" s="36">
        <v>0.12895100000000001</v>
      </c>
      <c r="Y37" s="84">
        <f t="shared" si="6"/>
        <v>7.2946400791967195E-2</v>
      </c>
      <c r="Z37" s="39">
        <f t="shared" si="7"/>
        <v>0.2183250000000001</v>
      </c>
      <c r="AA37">
        <v>0.84</v>
      </c>
      <c r="AB37">
        <v>1</v>
      </c>
      <c r="AC37">
        <v>1</v>
      </c>
    </row>
    <row r="38" spans="1:29">
      <c r="A38" s="51" t="s">
        <v>95</v>
      </c>
      <c r="B38" s="42">
        <v>-2.5675100000000001E-11</v>
      </c>
      <c r="C38" s="39">
        <f t="shared" si="2"/>
        <v>25.6751</v>
      </c>
      <c r="D38" s="42">
        <v>1.5668599999999999E-11</v>
      </c>
      <c r="E38" s="39">
        <v>0.61026441961277655</v>
      </c>
      <c r="F38" s="39">
        <f t="shared" si="8"/>
        <v>17.371590000000001</v>
      </c>
      <c r="G38" s="37">
        <v>2.7027027027027029E-2</v>
      </c>
      <c r="H38" s="35">
        <v>2.31</v>
      </c>
      <c r="I38">
        <v>0.54500300000000002</v>
      </c>
      <c r="J38" s="35">
        <f t="shared" si="3"/>
        <v>0.23593203463203463</v>
      </c>
      <c r="K38" s="39">
        <f t="shared" si="4"/>
        <v>14.91159</v>
      </c>
      <c r="L38" s="35">
        <v>1.57</v>
      </c>
      <c r="M38" s="35">
        <v>0.90999999999999992</v>
      </c>
      <c r="N38" s="35">
        <v>0.90999999999999992</v>
      </c>
      <c r="P38" s="64" t="s">
        <v>146</v>
      </c>
      <c r="Q38" s="36">
        <v>-100.934</v>
      </c>
      <c r="R38" s="72">
        <f t="shared" si="5"/>
        <v>100.934</v>
      </c>
      <c r="S38" s="36">
        <v>34.371899999999997</v>
      </c>
      <c r="T38" s="36">
        <v>4.1681999999999997</v>
      </c>
      <c r="U38" s="39">
        <f t="shared" si="10"/>
        <v>72.403400000000005</v>
      </c>
      <c r="V38" s="36">
        <v>68</v>
      </c>
      <c r="W38" s="36">
        <v>1.3466100000000001</v>
      </c>
      <c r="X38" s="36">
        <v>0.13295799999999999</v>
      </c>
      <c r="Y38" s="84">
        <f t="shared" si="6"/>
        <v>9.8735342823831687E-2</v>
      </c>
      <c r="Z38" s="39">
        <f t="shared" si="7"/>
        <v>0.63946499999999995</v>
      </c>
      <c r="AA38">
        <v>0.74</v>
      </c>
      <c r="AB38">
        <v>1</v>
      </c>
      <c r="AC38">
        <v>0.96</v>
      </c>
    </row>
    <row r="39" spans="1:29">
      <c r="A39" s="51" t="s">
        <v>103</v>
      </c>
      <c r="B39" s="42">
        <v>-1.8655400000000001E-11</v>
      </c>
      <c r="C39" s="39">
        <f t="shared" si="2"/>
        <v>18.6554</v>
      </c>
      <c r="D39" s="42">
        <v>1.0236100000000001E-11</v>
      </c>
      <c r="E39" s="39">
        <v>0.54869367582576634</v>
      </c>
      <c r="F39" s="39">
        <f t="shared" si="8"/>
        <v>10.351890000000001</v>
      </c>
      <c r="G39" s="37">
        <v>0.08</v>
      </c>
      <c r="H39" s="35">
        <v>2.74</v>
      </c>
      <c r="I39">
        <v>0.83325300000000002</v>
      </c>
      <c r="J39" s="35">
        <f t="shared" si="3"/>
        <v>0.30410693430656932</v>
      </c>
      <c r="K39" s="39">
        <f t="shared" si="4"/>
        <v>7.891890000000001</v>
      </c>
      <c r="L39" s="35">
        <v>0.82</v>
      </c>
      <c r="M39" s="35">
        <v>0.86</v>
      </c>
      <c r="N39" s="35">
        <v>0.9</v>
      </c>
      <c r="P39" s="36" t="s">
        <v>147</v>
      </c>
      <c r="Q39" s="36">
        <v>-19.156700000000001</v>
      </c>
      <c r="R39" s="72">
        <f t="shared" si="5"/>
        <v>19.156700000000001</v>
      </c>
      <c r="S39" s="36">
        <v>5.1054899999999996</v>
      </c>
      <c r="T39" s="36">
        <v>0.67038399999999998</v>
      </c>
      <c r="U39" s="39">
        <f t="shared" si="10"/>
        <v>9.373899999999999</v>
      </c>
      <c r="V39" s="36">
        <v>58</v>
      </c>
      <c r="W39" s="36">
        <v>1.4452100000000001</v>
      </c>
      <c r="X39" s="36">
        <v>0.32077499999999998</v>
      </c>
      <c r="Y39" s="84">
        <f t="shared" si="6"/>
        <v>0.22195736259782312</v>
      </c>
      <c r="Z39" s="39">
        <f t="shared" si="7"/>
        <v>0.54086499999999993</v>
      </c>
      <c r="AA39">
        <v>0.83</v>
      </c>
      <c r="AB39">
        <v>1</v>
      </c>
      <c r="AC39">
        <v>0.98</v>
      </c>
    </row>
    <row r="40" spans="1:29">
      <c r="A40" s="87" t="s">
        <v>99</v>
      </c>
      <c r="B40" s="38">
        <v>-9.4236500000000001E-12</v>
      </c>
      <c r="C40" s="39">
        <f t="shared" si="2"/>
        <v>9.4236500000000003</v>
      </c>
      <c r="D40" s="38">
        <v>5.3275199999999999E-12</v>
      </c>
      <c r="E40" s="39">
        <v>0.56533508778445718</v>
      </c>
      <c r="F40" s="39">
        <f t="shared" si="8"/>
        <v>1.120140000000001</v>
      </c>
      <c r="G40" s="40">
        <v>7.6923076923076927E-2</v>
      </c>
      <c r="H40" s="35">
        <v>2.31</v>
      </c>
      <c r="I40" s="28">
        <v>0.42490600000000001</v>
      </c>
      <c r="J40" s="35">
        <f t="shared" si="3"/>
        <v>0.18394199134199135</v>
      </c>
      <c r="K40" s="39">
        <f t="shared" si="4"/>
        <v>1.3398599999999989</v>
      </c>
      <c r="L40" s="35">
        <v>1.07</v>
      </c>
      <c r="M40" s="35">
        <v>0.58000000000000007</v>
      </c>
      <c r="N40" s="35">
        <v>0.78</v>
      </c>
      <c r="P40" s="65" t="s">
        <v>148</v>
      </c>
      <c r="Q40" s="36">
        <v>-122.51300000000001</v>
      </c>
      <c r="R40" s="72">
        <f t="shared" si="5"/>
        <v>122.51300000000001</v>
      </c>
      <c r="S40" s="36">
        <v>41.532999999999994</v>
      </c>
      <c r="T40" s="36">
        <v>4.5316200000000002</v>
      </c>
      <c r="U40" s="39">
        <f t="shared" si="10"/>
        <v>93.982400000000013</v>
      </c>
      <c r="V40" s="36">
        <v>84</v>
      </c>
      <c r="W40" s="36">
        <v>1.4561999999999999</v>
      </c>
      <c r="X40" s="36">
        <v>0.136633</v>
      </c>
      <c r="Y40" s="84">
        <f t="shared" si="6"/>
        <v>9.3828457629446513E-2</v>
      </c>
      <c r="Z40" s="39">
        <f t="shared" si="7"/>
        <v>0.5298750000000001</v>
      </c>
      <c r="AA40">
        <v>0.81</v>
      </c>
      <c r="AB40">
        <v>1</v>
      </c>
      <c r="AC40">
        <v>1</v>
      </c>
    </row>
    <row r="41" spans="1:29">
      <c r="A41" s="87" t="s">
        <v>100</v>
      </c>
      <c r="B41" s="42">
        <v>-6.0688800000000003E-12</v>
      </c>
      <c r="C41" s="39">
        <f t="shared" si="2"/>
        <v>6.0688800000000001</v>
      </c>
      <c r="D41" s="42">
        <v>4.9052699999999998E-12</v>
      </c>
      <c r="E41" s="39">
        <v>0.80826610511329922</v>
      </c>
      <c r="F41" s="39">
        <f t="shared" si="8"/>
        <v>2.2346299999999992</v>
      </c>
      <c r="G41" s="40">
        <v>0.25333333333333335</v>
      </c>
      <c r="H41" s="35">
        <v>1.92</v>
      </c>
      <c r="I41" s="28">
        <v>0.69646200000000003</v>
      </c>
      <c r="J41" s="35">
        <f t="shared" si="3"/>
        <v>0.36274062500000004</v>
      </c>
      <c r="K41" s="39">
        <f t="shared" si="4"/>
        <v>0.22537000000000074</v>
      </c>
      <c r="L41" s="35">
        <v>1.46</v>
      </c>
      <c r="M41" s="35">
        <v>0.71000000000000008</v>
      </c>
      <c r="N41" s="35">
        <v>0.78</v>
      </c>
      <c r="P41" s="36" t="s">
        <v>149</v>
      </c>
      <c r="Q41" s="36">
        <v>-5.9817900000000002</v>
      </c>
      <c r="R41" s="72">
        <f t="shared" si="5"/>
        <v>5.9817900000000002</v>
      </c>
      <c r="S41" s="36">
        <v>3.9994399999999999</v>
      </c>
      <c r="T41" s="36">
        <v>0.50792999999999999</v>
      </c>
      <c r="U41" s="39">
        <f t="shared" si="10"/>
        <v>22.54881</v>
      </c>
      <c r="V41" s="36">
        <v>62</v>
      </c>
      <c r="W41" s="36">
        <v>2.2613300000000001</v>
      </c>
      <c r="X41" s="36">
        <v>0.55074000000000001</v>
      </c>
      <c r="Y41" s="84">
        <f t="shared" si="6"/>
        <v>0.24354693919065329</v>
      </c>
      <c r="Z41" s="39">
        <f t="shared" si="7"/>
        <v>0.27525500000000003</v>
      </c>
      <c r="AA41">
        <v>0.54</v>
      </c>
      <c r="AB41">
        <v>0.80645161290322576</v>
      </c>
      <c r="AC41">
        <v>0.75</v>
      </c>
    </row>
    <row r="42" spans="1:29">
      <c r="A42" s="87" t="s">
        <v>101</v>
      </c>
      <c r="B42" s="38">
        <v>-6.2386899999999999E-12</v>
      </c>
      <c r="C42" s="39">
        <f t="shared" si="2"/>
        <v>6.2386900000000001</v>
      </c>
      <c r="D42" s="38">
        <v>5.6907600000000003E-12</v>
      </c>
      <c r="E42" s="39">
        <v>0.91217226693424425</v>
      </c>
      <c r="F42" s="39">
        <f t="shared" si="8"/>
        <v>2.0648199999999992</v>
      </c>
      <c r="G42" s="40">
        <v>0.29850746268656714</v>
      </c>
      <c r="H42" s="35">
        <v>2.65</v>
      </c>
      <c r="I42" s="28">
        <v>1.0428200000000001</v>
      </c>
      <c r="J42" s="35">
        <f t="shared" si="3"/>
        <v>0.39351698113207551</v>
      </c>
      <c r="K42" s="39">
        <f t="shared" si="4"/>
        <v>0.39518000000000075</v>
      </c>
      <c r="L42" s="35">
        <v>0.65</v>
      </c>
      <c r="M42" s="35">
        <v>0.75</v>
      </c>
      <c r="N42" s="35">
        <v>0.62</v>
      </c>
      <c r="P42" s="65" t="s">
        <v>150</v>
      </c>
      <c r="Q42" s="36">
        <v>-15.985500000000002</v>
      </c>
      <c r="R42" s="72">
        <f t="shared" si="5"/>
        <v>15.985500000000002</v>
      </c>
      <c r="S42" s="36">
        <v>5.0233299999999996</v>
      </c>
      <c r="T42" s="36">
        <v>0.84909699999999999</v>
      </c>
      <c r="U42" s="39">
        <f t="shared" si="10"/>
        <v>12.545099999999998</v>
      </c>
      <c r="V42" s="36">
        <v>35</v>
      </c>
      <c r="W42" s="36">
        <v>2.56725</v>
      </c>
      <c r="X42" s="36">
        <v>0.53381100000000004</v>
      </c>
      <c r="Y42" s="84">
        <f t="shared" si="6"/>
        <v>0.20793105463044115</v>
      </c>
      <c r="Z42" s="39">
        <f t="shared" si="7"/>
        <v>0.581175</v>
      </c>
      <c r="AA42">
        <v>0.75</v>
      </c>
      <c r="AB42">
        <v>1</v>
      </c>
      <c r="AC42">
        <v>0.98</v>
      </c>
    </row>
    <row r="43" spans="1:29">
      <c r="A43" s="87" t="s">
        <v>102</v>
      </c>
      <c r="B43" s="38">
        <v>-3.1908400000000002E-12</v>
      </c>
      <c r="C43" s="39">
        <f t="shared" si="2"/>
        <v>3.1908400000000001</v>
      </c>
      <c r="D43" s="38">
        <v>4.3206599999999999E-12</v>
      </c>
      <c r="E43" s="39">
        <v>1.3540823106141329</v>
      </c>
      <c r="F43" s="39">
        <f t="shared" si="8"/>
        <v>5.1126699999999996</v>
      </c>
      <c r="G43" s="40">
        <v>0.39215686274509803</v>
      </c>
      <c r="H43" s="35">
        <v>3.44</v>
      </c>
      <c r="I43" s="28">
        <v>0.82208700000000001</v>
      </c>
      <c r="J43" s="35">
        <f t="shared" si="3"/>
        <v>0.23897877906976744</v>
      </c>
      <c r="K43" s="39">
        <f t="shared" si="4"/>
        <v>2.6526699999999996</v>
      </c>
      <c r="L43" s="35">
        <v>1.1100000000000001</v>
      </c>
      <c r="M43">
        <v>0.65</v>
      </c>
      <c r="N43">
        <v>0.57999999999999996</v>
      </c>
      <c r="P43" s="36" t="s">
        <v>151</v>
      </c>
      <c r="Q43" s="36">
        <v>-10.348000000000001</v>
      </c>
      <c r="R43" s="72">
        <f t="shared" si="5"/>
        <v>10.348000000000001</v>
      </c>
      <c r="S43" s="36">
        <v>3.8447399999999998</v>
      </c>
      <c r="T43" s="36">
        <v>0.50924800000000003</v>
      </c>
      <c r="U43" s="39">
        <f t="shared" si="10"/>
        <v>18.182600000000001</v>
      </c>
      <c r="V43" s="36">
        <v>57</v>
      </c>
      <c r="W43" s="36">
        <v>2.1853799999999999</v>
      </c>
      <c r="X43" s="36">
        <v>0.61071299999999995</v>
      </c>
      <c r="Y43" s="84">
        <f t="shared" si="6"/>
        <v>0.27945391648134421</v>
      </c>
      <c r="Z43" s="39">
        <f t="shared" si="7"/>
        <v>0.19930499999999984</v>
      </c>
      <c r="AA43">
        <v>0.94</v>
      </c>
      <c r="AB43">
        <v>1</v>
      </c>
      <c r="AC43">
        <v>0.97</v>
      </c>
    </row>
    <row r="44" spans="1:29">
      <c r="A44" s="90" t="s">
        <v>98</v>
      </c>
      <c r="B44" s="42">
        <v>-5.2344899999999998E-12</v>
      </c>
      <c r="C44" s="39">
        <f t="shared" si="2"/>
        <v>5.2344900000000001</v>
      </c>
      <c r="D44" s="42">
        <v>5.4693699999999997E-12</v>
      </c>
      <c r="E44" s="39">
        <v>1.0448716111789305</v>
      </c>
      <c r="F44" s="39">
        <f t="shared" si="8"/>
        <v>3.0690199999999992</v>
      </c>
      <c r="G44" s="35">
        <v>0.31521739130434784</v>
      </c>
      <c r="H44" s="35">
        <v>2.4300000000000002</v>
      </c>
      <c r="I44" s="45">
        <v>0.52746599999999999</v>
      </c>
      <c r="J44" s="35">
        <f t="shared" si="3"/>
        <v>0.21706419753086417</v>
      </c>
      <c r="K44" s="39">
        <f t="shared" si="4"/>
        <v>0.60901999999999923</v>
      </c>
      <c r="L44" s="35">
        <v>1.73</v>
      </c>
      <c r="M44">
        <v>0.52</v>
      </c>
      <c r="N44">
        <v>0.49</v>
      </c>
      <c r="P44" s="36" t="s">
        <v>152</v>
      </c>
      <c r="Q44" s="36">
        <v>-11.116400000000001</v>
      </c>
      <c r="R44" s="72">
        <f t="shared" si="5"/>
        <v>11.116400000000001</v>
      </c>
      <c r="S44" s="36">
        <v>4.4670700000000005</v>
      </c>
      <c r="T44" s="36">
        <v>0.57669599999999999</v>
      </c>
      <c r="U44" s="39">
        <f t="shared" si="10"/>
        <v>17.414200000000001</v>
      </c>
      <c r="V44" s="36">
        <v>60</v>
      </c>
      <c r="W44" s="36">
        <v>2.32728</v>
      </c>
      <c r="X44" s="36">
        <v>0.37034600000000001</v>
      </c>
      <c r="Y44" s="84">
        <f t="shared" si="6"/>
        <v>0.15913254958578255</v>
      </c>
      <c r="Z44" s="39">
        <f t="shared" si="7"/>
        <v>0.34120499999999998</v>
      </c>
      <c r="AA44">
        <v>1.0900000000000001</v>
      </c>
      <c r="AB44">
        <v>0.98333333333333328</v>
      </c>
      <c r="AC44">
        <v>0.97</v>
      </c>
    </row>
    <row r="45" spans="1:29">
      <c r="A45" s="88"/>
      <c r="B45" s="41"/>
      <c r="C45" s="41"/>
      <c r="D45" s="52"/>
      <c r="E45" s="52"/>
      <c r="F45" s="52"/>
      <c r="G45" s="41"/>
      <c r="H45" s="41"/>
      <c r="I45" s="41"/>
      <c r="J45" s="41"/>
      <c r="K45" s="41"/>
      <c r="L45" s="41"/>
      <c r="M45" s="41"/>
      <c r="N45" s="41"/>
      <c r="P45" s="36" t="s">
        <v>153</v>
      </c>
      <c r="Q45" s="36">
        <v>-34.895299999999999</v>
      </c>
      <c r="R45" s="72">
        <f t="shared" si="5"/>
        <v>34.895299999999999</v>
      </c>
      <c r="S45" s="36">
        <v>15.710799999999999</v>
      </c>
      <c r="T45" s="36">
        <v>2.1184500000000002</v>
      </c>
      <c r="U45" s="39">
        <f t="shared" si="10"/>
        <v>6.3646999999999991</v>
      </c>
      <c r="V45" s="36">
        <v>55</v>
      </c>
      <c r="W45" s="36">
        <v>2.74675</v>
      </c>
      <c r="X45" s="36">
        <v>0.43577399999999999</v>
      </c>
      <c r="Y45" s="84">
        <f t="shared" si="6"/>
        <v>0.1586507690907436</v>
      </c>
      <c r="Z45" s="39">
        <f t="shared" si="7"/>
        <v>0.76067499999999999</v>
      </c>
      <c r="AA45">
        <v>0.82</v>
      </c>
      <c r="AB45">
        <v>0.96363636363636362</v>
      </c>
      <c r="AC45">
        <v>0.97</v>
      </c>
    </row>
    <row r="46" spans="1:29">
      <c r="A46" s="31" t="s">
        <v>65</v>
      </c>
      <c r="B46" s="38">
        <f>AVERAGE(B3:B44)</f>
        <v>-1.2493203658536586E-11</v>
      </c>
      <c r="C46" s="40">
        <f>AVERAGE(C3:C44)</f>
        <v>12.493203658536586</v>
      </c>
      <c r="D46" s="39">
        <f>AVERAGE(D3:D44)</f>
        <v>6.9046526829268298E-12</v>
      </c>
      <c r="E46" s="40">
        <f>AVERAGE(E3:E44)</f>
        <v>0.7216678657714346</v>
      </c>
      <c r="F46" s="40"/>
      <c r="G46" s="40">
        <f>AVERAGE(G3:G44)</f>
        <v>0.17276061212084934</v>
      </c>
      <c r="H46" s="40">
        <f>AVERAGE(H3:H44)</f>
        <v>2.6487804878048786</v>
      </c>
      <c r="I46" s="40">
        <f>AVERAGE(I3:I44)</f>
        <v>0.636381768292683</v>
      </c>
      <c r="J46" s="40">
        <f>AVERAGE(J3:J44)</f>
        <v>0.24470481291043894</v>
      </c>
      <c r="K46" s="40"/>
      <c r="L46" s="40">
        <f>AVERAGE(L3:L44)</f>
        <v>1.3926829268292682</v>
      </c>
      <c r="M46" s="40">
        <f>AVERAGE(M3:M44)</f>
        <v>0.79439024390243906</v>
      </c>
      <c r="N46" s="40">
        <f>AVERAGE(N3:N44)</f>
        <v>0.84292682926829277</v>
      </c>
      <c r="P46" s="36" t="s">
        <v>154</v>
      </c>
      <c r="Q46" s="36">
        <v>-25.453299999999999</v>
      </c>
      <c r="R46" s="72">
        <f t="shared" si="5"/>
        <v>25.453299999999999</v>
      </c>
      <c r="S46" s="36">
        <v>9.705680000000001</v>
      </c>
      <c r="T46" s="36">
        <v>1.46319</v>
      </c>
      <c r="U46" s="39">
        <f t="shared" si="10"/>
        <v>3.077300000000001</v>
      </c>
      <c r="V46" s="36">
        <v>44</v>
      </c>
      <c r="W46" s="36">
        <v>2.5493999999999999</v>
      </c>
      <c r="X46" s="36">
        <v>0.18970899999999999</v>
      </c>
      <c r="Y46" s="84">
        <f t="shared" si="6"/>
        <v>7.4413195261630191E-2</v>
      </c>
      <c r="Z46" s="39">
        <f t="shared" si="7"/>
        <v>0.56332499999999985</v>
      </c>
      <c r="AA46">
        <v>0.69</v>
      </c>
      <c r="AB46">
        <v>1</v>
      </c>
      <c r="AC46">
        <v>0.96</v>
      </c>
    </row>
    <row r="47" spans="1:29">
      <c r="A47" s="31" t="s">
        <v>67</v>
      </c>
      <c r="B47" s="38">
        <f>STDEV(B3:B44)/SQRT(B51)</f>
        <v>1.812531524635175E-12</v>
      </c>
      <c r="C47" s="40">
        <f>STDEV(C3:C44)/SQRT(C51)</f>
        <v>1.8125315246351754</v>
      </c>
      <c r="D47" s="39">
        <f>STDEV(D3:D44)/SQRT(D51)</f>
        <v>5.1399166585181598E-13</v>
      </c>
      <c r="E47" s="40">
        <f>STDEV(E3:E44)/SQRT(E51)</f>
        <v>3.9348497035241341E-2</v>
      </c>
      <c r="F47" s="40"/>
      <c r="G47" s="40">
        <f>STDEV(G3:G44)/SQRT(G51)</f>
        <v>1.8446751121840285E-2</v>
      </c>
      <c r="H47" s="40">
        <f>STDEV(H3:H44)/SQRT(H51)</f>
        <v>0.1103487791670235</v>
      </c>
      <c r="I47" s="40">
        <f>STDEV(I3:I44)/SQRT(I51)</f>
        <v>4.0371758684618266E-2</v>
      </c>
      <c r="J47" s="40">
        <f>STDEV(J3:J44)/SQRT(J51)</f>
        <v>1.524772883301507E-2</v>
      </c>
      <c r="K47" s="40"/>
      <c r="L47" s="40">
        <f>STDEV(L3:L44)/SQRT(L51)</f>
        <v>0.13958694483920034</v>
      </c>
      <c r="M47" s="40">
        <f>STDEV(M3:M44)/SQRT(M51)</f>
        <v>2.1198966784784831E-2</v>
      </c>
      <c r="N47" s="40">
        <f>STDEV(N3:N44)/SQRT(N51)</f>
        <v>2.8651062855266956E-2</v>
      </c>
      <c r="P47" s="36" t="s">
        <v>155</v>
      </c>
      <c r="Q47" s="36">
        <v>-18.322300000000002</v>
      </c>
      <c r="R47" s="72">
        <f t="shared" si="5"/>
        <v>18.322300000000002</v>
      </c>
      <c r="S47" s="36">
        <v>4.9697100000000001</v>
      </c>
      <c r="T47" s="36">
        <v>0.652555</v>
      </c>
      <c r="U47" s="39">
        <f t="shared" si="10"/>
        <v>10.208299999999998</v>
      </c>
      <c r="V47" s="36">
        <v>58</v>
      </c>
      <c r="W47" s="36">
        <v>2.5055200000000002</v>
      </c>
      <c r="X47" s="36">
        <v>0.48079499999999997</v>
      </c>
      <c r="Y47" s="84">
        <f t="shared" si="6"/>
        <v>0.19189429739135985</v>
      </c>
      <c r="Z47" s="39">
        <f t="shared" si="7"/>
        <v>0.51944500000000016</v>
      </c>
      <c r="AA47">
        <v>0.53</v>
      </c>
      <c r="AB47">
        <v>1</v>
      </c>
      <c r="AC47">
        <v>0.91</v>
      </c>
    </row>
    <row r="48" spans="1:29">
      <c r="A48" s="89" t="s">
        <v>47</v>
      </c>
      <c r="B48" s="60">
        <f>MEDIAN(B3:B44)</f>
        <v>-8.30351E-12</v>
      </c>
      <c r="C48" s="34">
        <f>MEDIAN(C3:C44)</f>
        <v>8.3035099999999993</v>
      </c>
      <c r="D48" s="48">
        <f>MEDIAN(D3:D44)</f>
        <v>5.7542300000000002E-12</v>
      </c>
      <c r="E48" s="34">
        <f>MEDIAN(E3:E44)</f>
        <v>0.73537474715213458</v>
      </c>
      <c r="F48" s="34">
        <f>MEDIAN(F3:F44)/C48</f>
        <v>0.45520870089877652</v>
      </c>
      <c r="G48" s="34">
        <f>MEDIAN(G3:G44)</f>
        <v>0.16417910447761194</v>
      </c>
      <c r="H48" s="34">
        <f>MEDIAN(H3:H44)</f>
        <v>2.46</v>
      </c>
      <c r="I48" s="34">
        <f>MEDIAN(I3:I44)</f>
        <v>0.595503</v>
      </c>
      <c r="J48" s="34">
        <f>MEDIAN(J3:J44)</f>
        <v>0.22824176706827307</v>
      </c>
      <c r="K48" s="34">
        <f>MEDIAN(K3:K44)/H48</f>
        <v>0.89467886178861766</v>
      </c>
      <c r="L48" s="34">
        <f>MEDIAN(L3:L44)</f>
        <v>1.2</v>
      </c>
      <c r="M48" s="34">
        <f>MEDIAN(M3:M44)</f>
        <v>0.8</v>
      </c>
      <c r="N48" s="34">
        <f>MEDIAN(N3:N44)</f>
        <v>0.90999999999999992</v>
      </c>
      <c r="P48" s="36" t="s">
        <v>156</v>
      </c>
      <c r="Q48" s="36">
        <v>-17.377800000000001</v>
      </c>
      <c r="R48" s="72">
        <f t="shared" si="5"/>
        <v>17.377800000000001</v>
      </c>
      <c r="S48" s="36">
        <v>8.6588600000000007</v>
      </c>
      <c r="T48" s="36">
        <v>1.1272899999999999</v>
      </c>
      <c r="U48" s="39">
        <f t="shared" si="10"/>
        <v>11.152799999999999</v>
      </c>
      <c r="V48" s="36">
        <v>59</v>
      </c>
      <c r="W48" s="36">
        <v>1.8346</v>
      </c>
      <c r="X48" s="36">
        <v>0.46682499999999999</v>
      </c>
      <c r="Y48" s="84">
        <f t="shared" si="6"/>
        <v>0.25445601220974601</v>
      </c>
      <c r="Z48" s="39">
        <f t="shared" si="7"/>
        <v>0.15147500000000003</v>
      </c>
      <c r="AA48">
        <v>0.92</v>
      </c>
      <c r="AB48">
        <v>0.96610169491525422</v>
      </c>
      <c r="AC48">
        <v>0.95</v>
      </c>
    </row>
    <row r="49" spans="1:29">
      <c r="A49" s="87" t="s">
        <v>48</v>
      </c>
      <c r="B49" s="39">
        <f>QUARTILE(B3:B44,3)</f>
        <v>-5.3034199999999996E-12</v>
      </c>
      <c r="C49" s="40">
        <f>QUARTILE(C3:C44,3)</f>
        <v>15.252000000000001</v>
      </c>
      <c r="D49" s="39">
        <f>QUARTILE(D3:D44,3)</f>
        <v>7.68428E-12</v>
      </c>
      <c r="E49" s="40">
        <f>QUARTILE(E3:E44,3)</f>
        <v>0.91217226693424425</v>
      </c>
      <c r="F49" s="40">
        <f>QUARTILE(F3:F44,3)/C48</f>
        <v>0.8368135884704182</v>
      </c>
      <c r="G49" s="40">
        <f>QUARTILE(G3:G44,3)</f>
        <v>0.26923076923076922</v>
      </c>
      <c r="H49" s="40">
        <f>QUARTILE(H3:H44,3)</f>
        <v>2.9</v>
      </c>
      <c r="I49" s="40">
        <f>QUARTILE(I3:I44,3)</f>
        <v>0.809199</v>
      </c>
      <c r="J49" s="40">
        <f>QUARTILE(J3:J44,3)</f>
        <v>0.30410693430656932</v>
      </c>
      <c r="K49" s="40">
        <f>QUARTILE(K3:K44,3)/H48</f>
        <v>1.8245894308943096</v>
      </c>
      <c r="L49" s="40">
        <f>QUARTILE(L3:L44,3)</f>
        <v>1.52</v>
      </c>
      <c r="M49" s="40">
        <f>QUARTILE(M3:M44,3)</f>
        <v>0.90999999999999992</v>
      </c>
      <c r="N49" s="40">
        <f>QUARTILE(N3:N44,3)</f>
        <v>0.96</v>
      </c>
      <c r="P49" s="36" t="s">
        <v>157</v>
      </c>
      <c r="Q49" s="36">
        <v>-10.9946</v>
      </c>
      <c r="R49" s="72">
        <f t="shared" si="5"/>
        <v>10.9946</v>
      </c>
      <c r="S49" s="36">
        <v>6.3695300000000001</v>
      </c>
      <c r="T49" s="36">
        <v>0.86678299999999997</v>
      </c>
      <c r="U49" s="39">
        <f t="shared" si="10"/>
        <v>17.536000000000001</v>
      </c>
      <c r="V49" s="36">
        <v>54</v>
      </c>
      <c r="W49" s="36">
        <v>2.1615899999999999</v>
      </c>
      <c r="X49" s="36">
        <v>0.63573400000000002</v>
      </c>
      <c r="Y49" s="84">
        <f t="shared" si="6"/>
        <v>0.29410480248335719</v>
      </c>
      <c r="Z49" s="39">
        <f t="shared" si="7"/>
        <v>0.17551499999999987</v>
      </c>
      <c r="AA49">
        <v>1.46</v>
      </c>
      <c r="AB49">
        <v>0.90740740740740744</v>
      </c>
      <c r="AC49">
        <v>0.99</v>
      </c>
    </row>
    <row r="50" spans="1:29">
      <c r="A50" s="87" t="s">
        <v>49</v>
      </c>
      <c r="B50" s="39">
        <f>QUARTILE(B3:B44,1)</f>
        <v>-1.5252E-11</v>
      </c>
      <c r="C50" s="40">
        <f>QUARTILE(C3:C44,1)</f>
        <v>5.30342</v>
      </c>
      <c r="D50" s="39">
        <f>QUARTILE(D3:D44,1)</f>
        <v>4.4714400000000002E-12</v>
      </c>
      <c r="E50" s="40">
        <f>QUARTILE(E3:E44,1)</f>
        <v>0.54869367582576634</v>
      </c>
      <c r="F50" s="40">
        <f>QUARTILE(F3:F44,1)/C48</f>
        <v>0.26911872208258908</v>
      </c>
      <c r="G50" s="40">
        <f>QUARTILE(G3:G44,1)</f>
        <v>7.6923076923076927E-2</v>
      </c>
      <c r="H50" s="40">
        <f>QUARTILE(H3:H44,1)</f>
        <v>2.2000000000000002</v>
      </c>
      <c r="I50" s="40">
        <f>QUARTILE(I3:I44,1)</f>
        <v>0.490174</v>
      </c>
      <c r="J50" s="40">
        <f>QUARTILE(J3:J44,1)</f>
        <v>0.18394199134199135</v>
      </c>
      <c r="K50" s="40">
        <f>QUARTILE(K3:K44,1)/H48</f>
        <v>0.2694308943089434</v>
      </c>
      <c r="L50" s="40">
        <f>QUARTILE(L3:L44,1)</f>
        <v>0.98</v>
      </c>
      <c r="M50" s="40">
        <f>QUARTILE(M3:M44,1)</f>
        <v>0.73</v>
      </c>
      <c r="N50" s="40">
        <f>QUARTILE(N3:N44,1)</f>
        <v>0.78</v>
      </c>
      <c r="P50" s="36" t="s">
        <v>158</v>
      </c>
      <c r="Q50" s="36">
        <v>-44.234899999999996</v>
      </c>
      <c r="R50" s="72">
        <f t="shared" si="5"/>
        <v>44.234899999999996</v>
      </c>
      <c r="S50" s="36">
        <v>36.235900000000001</v>
      </c>
      <c r="T50" s="36">
        <v>5.12453</v>
      </c>
      <c r="U50" s="39">
        <f t="shared" si="10"/>
        <v>15.704299999999996</v>
      </c>
      <c r="V50" s="36">
        <v>50</v>
      </c>
      <c r="W50" s="36">
        <v>2.15917</v>
      </c>
      <c r="X50" s="36">
        <v>0.31274099999999999</v>
      </c>
      <c r="Y50" s="84">
        <f t="shared" si="6"/>
        <v>0.14484315732434222</v>
      </c>
      <c r="Z50" s="39">
        <f t="shared" si="7"/>
        <v>0.173095</v>
      </c>
      <c r="AA50">
        <v>1</v>
      </c>
      <c r="AB50">
        <v>1.0000000000686957</v>
      </c>
      <c r="AC50">
        <v>0.98</v>
      </c>
    </row>
    <row r="51" spans="1:29">
      <c r="A51" s="87" t="s">
        <v>6</v>
      </c>
      <c r="B51" s="39">
        <f>COUNT(B3:B44)</f>
        <v>41</v>
      </c>
      <c r="C51" s="39">
        <f>COUNT(C3:C44)</f>
        <v>41</v>
      </c>
      <c r="D51" s="39">
        <f>COUNT(D3:D44)</f>
        <v>41</v>
      </c>
      <c r="E51" s="39">
        <f>COUNT(E3:E44)</f>
        <v>41</v>
      </c>
      <c r="F51" s="39"/>
      <c r="G51" s="39">
        <f>COUNT(G3:G44)</f>
        <v>41</v>
      </c>
      <c r="H51" s="39">
        <f>COUNT(H3:H44)</f>
        <v>41</v>
      </c>
      <c r="I51" s="39">
        <f>COUNT(I3:I44)</f>
        <v>41</v>
      </c>
      <c r="J51" s="39">
        <f>COUNT(J3:J44)</f>
        <v>41</v>
      </c>
      <c r="K51" s="39"/>
      <c r="L51" s="39">
        <f>COUNT(L3:L44)</f>
        <v>41</v>
      </c>
      <c r="M51" s="39">
        <f>COUNT(M3:M44)</f>
        <v>41</v>
      </c>
      <c r="N51" s="39">
        <f>COUNT(N3:N44)</f>
        <v>41</v>
      </c>
      <c r="P51" s="36" t="s">
        <v>159</v>
      </c>
      <c r="Q51" s="36">
        <v>-31.8873</v>
      </c>
      <c r="R51" s="72">
        <f t="shared" si="5"/>
        <v>31.8873</v>
      </c>
      <c r="S51" s="36">
        <v>7.0516099999999993</v>
      </c>
      <c r="T51" s="36">
        <v>0.96861299999999995</v>
      </c>
      <c r="U51" s="39">
        <f t="shared" si="10"/>
        <v>3.3567</v>
      </c>
      <c r="V51" s="36">
        <v>53</v>
      </c>
      <c r="W51" s="36">
        <v>1.5242100000000001</v>
      </c>
      <c r="X51" s="36">
        <v>0.27267799999999998</v>
      </c>
      <c r="Y51" s="84">
        <f t="shared" si="6"/>
        <v>0.17889792089016604</v>
      </c>
      <c r="Z51" s="39">
        <f t="shared" si="7"/>
        <v>0.46186499999999997</v>
      </c>
      <c r="AA51">
        <v>0.69</v>
      </c>
      <c r="AB51">
        <v>1</v>
      </c>
      <c r="AC51">
        <v>1</v>
      </c>
    </row>
    <row r="52" spans="1:29">
      <c r="J52" s="35">
        <f>I48/H48</f>
        <v>0.24207439024390245</v>
      </c>
      <c r="P52" s="36" t="s">
        <v>160</v>
      </c>
      <c r="Q52" s="36">
        <v>-86.303600000000003</v>
      </c>
      <c r="R52" s="72">
        <f t="shared" si="5"/>
        <v>86.303600000000003</v>
      </c>
      <c r="S52" s="36">
        <v>7.3647600000000004</v>
      </c>
      <c r="T52" s="36">
        <v>0.97548600000000008</v>
      </c>
      <c r="U52" s="39">
        <f t="shared" si="10"/>
        <v>57.773000000000003</v>
      </c>
      <c r="V52" s="36">
        <v>57</v>
      </c>
      <c r="W52" s="36">
        <v>1.90133</v>
      </c>
      <c r="X52" s="36">
        <v>0.148453</v>
      </c>
      <c r="Y52" s="84">
        <f t="shared" si="6"/>
        <v>7.8078502942676972E-2</v>
      </c>
      <c r="Z52" s="39">
        <f t="shared" si="7"/>
        <v>8.474500000000007E-2</v>
      </c>
      <c r="AA52">
        <v>0.6</v>
      </c>
      <c r="AB52">
        <v>1</v>
      </c>
      <c r="AC52">
        <v>1</v>
      </c>
    </row>
    <row r="53" spans="1:29">
      <c r="P53" s="65" t="s">
        <v>161</v>
      </c>
      <c r="Q53" s="36">
        <v>-12.611699999999999</v>
      </c>
      <c r="R53" s="72">
        <f t="shared" si="5"/>
        <v>12.611699999999999</v>
      </c>
      <c r="S53" s="36">
        <v>4.3769900000000002</v>
      </c>
      <c r="T53" s="36">
        <v>0.54712399999999994</v>
      </c>
      <c r="U53" s="39">
        <f t="shared" si="10"/>
        <v>15.918900000000001</v>
      </c>
      <c r="V53" s="36">
        <v>64</v>
      </c>
      <c r="W53" s="36">
        <v>1.7652699999999999</v>
      </c>
      <c r="X53" s="36">
        <v>0.382413</v>
      </c>
      <c r="Y53" s="84">
        <f t="shared" si="6"/>
        <v>0.21663145014643653</v>
      </c>
      <c r="Z53" s="39">
        <f t="shared" si="7"/>
        <v>0.22080500000000014</v>
      </c>
      <c r="AA53">
        <v>0.66</v>
      </c>
      <c r="AB53">
        <v>0.984375</v>
      </c>
      <c r="AC53">
        <v>0.96</v>
      </c>
    </row>
    <row r="54" spans="1:29">
      <c r="P54" s="65" t="s">
        <v>162</v>
      </c>
      <c r="Q54" s="36">
        <v>-12.269</v>
      </c>
      <c r="R54" s="72">
        <f t="shared" si="5"/>
        <v>12.269</v>
      </c>
      <c r="S54" s="36">
        <v>4.6325200000000004</v>
      </c>
      <c r="T54" s="36">
        <v>0.57022399999999995</v>
      </c>
      <c r="U54" s="39">
        <f t="shared" si="10"/>
        <v>16.261600000000001</v>
      </c>
      <c r="V54" s="36">
        <v>66</v>
      </c>
      <c r="W54" s="36">
        <v>1.57718</v>
      </c>
      <c r="X54" s="36">
        <v>0.45543600000000001</v>
      </c>
      <c r="Y54" s="84">
        <f t="shared" si="6"/>
        <v>0.28876602543780672</v>
      </c>
      <c r="Z54" s="39">
        <f t="shared" si="7"/>
        <v>0.40889500000000001</v>
      </c>
      <c r="AA54">
        <v>0.84</v>
      </c>
      <c r="AB54">
        <v>0.98484848484848486</v>
      </c>
      <c r="AC54">
        <v>0.98</v>
      </c>
    </row>
    <row r="55" spans="1:29">
      <c r="P55" s="65" t="s">
        <v>163</v>
      </c>
      <c r="Q55" s="36">
        <v>-6.1106699999999998</v>
      </c>
      <c r="R55" s="72">
        <f t="shared" si="5"/>
        <v>6.1106699999999998</v>
      </c>
      <c r="S55" s="36">
        <v>4.1167800000000003</v>
      </c>
      <c r="T55" s="36">
        <v>0.49204900000000001</v>
      </c>
      <c r="U55" s="39">
        <f t="shared" si="10"/>
        <v>22.419930000000001</v>
      </c>
      <c r="V55" s="36">
        <v>70</v>
      </c>
      <c r="W55" s="36">
        <v>2.30877</v>
      </c>
      <c r="X55" s="36">
        <v>0.60619199999999995</v>
      </c>
      <c r="Y55" s="84">
        <f t="shared" si="6"/>
        <v>0.26256058420717521</v>
      </c>
      <c r="Z55" s="39">
        <f t="shared" si="7"/>
        <v>0.32269499999999995</v>
      </c>
      <c r="AA55">
        <v>1.1299999999999999</v>
      </c>
      <c r="AB55">
        <v>0.84285714285714286</v>
      </c>
      <c r="AC55">
        <v>0.92</v>
      </c>
    </row>
    <row r="56" spans="1:29">
      <c r="P56" s="36" t="s">
        <v>164</v>
      </c>
      <c r="Q56" s="36">
        <v>-6.5161099999999994</v>
      </c>
      <c r="R56" s="72">
        <f t="shared" si="5"/>
        <v>6.5161099999999994</v>
      </c>
      <c r="S56" s="36">
        <v>2.6815699999999998</v>
      </c>
      <c r="T56" s="36">
        <v>0.37549500000000002</v>
      </c>
      <c r="U56" s="39">
        <f t="shared" si="10"/>
        <v>22.014490000000002</v>
      </c>
      <c r="V56" s="36">
        <v>51</v>
      </c>
      <c r="W56" s="36">
        <v>2.7261600000000001</v>
      </c>
      <c r="X56" s="36">
        <v>0.46432200000000001</v>
      </c>
      <c r="Y56" s="84">
        <f t="shared" si="6"/>
        <v>0.17032089092349678</v>
      </c>
      <c r="Z56" s="39">
        <f t="shared" si="7"/>
        <v>0.7400850000000001</v>
      </c>
      <c r="AA56">
        <v>0.8</v>
      </c>
      <c r="AB56">
        <v>0.96078431372549022</v>
      </c>
      <c r="AC56">
        <v>0.87</v>
      </c>
    </row>
    <row r="57" spans="1:29">
      <c r="P57" s="36" t="s">
        <v>165</v>
      </c>
      <c r="Q57" s="36">
        <v>-44.455999999999996</v>
      </c>
      <c r="R57" s="72">
        <f t="shared" si="5"/>
        <v>44.455999999999996</v>
      </c>
      <c r="S57" s="36">
        <v>6.9988600000000005</v>
      </c>
      <c r="T57" s="36">
        <v>0.90354899999999994</v>
      </c>
      <c r="U57" s="39">
        <f t="shared" si="10"/>
        <v>15.925399999999996</v>
      </c>
      <c r="V57" s="36">
        <v>60</v>
      </c>
      <c r="W57" s="36">
        <v>2.3008700000000002</v>
      </c>
      <c r="X57" s="36">
        <v>0.225609</v>
      </c>
      <c r="Y57" s="84">
        <f t="shared" si="6"/>
        <v>9.8053779657260073E-2</v>
      </c>
      <c r="Z57" s="39">
        <f t="shared" si="7"/>
        <v>0.31479500000000016</v>
      </c>
      <c r="AA57">
        <v>0.56000000000000005</v>
      </c>
      <c r="AB57">
        <v>1</v>
      </c>
      <c r="AC57">
        <v>1</v>
      </c>
    </row>
    <row r="58" spans="1:29">
      <c r="P58" s="36" t="s">
        <v>166</v>
      </c>
      <c r="Q58" s="36">
        <v>-13.753</v>
      </c>
      <c r="R58" s="72">
        <f t="shared" si="5"/>
        <v>13.753</v>
      </c>
      <c r="S58" s="36">
        <v>4.1479100000000004</v>
      </c>
      <c r="T58" s="36">
        <v>0.70112400000000008</v>
      </c>
      <c r="U58" s="39">
        <f t="shared" si="10"/>
        <v>14.7776</v>
      </c>
      <c r="V58" s="36">
        <v>35</v>
      </c>
      <c r="W58" s="36">
        <v>1.6365799999999999</v>
      </c>
      <c r="X58" s="36">
        <v>0.119958</v>
      </c>
      <c r="Y58" s="84">
        <f t="shared" si="6"/>
        <v>7.3297975045521754E-2</v>
      </c>
      <c r="Z58" s="39">
        <f t="shared" si="7"/>
        <v>0.34949500000000011</v>
      </c>
      <c r="AA58">
        <v>0.79</v>
      </c>
      <c r="AB58">
        <v>1</v>
      </c>
      <c r="AC58">
        <v>0.94</v>
      </c>
    </row>
    <row r="59" spans="1:29">
      <c r="P59" s="36" t="s">
        <v>167</v>
      </c>
      <c r="Q59" s="36">
        <v>-85.626300000000001</v>
      </c>
      <c r="R59" s="72">
        <f t="shared" si="5"/>
        <v>85.626300000000001</v>
      </c>
      <c r="S59" s="36">
        <v>21.326000000000001</v>
      </c>
      <c r="T59" s="36">
        <v>3.29068</v>
      </c>
      <c r="U59" s="39">
        <f t="shared" si="10"/>
        <v>57.095700000000001</v>
      </c>
      <c r="V59" s="36">
        <v>42</v>
      </c>
      <c r="W59" s="36">
        <v>1.8020099999999999</v>
      </c>
      <c r="X59" s="36">
        <v>0.33677099999999999</v>
      </c>
      <c r="Y59" s="84">
        <f t="shared" si="6"/>
        <v>0.18688631028684635</v>
      </c>
      <c r="Z59" s="39">
        <f t="shared" si="7"/>
        <v>0.18406500000000015</v>
      </c>
      <c r="AA59">
        <v>0.8</v>
      </c>
      <c r="AB59">
        <v>1</v>
      </c>
      <c r="AC59">
        <v>1</v>
      </c>
    </row>
    <row r="60" spans="1:29">
      <c r="P60" s="36" t="s">
        <v>168</v>
      </c>
      <c r="Q60" s="36">
        <v>-23.077300000000001</v>
      </c>
      <c r="R60" s="72">
        <f t="shared" si="5"/>
        <v>23.077300000000001</v>
      </c>
      <c r="S60" s="36">
        <v>6.9653799999999997</v>
      </c>
      <c r="T60" s="36">
        <v>0.857379</v>
      </c>
      <c r="U60" s="39">
        <f t="shared" si="10"/>
        <v>5.4532999999999987</v>
      </c>
      <c r="V60" s="36">
        <v>66</v>
      </c>
      <c r="W60" s="36">
        <v>1.8159700000000001</v>
      </c>
      <c r="X60" s="36">
        <v>0.198347</v>
      </c>
      <c r="Y60" s="84">
        <f t="shared" si="6"/>
        <v>0.10922372065617823</v>
      </c>
      <c r="Z60" s="39">
        <f t="shared" si="7"/>
        <v>0.17010499999999995</v>
      </c>
      <c r="AA60">
        <v>0.74</v>
      </c>
      <c r="AB60">
        <v>1</v>
      </c>
      <c r="AC60">
        <v>0.92</v>
      </c>
    </row>
    <row r="61" spans="1:29">
      <c r="P61" s="36" t="s">
        <v>169</v>
      </c>
      <c r="Q61" s="36">
        <v>-45.360499999999995</v>
      </c>
      <c r="R61" s="72">
        <f t="shared" si="5"/>
        <v>45.360499999999995</v>
      </c>
      <c r="S61" s="36">
        <v>11.246600000000001</v>
      </c>
      <c r="T61" s="36">
        <v>1.43998</v>
      </c>
      <c r="U61" s="39">
        <f t="shared" si="10"/>
        <v>16.829899999999995</v>
      </c>
      <c r="V61" s="36">
        <v>61</v>
      </c>
      <c r="W61" s="36">
        <v>2.0724499999999999</v>
      </c>
      <c r="X61" s="36">
        <v>0.10746600000000001</v>
      </c>
      <c r="Y61" s="84">
        <f t="shared" si="6"/>
        <v>5.1854568264614348E-2</v>
      </c>
      <c r="Z61" s="39">
        <f t="shared" si="7"/>
        <v>8.6374999999999869E-2</v>
      </c>
      <c r="AA61">
        <v>0.93</v>
      </c>
      <c r="AB61">
        <v>1</v>
      </c>
      <c r="AC61">
        <v>1</v>
      </c>
    </row>
    <row r="62" spans="1:29">
      <c r="P62" s="36" t="s">
        <v>170</v>
      </c>
      <c r="Q62" s="36">
        <v>-17.574400000000001</v>
      </c>
      <c r="R62" s="72">
        <f t="shared" ref="R62:R88" si="11">-Q62</f>
        <v>17.574400000000001</v>
      </c>
      <c r="S62" s="36">
        <v>6.6463399999999995</v>
      </c>
      <c r="T62" s="36">
        <v>0.78327899999999995</v>
      </c>
      <c r="U62" s="39">
        <f t="shared" si="10"/>
        <v>10.956199999999999</v>
      </c>
      <c r="V62" s="36">
        <v>72</v>
      </c>
      <c r="W62" s="36">
        <v>2.9418000000000002</v>
      </c>
      <c r="X62" s="36">
        <v>0.40852699999999997</v>
      </c>
      <c r="Y62" s="84">
        <f t="shared" si="6"/>
        <v>0.13886973961520155</v>
      </c>
      <c r="Z62" s="39">
        <f t="shared" si="7"/>
        <v>0.95572500000000016</v>
      </c>
      <c r="AA62">
        <v>0.76</v>
      </c>
      <c r="AB62">
        <v>0.97222222222222221</v>
      </c>
      <c r="AC62">
        <v>1</v>
      </c>
    </row>
    <row r="63" spans="1:29">
      <c r="P63" s="36" t="s">
        <v>171</v>
      </c>
      <c r="Q63" s="36">
        <v>-17.979800000000001</v>
      </c>
      <c r="R63" s="72">
        <f t="shared" si="11"/>
        <v>17.979800000000001</v>
      </c>
      <c r="S63" s="36">
        <v>4.5191600000000003</v>
      </c>
      <c r="T63" s="36">
        <v>0.659188</v>
      </c>
      <c r="U63" s="39">
        <f t="shared" si="10"/>
        <v>10.550799999999999</v>
      </c>
      <c r="V63" s="36">
        <v>47</v>
      </c>
      <c r="W63" s="36">
        <v>2.2203300000000001</v>
      </c>
      <c r="X63" s="36">
        <v>0.33172499999999999</v>
      </c>
      <c r="Y63" s="84">
        <f t="shared" si="6"/>
        <v>0.14940346705219493</v>
      </c>
      <c r="Z63" s="39">
        <f t="shared" si="7"/>
        <v>0.2342550000000001</v>
      </c>
      <c r="AA63">
        <v>0.81</v>
      </c>
      <c r="AB63">
        <v>1</v>
      </c>
      <c r="AC63">
        <v>1</v>
      </c>
    </row>
    <row r="64" spans="1:29">
      <c r="P64" s="36" t="s">
        <v>172</v>
      </c>
      <c r="Q64" s="36">
        <v>-131.61700000000002</v>
      </c>
      <c r="R64" s="72">
        <f t="shared" si="11"/>
        <v>131.61700000000002</v>
      </c>
      <c r="S64" s="36">
        <v>14.2782</v>
      </c>
      <c r="T64" s="36">
        <v>1.8748100000000001</v>
      </c>
      <c r="U64" s="39">
        <f t="shared" si="10"/>
        <v>103.08640000000003</v>
      </c>
      <c r="V64" s="36">
        <v>58</v>
      </c>
      <c r="W64" s="36">
        <v>1.5227900000000001</v>
      </c>
      <c r="X64" s="36">
        <v>5.29238E-2</v>
      </c>
      <c r="Y64" s="84">
        <f t="shared" si="6"/>
        <v>3.4754496680435253E-2</v>
      </c>
      <c r="Z64" s="39">
        <f t="shared" si="7"/>
        <v>0.46328499999999995</v>
      </c>
      <c r="AA64">
        <v>0.77</v>
      </c>
      <c r="AB64">
        <v>1</v>
      </c>
      <c r="AC64">
        <v>1</v>
      </c>
    </row>
    <row r="65" spans="16:29">
      <c r="P65" s="36" t="s">
        <v>173</v>
      </c>
      <c r="Q65" s="36">
        <v>-37.983899999999998</v>
      </c>
      <c r="R65" s="72">
        <f t="shared" si="11"/>
        <v>37.983899999999998</v>
      </c>
      <c r="S65" s="36">
        <v>6.0305299999999997</v>
      </c>
      <c r="T65" s="36">
        <v>0.74799499999999997</v>
      </c>
      <c r="U65" s="39">
        <f t="shared" si="10"/>
        <v>9.4532999999999987</v>
      </c>
      <c r="V65" s="36">
        <v>65</v>
      </c>
      <c r="W65" s="36">
        <v>2.8294000000000001</v>
      </c>
      <c r="X65" s="36">
        <v>0.119339</v>
      </c>
      <c r="Y65" s="84">
        <f t="shared" si="6"/>
        <v>4.2178200325157275E-2</v>
      </c>
      <c r="Z65" s="39">
        <f t="shared" si="7"/>
        <v>0.8433250000000001</v>
      </c>
      <c r="AA65">
        <v>0.68</v>
      </c>
      <c r="AB65">
        <v>1</v>
      </c>
      <c r="AC65">
        <v>1</v>
      </c>
    </row>
    <row r="66" spans="16:29">
      <c r="P66" s="36" t="s">
        <v>174</v>
      </c>
      <c r="Q66" s="36">
        <v>-9.0691100000000002</v>
      </c>
      <c r="R66" s="72">
        <f t="shared" si="11"/>
        <v>9.0691100000000002</v>
      </c>
      <c r="S66" s="36">
        <v>3.1555899999999997</v>
      </c>
      <c r="T66" s="36">
        <v>0.41796800000000001</v>
      </c>
      <c r="U66" s="39">
        <f t="shared" si="10"/>
        <v>19.461489999999998</v>
      </c>
      <c r="V66" s="36">
        <v>57</v>
      </c>
      <c r="W66" s="36">
        <v>2.0041099999999998</v>
      </c>
      <c r="X66" s="36">
        <v>0.32722200000000001</v>
      </c>
      <c r="Y66" s="84">
        <f t="shared" si="6"/>
        <v>0.16327546891138711</v>
      </c>
      <c r="Z66" s="39">
        <f t="shared" si="7"/>
        <v>1.8034999999999801E-2</v>
      </c>
      <c r="AA66">
        <v>0.73</v>
      </c>
      <c r="AB66">
        <v>1</v>
      </c>
      <c r="AC66">
        <v>1</v>
      </c>
    </row>
    <row r="67" spans="16:29">
      <c r="P67" s="36" t="s">
        <v>175</v>
      </c>
      <c r="Q67" s="36">
        <v>-10.649100000000001</v>
      </c>
      <c r="R67" s="72">
        <f t="shared" si="11"/>
        <v>10.649100000000001</v>
      </c>
      <c r="S67" s="36">
        <v>5.0220700000000003</v>
      </c>
      <c r="T67" s="36">
        <v>0.61817299999999997</v>
      </c>
      <c r="U67" s="39">
        <f t="shared" ref="U67:U88" si="12">SQRT(SUMSQ((R67-$R$92)))</f>
        <v>17.881499999999999</v>
      </c>
      <c r="V67" s="36">
        <v>66</v>
      </c>
      <c r="W67" s="36">
        <v>2.0708899999999999</v>
      </c>
      <c r="X67" s="36">
        <v>0.44738499999999998</v>
      </c>
      <c r="Y67" s="84">
        <f t="shared" si="6"/>
        <v>0.21603513465225097</v>
      </c>
      <c r="Z67" s="39">
        <f t="shared" si="7"/>
        <v>8.4814999999999863E-2</v>
      </c>
      <c r="AA67">
        <v>0.65</v>
      </c>
      <c r="AB67">
        <v>0.96969696969696972</v>
      </c>
      <c r="AC67">
        <v>0.89</v>
      </c>
    </row>
    <row r="68" spans="16:29">
      <c r="P68" s="36" t="s">
        <v>176</v>
      </c>
      <c r="Q68" s="36">
        <v>-34.7498</v>
      </c>
      <c r="R68" s="72">
        <f t="shared" si="11"/>
        <v>34.7498</v>
      </c>
      <c r="S68" s="36">
        <v>7.6756899999999995</v>
      </c>
      <c r="T68" s="36">
        <v>1.07481</v>
      </c>
      <c r="U68" s="39">
        <f t="shared" si="12"/>
        <v>6.2192000000000007</v>
      </c>
      <c r="V68" s="36">
        <v>51</v>
      </c>
      <c r="W68" s="36">
        <v>2.5263800000000001</v>
      </c>
      <c r="X68" s="36">
        <v>0.20860799999999999</v>
      </c>
      <c r="Y68" s="84">
        <f t="shared" ref="Y68:Y88" si="13">X68/W68</f>
        <v>8.2571901297508687E-2</v>
      </c>
      <c r="Z68" s="39">
        <f t="shared" ref="Z68:Z87" si="14">SQRT(SUMSQ((W68-$W$92)))</f>
        <v>0.54030500000000004</v>
      </c>
      <c r="AA68">
        <v>0.82</v>
      </c>
      <c r="AB68">
        <v>1</v>
      </c>
      <c r="AC68">
        <v>1</v>
      </c>
    </row>
    <row r="69" spans="16:29">
      <c r="P69" s="36" t="s">
        <v>177</v>
      </c>
      <c r="Q69" s="36">
        <v>-114.67699999999999</v>
      </c>
      <c r="R69" s="72">
        <f t="shared" si="11"/>
        <v>114.67699999999999</v>
      </c>
      <c r="S69" s="36">
        <v>29.432399999999998</v>
      </c>
      <c r="T69" s="36">
        <v>3.3985700000000003</v>
      </c>
      <c r="U69" s="39">
        <f t="shared" si="12"/>
        <v>86.1464</v>
      </c>
      <c r="V69" s="36">
        <v>75</v>
      </c>
      <c r="W69" s="36">
        <v>1.5842700000000001</v>
      </c>
      <c r="X69" s="36">
        <v>0.168708</v>
      </c>
      <c r="Y69" s="84">
        <f t="shared" si="13"/>
        <v>0.10648942415118634</v>
      </c>
      <c r="Z69" s="39">
        <f t="shared" si="14"/>
        <v>0.40180499999999997</v>
      </c>
      <c r="AA69">
        <v>0.91</v>
      </c>
      <c r="AB69">
        <v>1</v>
      </c>
      <c r="AC69">
        <v>1</v>
      </c>
    </row>
    <row r="70" spans="16:29">
      <c r="P70" s="36" t="s">
        <v>178</v>
      </c>
      <c r="Q70" s="36">
        <v>-33.272799999999997</v>
      </c>
      <c r="R70" s="72">
        <f t="shared" si="11"/>
        <v>33.272799999999997</v>
      </c>
      <c r="S70" s="36">
        <v>5.3477899999999998</v>
      </c>
      <c r="T70" s="36">
        <v>0.67917000000000005</v>
      </c>
      <c r="U70" s="39">
        <f t="shared" si="12"/>
        <v>4.7421999999999969</v>
      </c>
      <c r="V70" s="36">
        <v>62</v>
      </c>
      <c r="W70" s="36">
        <v>1.66666</v>
      </c>
      <c r="X70" s="36">
        <v>0.108422</v>
      </c>
      <c r="Y70" s="84">
        <f t="shared" si="13"/>
        <v>6.5053460213840855E-2</v>
      </c>
      <c r="Z70" s="39">
        <f t="shared" si="14"/>
        <v>0.319415</v>
      </c>
      <c r="AA70">
        <v>0.53</v>
      </c>
      <c r="AB70">
        <v>1</v>
      </c>
      <c r="AC70">
        <v>0.99</v>
      </c>
    </row>
    <row r="71" spans="16:29">
      <c r="P71" s="36" t="s">
        <v>179</v>
      </c>
      <c r="Q71" s="36">
        <v>-55.484099999999998</v>
      </c>
      <c r="R71" s="72">
        <f t="shared" si="11"/>
        <v>55.484099999999998</v>
      </c>
      <c r="S71" s="36">
        <v>13.899099999999999</v>
      </c>
      <c r="T71" s="36">
        <v>1.6980500000000001</v>
      </c>
      <c r="U71" s="39">
        <f t="shared" si="12"/>
        <v>26.953499999999998</v>
      </c>
      <c r="V71" s="36">
        <v>67</v>
      </c>
      <c r="W71" s="36">
        <v>1.83026</v>
      </c>
      <c r="X71" s="36">
        <v>0.22018699999999999</v>
      </c>
      <c r="Y71" s="84">
        <f t="shared" si="13"/>
        <v>0.12030367270223902</v>
      </c>
      <c r="Z71" s="39">
        <f t="shared" si="14"/>
        <v>0.15581500000000004</v>
      </c>
      <c r="AA71">
        <v>0.69</v>
      </c>
      <c r="AB71">
        <v>1</v>
      </c>
      <c r="AC71">
        <v>1</v>
      </c>
    </row>
    <row r="72" spans="16:29">
      <c r="P72" s="36" t="s">
        <v>180</v>
      </c>
      <c r="Q72" s="36">
        <v>-26.943899999999999</v>
      </c>
      <c r="R72" s="72">
        <f t="shared" si="11"/>
        <v>26.943899999999999</v>
      </c>
      <c r="S72" s="36">
        <v>6.8360300000000001</v>
      </c>
      <c r="T72" s="36">
        <v>1.0079199999999999</v>
      </c>
      <c r="U72" s="39">
        <f t="shared" si="12"/>
        <v>1.5867000000000004</v>
      </c>
      <c r="V72" s="36">
        <v>46</v>
      </c>
      <c r="W72" s="36">
        <v>2.0694300000000001</v>
      </c>
      <c r="X72" s="36">
        <v>0.279561</v>
      </c>
      <c r="Y72" s="84">
        <f t="shared" si="13"/>
        <v>0.13509082211043622</v>
      </c>
      <c r="Z72" s="39">
        <f t="shared" si="14"/>
        <v>8.3355000000000068E-2</v>
      </c>
      <c r="AA72">
        <v>0.73</v>
      </c>
      <c r="AB72">
        <v>1</v>
      </c>
      <c r="AC72">
        <v>1</v>
      </c>
    </row>
    <row r="73" spans="16:29">
      <c r="P73" s="36" t="s">
        <v>181</v>
      </c>
      <c r="Q73" s="36">
        <v>-58.361099999999993</v>
      </c>
      <c r="R73" s="72">
        <f t="shared" si="11"/>
        <v>58.361099999999993</v>
      </c>
      <c r="S73" s="36">
        <v>8.7016799999999996</v>
      </c>
      <c r="T73" s="36">
        <v>1.08771</v>
      </c>
      <c r="U73" s="39">
        <f t="shared" si="12"/>
        <v>29.830499999999994</v>
      </c>
      <c r="V73" s="36">
        <v>64</v>
      </c>
      <c r="W73" s="36">
        <v>2.23224</v>
      </c>
      <c r="X73" s="36">
        <v>0.20520099999999999</v>
      </c>
      <c r="Y73" s="84">
        <f t="shared" si="13"/>
        <v>9.1926047378418085E-2</v>
      </c>
      <c r="Z73" s="39">
        <f t="shared" si="14"/>
        <v>0.24616499999999997</v>
      </c>
      <c r="AA73">
        <v>0.59</v>
      </c>
      <c r="AB73">
        <v>1</v>
      </c>
      <c r="AC73">
        <v>1</v>
      </c>
    </row>
    <row r="74" spans="16:29">
      <c r="P74" s="36" t="s">
        <v>182</v>
      </c>
      <c r="Q74" s="36">
        <v>-15.532999999999999</v>
      </c>
      <c r="R74" s="72">
        <f t="shared" si="11"/>
        <v>15.532999999999999</v>
      </c>
      <c r="S74" s="36">
        <v>5.2583200000000003</v>
      </c>
      <c r="T74" s="36">
        <v>0.83141399999999999</v>
      </c>
      <c r="U74" s="39">
        <f t="shared" si="12"/>
        <v>12.9976</v>
      </c>
      <c r="V74" s="36">
        <v>40</v>
      </c>
      <c r="W74" s="36">
        <v>1.52284</v>
      </c>
      <c r="X74" s="36">
        <v>0.26415</v>
      </c>
      <c r="Y74" s="84">
        <f t="shared" si="13"/>
        <v>0.17345880066192115</v>
      </c>
      <c r="Z74" s="39">
        <f t="shared" si="14"/>
        <v>0.46323500000000006</v>
      </c>
      <c r="AA74">
        <v>0.9</v>
      </c>
      <c r="AB74">
        <v>1</v>
      </c>
      <c r="AC74">
        <v>1</v>
      </c>
    </row>
    <row r="75" spans="16:29">
      <c r="P75" s="36" t="s">
        <v>183</v>
      </c>
      <c r="Q75" s="36">
        <v>-19.412200000000002</v>
      </c>
      <c r="R75" s="72">
        <f t="shared" si="11"/>
        <v>19.412200000000002</v>
      </c>
      <c r="S75" s="36">
        <v>5.3026</v>
      </c>
      <c r="T75" s="36">
        <v>0.62930200000000003</v>
      </c>
      <c r="U75" s="39">
        <f t="shared" si="12"/>
        <v>9.1183999999999976</v>
      </c>
      <c r="V75" s="36">
        <v>71</v>
      </c>
      <c r="W75" s="36">
        <v>2.3008199999999999</v>
      </c>
      <c r="X75" s="36">
        <v>0.212066</v>
      </c>
      <c r="Y75" s="84">
        <f t="shared" si="13"/>
        <v>9.2169748176736996E-2</v>
      </c>
      <c r="Z75" s="39">
        <f t="shared" si="14"/>
        <v>0.31474499999999983</v>
      </c>
      <c r="AA75">
        <v>0.69</v>
      </c>
      <c r="AB75">
        <v>1</v>
      </c>
      <c r="AC75">
        <v>1</v>
      </c>
    </row>
    <row r="76" spans="16:29">
      <c r="P76" s="36" t="s">
        <v>184</v>
      </c>
      <c r="Q76" s="36">
        <v>-40.057600000000001</v>
      </c>
      <c r="R76" s="72">
        <f t="shared" si="11"/>
        <v>40.057600000000001</v>
      </c>
      <c r="S76" s="36">
        <v>5.7684000000000006</v>
      </c>
      <c r="T76" s="36">
        <v>0.74469700000000005</v>
      </c>
      <c r="U76" s="39">
        <f t="shared" si="12"/>
        <v>11.527000000000001</v>
      </c>
      <c r="V76" s="36">
        <v>60</v>
      </c>
      <c r="W76" s="36">
        <v>3.4125100000000002</v>
      </c>
      <c r="X76" s="36">
        <v>0.154886</v>
      </c>
      <c r="Y76" s="84">
        <f t="shared" si="13"/>
        <v>4.5387705823572676E-2</v>
      </c>
      <c r="Z76" s="39">
        <f t="shared" si="14"/>
        <v>1.4264350000000001</v>
      </c>
      <c r="AA76">
        <v>0.72</v>
      </c>
      <c r="AB76">
        <v>1</v>
      </c>
      <c r="AC76">
        <v>1</v>
      </c>
    </row>
    <row r="77" spans="16:29">
      <c r="P77" s="36" t="s">
        <v>185</v>
      </c>
      <c r="Q77" s="36">
        <v>-15.460700000000001</v>
      </c>
      <c r="R77" s="72">
        <f t="shared" si="11"/>
        <v>15.460700000000001</v>
      </c>
      <c r="S77" s="36">
        <v>3.9715700000000003</v>
      </c>
      <c r="T77" s="36">
        <v>0.48162300000000002</v>
      </c>
      <c r="U77" s="39">
        <f t="shared" si="12"/>
        <v>13.069899999999999</v>
      </c>
      <c r="V77" s="36">
        <v>68</v>
      </c>
      <c r="W77" s="36">
        <v>1.51447</v>
      </c>
      <c r="X77" s="36">
        <v>0.20311999999999999</v>
      </c>
      <c r="Y77" s="84">
        <f t="shared" si="13"/>
        <v>0.13411952696322807</v>
      </c>
      <c r="Z77" s="39">
        <f t="shared" si="14"/>
        <v>0.47160500000000005</v>
      </c>
      <c r="AA77">
        <v>0.64</v>
      </c>
      <c r="AB77">
        <v>0.98529411764705888</v>
      </c>
      <c r="AC77">
        <v>0.95</v>
      </c>
    </row>
    <row r="78" spans="16:29">
      <c r="P78" s="36" t="s">
        <v>186</v>
      </c>
      <c r="Q78" s="36">
        <v>-29.825400000000002</v>
      </c>
      <c r="R78" s="72">
        <f t="shared" si="11"/>
        <v>29.825400000000002</v>
      </c>
      <c r="S78" s="36">
        <v>6.9843699999999993</v>
      </c>
      <c r="T78" s="36">
        <v>0.85971600000000004</v>
      </c>
      <c r="U78" s="39">
        <f t="shared" si="12"/>
        <v>1.2948000000000022</v>
      </c>
      <c r="V78" s="36">
        <v>66</v>
      </c>
      <c r="W78" s="36">
        <v>1.9523600000000001</v>
      </c>
      <c r="X78" s="36">
        <v>0.22237199999999999</v>
      </c>
      <c r="Y78" s="84">
        <f t="shared" si="13"/>
        <v>0.11389907599008378</v>
      </c>
      <c r="Z78" s="39">
        <f t="shared" si="14"/>
        <v>3.3714999999999939E-2</v>
      </c>
      <c r="AA78">
        <v>0.8</v>
      </c>
      <c r="AB78">
        <v>1</v>
      </c>
      <c r="AC78">
        <v>1</v>
      </c>
    </row>
    <row r="79" spans="16:29">
      <c r="P79" s="36" t="s">
        <v>187</v>
      </c>
      <c r="Q79" s="36">
        <v>-45.228200000000001</v>
      </c>
      <c r="R79" s="72">
        <f t="shared" si="11"/>
        <v>45.228200000000001</v>
      </c>
      <c r="S79" s="36">
        <v>7.4826699999999997</v>
      </c>
      <c r="T79" s="36">
        <v>0.85272999999999999</v>
      </c>
      <c r="U79" s="39">
        <f t="shared" si="12"/>
        <v>16.697600000000001</v>
      </c>
      <c r="V79" s="36">
        <v>77</v>
      </c>
      <c r="W79" s="36">
        <v>1.8285800000000001</v>
      </c>
      <c r="X79" s="36">
        <v>0.37822699999999998</v>
      </c>
      <c r="Y79" s="84">
        <f t="shared" si="13"/>
        <v>0.20684192105349505</v>
      </c>
      <c r="Z79" s="39">
        <f t="shared" si="14"/>
        <v>0.15749499999999994</v>
      </c>
      <c r="AA79">
        <v>0.71</v>
      </c>
      <c r="AB79">
        <v>1</v>
      </c>
      <c r="AC79">
        <v>1</v>
      </c>
    </row>
    <row r="80" spans="16:29">
      <c r="P80" s="36" t="s">
        <v>188</v>
      </c>
      <c r="Q80" s="36">
        <v>-28.421199999999999</v>
      </c>
      <c r="R80" s="72">
        <f t="shared" si="11"/>
        <v>28.421199999999999</v>
      </c>
      <c r="S80" s="36">
        <v>4.2106699999999995</v>
      </c>
      <c r="T80" s="36">
        <v>0.58961200000000002</v>
      </c>
      <c r="U80" s="39">
        <f t="shared" si="12"/>
        <v>0.10940000000000083</v>
      </c>
      <c r="V80" s="36">
        <v>51</v>
      </c>
      <c r="W80" s="36">
        <v>1.7841899999999999</v>
      </c>
      <c r="X80" s="36">
        <v>0.115287</v>
      </c>
      <c r="Y80" s="84">
        <f t="shared" si="13"/>
        <v>6.4615876111849074E-2</v>
      </c>
      <c r="Z80" s="39">
        <f t="shared" si="14"/>
        <v>0.20188500000000009</v>
      </c>
      <c r="AA80">
        <v>0.72</v>
      </c>
      <c r="AB80">
        <v>1</v>
      </c>
      <c r="AC80">
        <v>0.99</v>
      </c>
    </row>
    <row r="81" spans="16:29">
      <c r="P81" s="36" t="s">
        <v>189</v>
      </c>
      <c r="Q81" s="36">
        <v>-23.9529</v>
      </c>
      <c r="R81" s="72">
        <f t="shared" si="11"/>
        <v>23.9529</v>
      </c>
      <c r="S81" s="36">
        <v>5.2652099999999997</v>
      </c>
      <c r="T81" s="36">
        <v>0.663354</v>
      </c>
      <c r="U81" s="39">
        <f t="shared" si="12"/>
        <v>4.5777000000000001</v>
      </c>
      <c r="V81" s="36">
        <v>63</v>
      </c>
      <c r="W81" s="36">
        <v>2.1151499999999999</v>
      </c>
      <c r="X81" s="36">
        <v>0.20424</v>
      </c>
      <c r="Y81" s="84">
        <f t="shared" si="13"/>
        <v>9.656052762215446E-2</v>
      </c>
      <c r="Z81" s="39">
        <f t="shared" si="14"/>
        <v>0.12907499999999983</v>
      </c>
      <c r="AA81">
        <v>0.67</v>
      </c>
      <c r="AB81">
        <v>1</v>
      </c>
      <c r="AC81">
        <v>1</v>
      </c>
    </row>
    <row r="82" spans="16:29">
      <c r="P82" s="8" t="s">
        <v>190</v>
      </c>
      <c r="Q82" s="36">
        <v>-19.532800000000002</v>
      </c>
      <c r="R82" s="72">
        <f t="shared" si="11"/>
        <v>19.532800000000002</v>
      </c>
      <c r="S82" s="36">
        <v>5.1591399999999998</v>
      </c>
      <c r="T82" s="36">
        <v>0.60800999999999994</v>
      </c>
      <c r="U82" s="39">
        <f t="shared" si="12"/>
        <v>8.997799999999998</v>
      </c>
      <c r="V82" s="36">
        <v>72</v>
      </c>
      <c r="W82" s="36">
        <v>2.9454899999999999</v>
      </c>
      <c r="X82" s="36">
        <v>0.36700300000000002</v>
      </c>
      <c r="Y82" s="84">
        <f t="shared" si="13"/>
        <v>0.12459828415645616</v>
      </c>
      <c r="Z82" s="39">
        <f t="shared" si="14"/>
        <v>0.95941499999999991</v>
      </c>
      <c r="AA82">
        <v>0.9</v>
      </c>
      <c r="AB82">
        <v>0.98611111111111116</v>
      </c>
      <c r="AC82">
        <v>0.98</v>
      </c>
    </row>
    <row r="83" spans="16:29">
      <c r="P83" s="8" t="s">
        <v>191</v>
      </c>
      <c r="Q83" s="36">
        <v>-122.37000000000002</v>
      </c>
      <c r="R83" s="72">
        <f t="shared" si="11"/>
        <v>122.37000000000002</v>
      </c>
      <c r="S83" s="36">
        <v>14.576700000000001</v>
      </c>
      <c r="T83" s="36">
        <v>1.6831700000000001</v>
      </c>
      <c r="U83" s="39">
        <f t="shared" si="12"/>
        <v>93.839400000000012</v>
      </c>
      <c r="V83" s="36">
        <v>75</v>
      </c>
      <c r="W83" s="36">
        <v>2.0736500000000002</v>
      </c>
      <c r="X83" s="36">
        <v>0.18273</v>
      </c>
      <c r="Y83" s="84">
        <f t="shared" si="13"/>
        <v>8.8119981674824571E-2</v>
      </c>
      <c r="Z83" s="39">
        <f t="shared" si="14"/>
        <v>8.757500000000018E-2</v>
      </c>
      <c r="AA83">
        <v>0.59</v>
      </c>
      <c r="AB83">
        <v>1</v>
      </c>
      <c r="AC83">
        <v>1</v>
      </c>
    </row>
    <row r="84" spans="16:29">
      <c r="P84" s="8" t="s">
        <v>192</v>
      </c>
      <c r="Q84" s="36">
        <v>-19.520499999999998</v>
      </c>
      <c r="R84" s="72">
        <f t="shared" si="11"/>
        <v>19.520499999999998</v>
      </c>
      <c r="S84" s="36">
        <v>6.97173</v>
      </c>
      <c r="T84" s="36">
        <v>0.82739299999999993</v>
      </c>
      <c r="U84" s="39">
        <f t="shared" si="12"/>
        <v>9.0101000000000013</v>
      </c>
      <c r="V84" s="36">
        <v>71</v>
      </c>
      <c r="W84" s="36">
        <v>2.12303</v>
      </c>
      <c r="X84" s="36">
        <v>0.58504199999999995</v>
      </c>
      <c r="Y84" s="84">
        <f t="shared" si="13"/>
        <v>0.27556935135160593</v>
      </c>
      <c r="Z84" s="39">
        <f t="shared" si="14"/>
        <v>0.13695499999999994</v>
      </c>
      <c r="AA84">
        <v>0.62</v>
      </c>
      <c r="AB84">
        <v>1</v>
      </c>
      <c r="AC84">
        <v>0.99</v>
      </c>
    </row>
    <row r="85" spans="16:29">
      <c r="P85" s="8" t="s">
        <v>193</v>
      </c>
      <c r="Q85" s="36">
        <v>-24.0868</v>
      </c>
      <c r="R85" s="72">
        <f t="shared" si="11"/>
        <v>24.0868</v>
      </c>
      <c r="S85" s="36">
        <v>6.0086900000000005</v>
      </c>
      <c r="T85" s="36">
        <v>0.76933399999999996</v>
      </c>
      <c r="U85" s="39">
        <f t="shared" si="12"/>
        <v>4.4437999999999995</v>
      </c>
      <c r="V85" s="36">
        <v>61</v>
      </c>
      <c r="W85" s="36">
        <v>1.7029399999999999</v>
      </c>
      <c r="X85" s="36">
        <v>0.31894699999999998</v>
      </c>
      <c r="Y85" s="84">
        <f t="shared" si="13"/>
        <v>0.18729197740378403</v>
      </c>
      <c r="Z85" s="39">
        <f t="shared" si="14"/>
        <v>0.28313500000000014</v>
      </c>
      <c r="AA85">
        <v>0.78</v>
      </c>
      <c r="AB85">
        <v>1</v>
      </c>
      <c r="AC85">
        <v>1</v>
      </c>
    </row>
    <row r="86" spans="16:29">
      <c r="P86" s="8" t="s">
        <v>194</v>
      </c>
      <c r="Q86" s="36">
        <v>-36.785800000000002</v>
      </c>
      <c r="R86" s="72">
        <f t="shared" si="11"/>
        <v>36.785800000000002</v>
      </c>
      <c r="S86" s="36">
        <v>9.974120000000001</v>
      </c>
      <c r="T86" s="36">
        <v>1.39666</v>
      </c>
      <c r="U86" s="39">
        <f t="shared" si="12"/>
        <v>8.2552000000000021</v>
      </c>
      <c r="V86" s="36">
        <v>51</v>
      </c>
      <c r="W86" s="36">
        <v>2.2387899999999998</v>
      </c>
      <c r="X86" s="36">
        <v>0.26442500000000002</v>
      </c>
      <c r="Y86" s="84">
        <f t="shared" si="13"/>
        <v>0.11811067585615447</v>
      </c>
      <c r="Z86" s="39">
        <f t="shared" si="14"/>
        <v>0.2527149999999998</v>
      </c>
      <c r="AA86">
        <v>0.75</v>
      </c>
      <c r="AB86">
        <v>1</v>
      </c>
      <c r="AC86">
        <v>1</v>
      </c>
    </row>
    <row r="87" spans="16:29">
      <c r="P87" s="8" t="s">
        <v>195</v>
      </c>
      <c r="Q87" s="36">
        <v>-25.610799999999998</v>
      </c>
      <c r="R87" s="72">
        <f t="shared" si="11"/>
        <v>25.610799999999998</v>
      </c>
      <c r="S87" s="36">
        <v>7.8262199999999993</v>
      </c>
      <c r="T87" s="36">
        <v>0.94216599999999995</v>
      </c>
      <c r="U87" s="39">
        <f t="shared" si="12"/>
        <v>2.9198000000000022</v>
      </c>
      <c r="V87" s="36">
        <v>69</v>
      </c>
      <c r="W87" s="36">
        <v>2.1941600000000001</v>
      </c>
      <c r="X87" s="36">
        <v>0.235711</v>
      </c>
      <c r="Y87" s="84">
        <f t="shared" si="13"/>
        <v>0.10742653224924344</v>
      </c>
      <c r="Z87" s="39">
        <f t="shared" si="14"/>
        <v>0.20808500000000008</v>
      </c>
      <c r="AA87">
        <v>1.01</v>
      </c>
      <c r="AB87">
        <v>1</v>
      </c>
      <c r="AC87">
        <v>1</v>
      </c>
    </row>
    <row r="88" spans="16:29">
      <c r="P88" s="8" t="s">
        <v>196</v>
      </c>
      <c r="Q88" s="36">
        <v>-65.118499999999997</v>
      </c>
      <c r="R88" s="72">
        <f t="shared" si="11"/>
        <v>65.118499999999997</v>
      </c>
      <c r="S88" s="36">
        <v>37.172499999999999</v>
      </c>
      <c r="T88" s="36">
        <v>4.6833</v>
      </c>
      <c r="U88" s="39">
        <f t="shared" si="12"/>
        <v>36.587899999999998</v>
      </c>
      <c r="V88" s="36">
        <v>63</v>
      </c>
      <c r="W88" s="36">
        <v>1.73899</v>
      </c>
      <c r="X88" s="36">
        <v>0.33552500000000002</v>
      </c>
      <c r="Y88" s="84">
        <f t="shared" si="13"/>
        <v>0.19294245510324959</v>
      </c>
      <c r="Z88" s="39">
        <f>SQRT(SUMSQ((W88-$W$92)))</f>
        <v>0.247085</v>
      </c>
      <c r="AA88">
        <v>0.62</v>
      </c>
      <c r="AB88">
        <v>0.98412698412698418</v>
      </c>
      <c r="AC88">
        <v>0.97</v>
      </c>
    </row>
    <row r="89" spans="16:29">
      <c r="P89" s="11"/>
      <c r="Q89" s="41"/>
      <c r="R89" s="26"/>
      <c r="S89" s="41"/>
      <c r="T89" s="41"/>
      <c r="U89" s="41"/>
      <c r="V89" s="41"/>
      <c r="W89" s="41"/>
      <c r="X89" s="41"/>
      <c r="Y89" s="41"/>
      <c r="Z89" s="41"/>
      <c r="AA89" s="41"/>
      <c r="AB89" s="41"/>
      <c r="AC89" s="41"/>
    </row>
    <row r="90" spans="16:29">
      <c r="P90" s="31" t="s">
        <v>65</v>
      </c>
      <c r="Q90" s="40">
        <f>AVERAGE(Q3:Q88)</f>
        <v>-42.776459069767469</v>
      </c>
      <c r="R90" s="40">
        <f>AVERAGE(R3:R88)</f>
        <v>42.776459069767469</v>
      </c>
      <c r="S90" s="40">
        <f>AVERAGE(S3:S88)</f>
        <v>12.300094310990767</v>
      </c>
      <c r="T90" s="40">
        <f>AVERAGE(T3:T88)</f>
        <v>1.574507069767441</v>
      </c>
      <c r="U90" s="40"/>
      <c r="V90" s="40">
        <f>AVERAGE(V3:V88)</f>
        <v>69.069767441860463</v>
      </c>
      <c r="W90" s="40">
        <f>AVERAGE(W3:W88)</f>
        <v>2.0055318604651164</v>
      </c>
      <c r="X90" s="40">
        <f>AVERAGE(X3:X88)</f>
        <v>0.2725092395348836</v>
      </c>
      <c r="Y90" s="40">
        <f>AVERAGE(Y3:Y88)</f>
        <v>0.13635805196882722</v>
      </c>
      <c r="Z90" s="40"/>
      <c r="AA90" s="40">
        <f>AVERAGE(AA3:AA88)</f>
        <v>0.80050924418604663</v>
      </c>
      <c r="AB90" s="40">
        <f>AVERAGE(AB3:AB88)</f>
        <v>0.95179223953329906</v>
      </c>
      <c r="AC90" s="40">
        <f>AVERAGE(AC3:AC88)</f>
        <v>0.96062826808759127</v>
      </c>
    </row>
    <row r="91" spans="16:29">
      <c r="P91" s="31" t="s">
        <v>67</v>
      </c>
      <c r="Q91" s="40">
        <f>STDEV(Q3:Q88)/SQRT(Q95)</f>
        <v>4.1023955873885125</v>
      </c>
      <c r="R91" s="40">
        <f>STDEV(R3:R88)/SQRT(R95)</f>
        <v>4.1023955873885125</v>
      </c>
      <c r="S91" s="40">
        <f>STDEV(S3:S88)/SQRT(S95)</f>
        <v>1.1853047001254127</v>
      </c>
      <c r="T91" s="40">
        <f>STDEV(T3:T88)/SQRT(T95)</f>
        <v>0.1638270963050735</v>
      </c>
      <c r="U91" s="40"/>
      <c r="V91" s="40">
        <f>STDEV(V3:V88)/SQRT(V95)</f>
        <v>3.1862731703653391</v>
      </c>
      <c r="W91" s="40">
        <f>STDEV(W3:W88)/SQRT(W95)</f>
        <v>4.8232916120884282E-2</v>
      </c>
      <c r="X91" s="40">
        <f>STDEV(X3:X88)/SQRT(X95)</f>
        <v>1.6268323864335472E-2</v>
      </c>
      <c r="Y91" s="40">
        <f>STDEV(Y3:Y88)/SQRT(Y95)</f>
        <v>7.6546424280501384E-3</v>
      </c>
      <c r="Z91" s="40"/>
      <c r="AA91" s="40">
        <f>STDEV(AA3:AA88)/SQRT(AA95)</f>
        <v>1.9609834902341947E-2</v>
      </c>
      <c r="AB91" s="40">
        <f>STDEV(AB3:AB88)/SQRT(AB95)</f>
        <v>1.0790854965178526E-2</v>
      </c>
      <c r="AC91" s="40">
        <f>STDEV(AC3:AC88)/SQRT(AC95)</f>
        <v>7.7419180469461557E-3</v>
      </c>
    </row>
    <row r="92" spans="16:29">
      <c r="P92" s="9" t="s">
        <v>47</v>
      </c>
      <c r="Q92" s="34">
        <f>MEDIAN(Q3:Q88)</f>
        <v>-28.5306</v>
      </c>
      <c r="R92" s="34">
        <f>MEDIAN(R3:R88)</f>
        <v>28.5306</v>
      </c>
      <c r="S92" s="34">
        <f>MEDIAN(S3:S88)</f>
        <v>7.5501547865611869</v>
      </c>
      <c r="T92" s="34">
        <f>MEDIAN(T3:T88)</f>
        <v>0.95063450000000005</v>
      </c>
      <c r="U92" s="34">
        <f>MEDIAN(U3:U88)/R92</f>
        <v>0.49783390464974442</v>
      </c>
      <c r="V92" s="34">
        <f>MEDIAN(V3:V88)</f>
        <v>64</v>
      </c>
      <c r="W92" s="34">
        <f>MEDIAN(W3:W88)</f>
        <v>1.986075</v>
      </c>
      <c r="X92" s="34">
        <f>MEDIAN(X3:X88)</f>
        <v>0.241762</v>
      </c>
      <c r="Y92" s="34">
        <f>MEDIAN(Y3:Y88)</f>
        <v>0.12427974059072071</v>
      </c>
      <c r="Z92" s="34">
        <f>MEDIAN(Z3:Z88)/W92</f>
        <v>0.14318693906322777</v>
      </c>
      <c r="AA92" s="34">
        <f>MEDIAN(AA3:AA88)</f>
        <v>0.77836700000000003</v>
      </c>
      <c r="AB92" s="34">
        <f>MEDIAN(AB3:AB88)</f>
        <v>1</v>
      </c>
      <c r="AC92" s="34">
        <f>MEDIAN(AC3:AC88)</f>
        <v>0.99</v>
      </c>
    </row>
    <row r="93" spans="16:29">
      <c r="P93" s="35" t="s">
        <v>48</v>
      </c>
      <c r="Q93" s="40">
        <f>QUARTILE(Q3:Q88,3)</f>
        <v>-18.348975000000003</v>
      </c>
      <c r="R93" s="40">
        <f>QUARTILE(R3:R88,3)</f>
        <v>52.084424999999996</v>
      </c>
      <c r="S93" s="40">
        <f>QUARTILE(S3:S88,3)</f>
        <v>14.25325</v>
      </c>
      <c r="T93" s="40">
        <f>QUARTILE(T3:T88,3)</f>
        <v>1.7537374999999999</v>
      </c>
      <c r="U93" s="40">
        <f>QUARTILE(U3:U88,3)/R92</f>
        <v>0.83884644907572914</v>
      </c>
      <c r="V93" s="40">
        <f>QUARTILE(V3:V88,3)</f>
        <v>74.5</v>
      </c>
      <c r="W93" s="40">
        <f>QUARTILE(W3:W88,3)</f>
        <v>2.244875</v>
      </c>
      <c r="X93" s="40">
        <f>QUARTILE(X3:X88,3)</f>
        <v>0.36479700000000004</v>
      </c>
      <c r="Y93" s="40">
        <f>QUARTILE(Y3:Y88,3)</f>
        <v>0.18719056062454961</v>
      </c>
      <c r="Z93" s="40">
        <f>QUARTILE(Z3:Z88,3)*(W92)</f>
        <v>1.0471928000625002</v>
      </c>
      <c r="AA93" s="40">
        <f>QUARTILE(AA3:AA88,3)</f>
        <v>0.90221324999999997</v>
      </c>
      <c r="AB93" s="40">
        <f>QUARTILE(AB3:AB88,3)</f>
        <v>1</v>
      </c>
      <c r="AC93" s="40">
        <f>QUARTILE(AC3:AC88,3)</f>
        <v>1</v>
      </c>
    </row>
    <row r="94" spans="16:29">
      <c r="P94" s="35" t="s">
        <v>49</v>
      </c>
      <c r="Q94" s="40">
        <f>QUARTILE(Q3:Q88,1)</f>
        <v>-52.084424999999996</v>
      </c>
      <c r="R94" s="40">
        <f>QUARTILE(R3:R88,1)</f>
        <v>18.348975000000003</v>
      </c>
      <c r="S94" s="40">
        <f>QUARTILE(S3:S88,1)</f>
        <v>5.4393901059247636</v>
      </c>
      <c r="T94" s="40">
        <f>QUARTILE(T3:T88,1)</f>
        <v>0.70175525000000005</v>
      </c>
      <c r="U94" s="40">
        <f>QUARTILE(U3:U88,1)/R92</f>
        <v>0.31108879588932586</v>
      </c>
      <c r="V94" s="40">
        <f>QUARTILE(V3:V88,1)</f>
        <v>52.25</v>
      </c>
      <c r="W94" s="40">
        <f>QUARTILE(W3:W88,1)</f>
        <v>1.6679225</v>
      </c>
      <c r="X94" s="40">
        <f>QUARTILE(X3:X88,1)</f>
        <v>0.14511849999999998</v>
      </c>
      <c r="Y94" s="40">
        <f>QUARTILE(Y3:Y88,1)</f>
        <v>7.8768401705813548E-2</v>
      </c>
      <c r="Z94" s="40">
        <f>QUARTILE(Z3:Z88,1)/W92</f>
        <v>8.1887642712384967E-2</v>
      </c>
      <c r="AA94" s="40">
        <f>QUARTILE(AA3:AA88,1)</f>
        <v>0.69</v>
      </c>
      <c r="AB94" s="40">
        <f>QUARTILE(AB3:AB88,1)</f>
        <v>0.96700051361068307</v>
      </c>
      <c r="AC94" s="40">
        <f>QUARTILE(AC3:AC88,1)</f>
        <v>0.95</v>
      </c>
    </row>
    <row r="95" spans="16:29">
      <c r="P95" s="35" t="s">
        <v>6</v>
      </c>
      <c r="Q95" s="39">
        <f>COUNT(Q3:Q88)</f>
        <v>86</v>
      </c>
      <c r="R95" s="39">
        <f>COUNT(R3:R88)</f>
        <v>86</v>
      </c>
      <c r="S95" s="39">
        <f>COUNT(S3:S88)</f>
        <v>86</v>
      </c>
      <c r="T95" s="39">
        <f>COUNT(T3:T88)</f>
        <v>86</v>
      </c>
      <c r="U95" s="39"/>
      <c r="V95" s="39">
        <f>COUNT(V3:V88)</f>
        <v>86</v>
      </c>
      <c r="W95" s="39">
        <f>COUNT(W3:W88)</f>
        <v>86</v>
      </c>
      <c r="X95" s="39">
        <f>COUNT(X3:X88)</f>
        <v>86</v>
      </c>
      <c r="Y95" s="39">
        <f>COUNT(Y3:Y88)</f>
        <v>86</v>
      </c>
      <c r="Z95" s="39"/>
      <c r="AA95" s="39">
        <f>COUNT(AA3:AA88)</f>
        <v>86</v>
      </c>
      <c r="AB95" s="39">
        <f>COUNT(AB3:AB88)</f>
        <v>86</v>
      </c>
      <c r="AC95" s="39">
        <f>COUNT(AC3:AC88)</f>
        <v>86</v>
      </c>
    </row>
    <row r="96" spans="16:29">
      <c r="Y96" s="35">
        <f>X92/W92</f>
        <v>0.12172853492441121</v>
      </c>
    </row>
  </sheetData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data</vt:lpstr>
      <vt:lpstr>summary</vt:lpstr>
    </vt:vector>
  </TitlesOfParts>
  <Company>UKL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Bornschein</dc:creator>
  <cp:lastModifiedBy>Bornschein</cp:lastModifiedBy>
  <dcterms:created xsi:type="dcterms:W3CDTF">2021-11-02T15:30:09Z</dcterms:created>
  <dcterms:modified xsi:type="dcterms:W3CDTF">2026-09-25T11:43:23Z</dcterms:modified>
</cp:coreProperties>
</file>