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4780" windowHeight="17220"/>
  </bookViews>
  <sheets>
    <sheet name="PPR vs ISI" sheetId="1" r:id="rId1"/>
  </sheets>
  <calcPr calcId="145621" iterateDelta="1E-4"/>
</workbook>
</file>

<file path=xl/calcChain.xml><?xml version="1.0" encoding="utf-8"?>
<calcChain xmlns="http://schemas.openxmlformats.org/spreadsheetml/2006/main">
  <c r="W23" i="1" l="1"/>
  <c r="W22" i="1"/>
  <c r="O48" i="1"/>
  <c r="P48" i="1"/>
  <c r="O49" i="1"/>
  <c r="P49" i="1"/>
  <c r="N49" i="1"/>
  <c r="N48" i="1"/>
  <c r="M49" i="1"/>
  <c r="M48" i="1"/>
  <c r="O47" i="1" l="1"/>
  <c r="P47" i="1"/>
  <c r="N47" i="1"/>
  <c r="M47" i="1"/>
  <c r="P46" i="1"/>
  <c r="O46" i="1"/>
  <c r="N46" i="1"/>
  <c r="M46" i="1"/>
  <c r="P44" i="1"/>
  <c r="P45" i="1" s="1"/>
  <c r="O44" i="1"/>
  <c r="O45" i="1" s="1"/>
  <c r="N44" i="1"/>
  <c r="N45" i="1" s="1"/>
  <c r="M44" i="1"/>
  <c r="M45" i="1" s="1"/>
  <c r="P43" i="1"/>
  <c r="O43" i="1"/>
  <c r="N43" i="1"/>
  <c r="M43" i="1"/>
  <c r="H42" i="1"/>
  <c r="K42" i="1" s="1"/>
  <c r="L41" i="1"/>
  <c r="H41" i="1"/>
  <c r="K41" i="1" s="1"/>
  <c r="H40" i="1"/>
  <c r="K40" i="1" s="1"/>
  <c r="H39" i="1"/>
  <c r="K39" i="1" s="1"/>
  <c r="H38" i="1"/>
  <c r="K38" i="1" s="1"/>
  <c r="H37" i="1"/>
  <c r="K37" i="1" s="1"/>
  <c r="H36" i="1"/>
  <c r="K36" i="1" s="1"/>
  <c r="L35" i="1"/>
  <c r="H35" i="1"/>
  <c r="K35" i="1" s="1"/>
  <c r="H34" i="1"/>
  <c r="K34" i="1" s="1"/>
  <c r="L33" i="1"/>
  <c r="H33" i="1"/>
  <c r="K33" i="1" s="1"/>
  <c r="H32" i="1"/>
  <c r="K32" i="1" s="1"/>
  <c r="H31" i="1"/>
  <c r="K31" i="1" s="1"/>
  <c r="H30" i="1"/>
  <c r="K30" i="1" s="1"/>
  <c r="AF24" i="1" l="1"/>
  <c r="AF23" i="1"/>
  <c r="AF22" i="1"/>
  <c r="AF21" i="1"/>
  <c r="AF20" i="1"/>
  <c r="AF19" i="1"/>
  <c r="AC24" i="1"/>
  <c r="AC23" i="1"/>
  <c r="AC22" i="1"/>
  <c r="AC21" i="1"/>
  <c r="AC20" i="1"/>
  <c r="AC19" i="1"/>
  <c r="Z24" i="1"/>
  <c r="Z23" i="1"/>
  <c r="Z22" i="1"/>
  <c r="Z21" i="1"/>
  <c r="Z20" i="1"/>
  <c r="Z19" i="1"/>
  <c r="W24" i="1"/>
  <c r="W20" i="1" s="1"/>
  <c r="W21" i="1"/>
  <c r="W19" i="1"/>
  <c r="L53" i="1" l="1"/>
  <c r="L54" i="1"/>
  <c r="L55" i="1"/>
  <c r="L56" i="1"/>
  <c r="L57" i="1"/>
  <c r="L52" i="1"/>
  <c r="K53" i="1"/>
  <c r="K54" i="1"/>
  <c r="K55" i="1"/>
  <c r="K56" i="1"/>
  <c r="K57" i="1"/>
  <c r="K52" i="1"/>
  <c r="E18" i="1" l="1"/>
  <c r="D18" i="1"/>
  <c r="L18" i="1"/>
  <c r="K18" i="1"/>
  <c r="J18" i="1"/>
  <c r="L12" i="1" l="1"/>
  <c r="K12" i="1"/>
  <c r="J12" i="1"/>
  <c r="D12" i="1"/>
  <c r="E11" i="1"/>
  <c r="D11" i="1"/>
  <c r="L11" i="1"/>
  <c r="K11" i="1"/>
  <c r="J11" i="1"/>
  <c r="K17" i="1"/>
  <c r="E17" i="1"/>
  <c r="D17" i="1"/>
  <c r="L17" i="1"/>
  <c r="J17" i="1"/>
  <c r="E10" i="1" l="1"/>
  <c r="D10" i="1"/>
  <c r="L10" i="1"/>
  <c r="K10" i="1"/>
  <c r="J10" i="1"/>
  <c r="E16" i="1"/>
  <c r="D16" i="1"/>
  <c r="L16" i="1"/>
  <c r="K16" i="1"/>
  <c r="J16" i="1"/>
  <c r="E9" i="1" l="1"/>
  <c r="D9" i="1"/>
  <c r="L9" i="1"/>
  <c r="K9" i="1"/>
  <c r="J9" i="1"/>
  <c r="E14" i="1" l="1"/>
  <c r="D14" i="1"/>
  <c r="L14" i="1"/>
  <c r="K14" i="1"/>
  <c r="J14" i="1"/>
  <c r="E15" i="1" l="1"/>
  <c r="L15" i="1"/>
  <c r="J15" i="1"/>
  <c r="L13" i="1" l="1"/>
  <c r="K13" i="1"/>
  <c r="J13" i="1"/>
  <c r="Q13" i="1" l="1"/>
  <c r="T13" i="1"/>
  <c r="D13" i="1"/>
  <c r="E13" i="1"/>
  <c r="T23" i="1" l="1"/>
  <c r="T22" i="1"/>
  <c r="Q23" i="1"/>
  <c r="Q22" i="1"/>
  <c r="T19" i="1"/>
  <c r="T21" i="1"/>
  <c r="T24" i="1"/>
  <c r="T20" i="1" s="1"/>
  <c r="Q21" i="1"/>
  <c r="Q24" i="1"/>
  <c r="Q20" i="1" s="1"/>
  <c r="Q19" i="1"/>
  <c r="J5" i="1"/>
  <c r="L6" i="1" l="1"/>
  <c r="L7" i="1"/>
  <c r="L8" i="1"/>
  <c r="L5" i="1"/>
  <c r="K8" i="1" l="1"/>
  <c r="J8" i="1"/>
  <c r="K7" i="1" l="1"/>
  <c r="J7" i="1"/>
  <c r="J6" i="1" l="1"/>
  <c r="K6" i="1"/>
  <c r="K5" i="1" l="1"/>
</calcChain>
</file>

<file path=xl/sharedStrings.xml><?xml version="1.0" encoding="utf-8"?>
<sst xmlns="http://schemas.openxmlformats.org/spreadsheetml/2006/main" count="177" uniqueCount="86">
  <si>
    <t>Paired Pulses</t>
  </si>
  <si>
    <t>Ca 2 mM</t>
  </si>
  <si>
    <t>SD (pA)</t>
  </si>
  <si>
    <t>SEM (pA)</t>
  </si>
  <si>
    <t>n</t>
  </si>
  <si>
    <t>CV</t>
  </si>
  <si>
    <t>Failure rate</t>
  </si>
  <si>
    <t>A1</t>
  </si>
  <si>
    <t>R2</t>
  </si>
  <si>
    <t>PPR</t>
  </si>
  <si>
    <t>A2</t>
  </si>
  <si>
    <t>P21-24</t>
  </si>
  <si>
    <t>Avg_x_x</t>
  </si>
  <si>
    <t>211101_P24</t>
  </si>
  <si>
    <t>m</t>
  </si>
  <si>
    <t>Rs (MOhm)</t>
  </si>
  <si>
    <t>Ileak (pA)</t>
  </si>
  <si>
    <t>211109_P22_p1</t>
  </si>
  <si>
    <t>211109_P22_p3</t>
  </si>
  <si>
    <t>211111_P22_p3</t>
  </si>
  <si>
    <t>MD</t>
  </si>
  <si>
    <t>IQR+</t>
  </si>
  <si>
    <t>IQR-</t>
  </si>
  <si>
    <t>w</t>
  </si>
  <si>
    <t>Amplitude (A)</t>
  </si>
  <si>
    <t>1st Amplitude (pA)</t>
  </si>
  <si>
    <t>SD</t>
  </si>
  <si>
    <t>Mean</t>
  </si>
  <si>
    <t>SD(Delay)</t>
  </si>
  <si>
    <t>SEM</t>
  </si>
  <si>
    <t>5 ms</t>
  </si>
  <si>
    <t>10 ms</t>
  </si>
  <si>
    <t>50 ms</t>
  </si>
  <si>
    <t>100 ms</t>
  </si>
  <si>
    <t>250626_P24</t>
  </si>
  <si>
    <t>250702_P24</t>
  </si>
  <si>
    <t>250703p1_P23</t>
  </si>
  <si>
    <t>250703p2_P23</t>
  </si>
  <si>
    <t>250729p1_P23</t>
  </si>
  <si>
    <t>250729p2_P23</t>
  </si>
  <si>
    <t>250730p1_P22</t>
  </si>
  <si>
    <t>250730p2_P22</t>
  </si>
  <si>
    <t>250731p1_P23</t>
  </si>
  <si>
    <t>250804_P22</t>
  </si>
  <si>
    <r>
      <t>500 ms /</t>
    </r>
    <r>
      <rPr>
        <sz val="11"/>
        <color rgb="FF0070C0"/>
        <rFont val="Calibri"/>
        <family val="2"/>
        <scheme val="minor"/>
      </rPr>
      <t xml:space="preserve"> 1000 ms</t>
    </r>
  </si>
  <si>
    <t>20 ms</t>
  </si>
  <si>
    <t>ISI</t>
  </si>
  <si>
    <t>Mw</t>
  </si>
  <si>
    <t>25Quart</t>
  </si>
  <si>
    <t>75Quart</t>
  </si>
  <si>
    <t>PPR vs ISI Plot</t>
  </si>
  <si>
    <t>S1</t>
  </si>
  <si>
    <t>Amplitude (pA)</t>
  </si>
  <si>
    <t>PFC</t>
  </si>
  <si>
    <t>140507_P23_p2</t>
  </si>
  <si>
    <t>140618_P24_p1d1_gDGG</t>
  </si>
  <si>
    <t>140618_P24_p1d2_gDGG</t>
  </si>
  <si>
    <t>140620_P22</t>
  </si>
  <si>
    <t>140624_P23_d1_EGTA</t>
  </si>
  <si>
    <t>140624_P23_d2</t>
  </si>
  <si>
    <t>150507_P23_p3</t>
  </si>
  <si>
    <t>140508_P22</t>
  </si>
  <si>
    <t>140523_P22</t>
  </si>
  <si>
    <t>140618_P24_p2_EGTA</t>
  </si>
  <si>
    <t>140619_P24</t>
  </si>
  <si>
    <t>140625_P24_p1</t>
  </si>
  <si>
    <t>140626_P22_p2</t>
  </si>
  <si>
    <t>Date_Age_No</t>
  </si>
  <si>
    <t>Sex</t>
  </si>
  <si>
    <t>Notes</t>
  </si>
  <si>
    <t>P21-26</t>
  </si>
  <si>
    <t>L5PN-L5PN</t>
  </si>
  <si>
    <t xml:space="preserve">control </t>
  </si>
  <si>
    <t>Train</t>
  </si>
  <si>
    <t>c_pre (pF)</t>
  </si>
  <si>
    <t>c_post (pF)</t>
  </si>
  <si>
    <t>mean</t>
  </si>
  <si>
    <t>PPR 50Hz</t>
  </si>
  <si>
    <t>PPR 20Hz</t>
  </si>
  <si>
    <t>PPR 100Hz</t>
  </si>
  <si>
    <t>PPR 200Hz</t>
  </si>
  <si>
    <r>
      <t>Rs (M</t>
    </r>
    <r>
      <rPr>
        <sz val="11"/>
        <color indexed="8"/>
        <rFont val="Calibri"/>
        <family val="2"/>
        <scheme val="minor"/>
      </rPr>
      <t>Ω</t>
    </r>
    <r>
      <rPr>
        <sz val="11"/>
        <color theme="1"/>
        <rFont val="Calibri"/>
        <family val="2"/>
        <scheme val="minor"/>
      </rPr>
      <t>) post</t>
    </r>
  </si>
  <si>
    <t>small n</t>
  </si>
  <si>
    <t>Cleveland percentile method</t>
  </si>
  <si>
    <t>ISI:</t>
  </si>
  <si>
    <t>ISI: 20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</si>
</sst>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sz val="11"/>
      <color indexed="23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 Unicode MS"/>
      <family val="2"/>
    </font>
    <font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sz val="11"/>
      <name val="Arial"/>
      <family val="2"/>
    </font>
    <font>
      <u/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2" fontId="0" fillId="0" borderId="0" xfId="0" applyNumberFormat="1" applyFont="1"/>
    <xf numFmtId="49" fontId="0" fillId="0" borderId="0" xfId="0" applyNumberFormat="1" applyFont="1"/>
    <xf numFmtId="0" fontId="0" fillId="0" borderId="0" xfId="0" applyFont="1" applyAlignment="1">
      <alignment horizontal="left"/>
    </xf>
    <xf numFmtId="2" fontId="0" fillId="0" borderId="0" xfId="0" applyNumberFormat="1" applyFont="1" applyAlignment="1">
      <alignment horizontal="right"/>
    </xf>
    <xf numFmtId="164" fontId="0" fillId="0" borderId="0" xfId="0" applyNumberFormat="1" applyFont="1"/>
    <xf numFmtId="49" fontId="0" fillId="0" borderId="0" xfId="0" applyNumberFormat="1" applyFont="1" applyAlignment="1">
      <alignment horizontal="right"/>
    </xf>
    <xf numFmtId="0" fontId="0" fillId="0" borderId="0" xfId="0" applyFont="1" applyBorder="1"/>
    <xf numFmtId="0" fontId="1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vertical="center"/>
    </xf>
    <xf numFmtId="2" fontId="0" fillId="0" borderId="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/>
    <xf numFmtId="0" fontId="0" fillId="0" borderId="0" xfId="0" applyNumberFormat="1"/>
    <xf numFmtId="0" fontId="0" fillId="0" borderId="1" xfId="0" applyNumberFormat="1" applyFont="1" applyBorder="1"/>
    <xf numFmtId="0" fontId="0" fillId="0" borderId="1" xfId="0" applyNumberFormat="1" applyBorder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0" fillId="0" borderId="0" xfId="0" applyNumberFormat="1" applyBorder="1"/>
    <xf numFmtId="0" fontId="0" fillId="0" borderId="0" xfId="0" applyFill="1" applyBorder="1"/>
    <xf numFmtId="11" fontId="0" fillId="0" borderId="0" xfId="0" applyNumberFormat="1" applyFont="1"/>
    <xf numFmtId="2" fontId="0" fillId="0" borderId="0" xfId="0" applyNumberFormat="1" applyBorder="1"/>
    <xf numFmtId="2" fontId="1" fillId="0" borderId="0" xfId="0" applyNumberFormat="1" applyFont="1"/>
    <xf numFmtId="0" fontId="0" fillId="0" borderId="0" xfId="0"/>
    <xf numFmtId="0" fontId="0" fillId="0" borderId="0" xfId="0" applyFont="1"/>
    <xf numFmtId="0" fontId="0" fillId="0" borderId="0" xfId="0" applyNumberFormat="1" applyFont="1"/>
    <xf numFmtId="0" fontId="0" fillId="0" borderId="0" xfId="0" applyNumberFormat="1"/>
    <xf numFmtId="0" fontId="0" fillId="0" borderId="1" xfId="0" applyBorder="1"/>
    <xf numFmtId="0" fontId="1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NumberFormat="1" applyFont="1"/>
    <xf numFmtId="0" fontId="0" fillId="0" borderId="0" xfId="0" applyFont="1" applyFill="1"/>
    <xf numFmtId="0" fontId="0" fillId="0" borderId="4" xfId="0" applyBorder="1"/>
    <xf numFmtId="0" fontId="0" fillId="0" borderId="5" xfId="0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Border="1"/>
    <xf numFmtId="0" fontId="0" fillId="0" borderId="8" xfId="0" applyBorder="1"/>
    <xf numFmtId="2" fontId="0" fillId="0" borderId="2" xfId="0" applyNumberFormat="1" applyBorder="1"/>
    <xf numFmtId="2" fontId="0" fillId="0" borderId="1" xfId="0" applyNumberFormat="1" applyBorder="1"/>
    <xf numFmtId="2" fontId="0" fillId="0" borderId="3" xfId="0" applyNumberFormat="1" applyBorder="1"/>
    <xf numFmtId="0" fontId="0" fillId="0" borderId="2" xfId="0" applyNumberFormat="1" applyBorder="1"/>
    <xf numFmtId="0" fontId="0" fillId="0" borderId="3" xfId="0" applyNumberFormat="1" applyBorder="1"/>
    <xf numFmtId="49" fontId="0" fillId="0" borderId="0" xfId="0" applyNumberFormat="1"/>
    <xf numFmtId="49" fontId="1" fillId="0" borderId="0" xfId="0" applyNumberFormat="1" applyFont="1"/>
    <xf numFmtId="1" fontId="1" fillId="0" borderId="0" xfId="0" applyNumberFormat="1" applyFont="1"/>
    <xf numFmtId="0" fontId="8" fillId="0" borderId="0" xfId="0" applyFont="1" applyBorder="1"/>
    <xf numFmtId="0" fontId="5" fillId="0" borderId="0" xfId="0" applyFont="1" applyFill="1"/>
    <xf numFmtId="0" fontId="0" fillId="0" borderId="0" xfId="0" applyFont="1" applyFill="1" applyBorder="1"/>
    <xf numFmtId="0" fontId="9" fillId="0" borderId="0" xfId="0" applyFont="1"/>
    <xf numFmtId="2" fontId="0" fillId="0" borderId="0" xfId="0" applyNumberFormat="1" applyFont="1" applyFill="1"/>
    <xf numFmtId="2" fontId="10" fillId="0" borderId="0" xfId="0" applyNumberFormat="1" applyFont="1"/>
    <xf numFmtId="2" fontId="5" fillId="0" borderId="0" xfId="0" applyNumberFormat="1" applyFont="1" applyBorder="1"/>
    <xf numFmtId="0" fontId="10" fillId="0" borderId="0" xfId="0" applyFont="1"/>
    <xf numFmtId="164" fontId="10" fillId="0" borderId="0" xfId="0" applyNumberFormat="1" applyFont="1"/>
    <xf numFmtId="2" fontId="8" fillId="0" borderId="0" xfId="0" applyNumberFormat="1" applyFont="1" applyBorder="1"/>
    <xf numFmtId="2" fontId="8" fillId="0" borderId="0" xfId="0" applyNumberFormat="1" applyFont="1"/>
    <xf numFmtId="0" fontId="8" fillId="0" borderId="0" xfId="0" applyFont="1"/>
    <xf numFmtId="164" fontId="8" fillId="0" borderId="0" xfId="0" applyNumberFormat="1" applyFont="1"/>
    <xf numFmtId="2" fontId="5" fillId="0" borderId="0" xfId="0" applyNumberFormat="1" applyFont="1"/>
    <xf numFmtId="0" fontId="0" fillId="0" borderId="1" xfId="0" applyFont="1" applyFill="1" applyBorder="1"/>
    <xf numFmtId="0" fontId="0" fillId="0" borderId="0" xfId="0" applyFill="1"/>
    <xf numFmtId="0" fontId="1" fillId="0" borderId="0" xfId="0" applyFont="1" applyFill="1"/>
    <xf numFmtId="0" fontId="6" fillId="0" borderId="0" xfId="0" applyFont="1" applyFill="1"/>
    <xf numFmtId="1" fontId="0" fillId="0" borderId="0" xfId="0" applyNumberFormat="1" applyFont="1"/>
    <xf numFmtId="0" fontId="3" fillId="0" borderId="0" xfId="0" applyFont="1" applyBorder="1"/>
    <xf numFmtId="2" fontId="0" fillId="0" borderId="0" xfId="0" applyNumberFormat="1" applyFont="1" applyBorder="1"/>
    <xf numFmtId="0" fontId="7" fillId="0" borderId="0" xfId="0" applyFont="1"/>
    <xf numFmtId="0" fontId="9" fillId="0" borderId="0" xfId="0" applyFont="1" applyFill="1"/>
    <xf numFmtId="0" fontId="0" fillId="0" borderId="0" xfId="0" applyFont="1" applyAlignment="1">
      <alignment horizontal="right"/>
    </xf>
    <xf numFmtId="2" fontId="2" fillId="0" borderId="0" xfId="0" applyNumberFormat="1" applyFont="1" applyBorder="1"/>
    <xf numFmtId="2" fontId="15" fillId="0" borderId="0" xfId="0" applyNumberFormat="1" applyFont="1"/>
    <xf numFmtId="0" fontId="11" fillId="0" borderId="0" xfId="0" applyFont="1" applyBorder="1"/>
    <xf numFmtId="0" fontId="0" fillId="0" borderId="0" xfId="0" applyBorder="1" applyAlignment="1">
      <alignment horizontal="right"/>
    </xf>
    <xf numFmtId="0" fontId="12" fillId="0" borderId="0" xfId="0" applyFont="1" applyBorder="1"/>
    <xf numFmtId="11" fontId="0" fillId="0" borderId="0" xfId="0" applyNumberFormat="1" applyBorder="1"/>
    <xf numFmtId="0" fontId="7" fillId="0" borderId="0" xfId="0" applyFont="1" applyBorder="1"/>
    <xf numFmtId="11" fontId="0" fillId="0" borderId="0" xfId="0" applyNumberFormat="1" applyFont="1" applyBorder="1"/>
    <xf numFmtId="0" fontId="13" fillId="0" borderId="0" xfId="0" applyFont="1" applyBorder="1"/>
    <xf numFmtId="0" fontId="14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18" fillId="0" borderId="0" xfId="0" applyFont="1" applyBorder="1"/>
    <xf numFmtId="2" fontId="10" fillId="0" borderId="0" xfId="0" applyNumberFormat="1" applyFont="1" applyBorder="1"/>
    <xf numFmtId="0" fontId="18" fillId="0" borderId="0" xfId="0" applyFont="1"/>
    <xf numFmtId="0" fontId="5" fillId="0" borderId="0" xfId="0" applyFont="1" applyBorder="1"/>
    <xf numFmtId="0" fontId="0" fillId="0" borderId="0" xfId="0" applyFont="1" applyBorder="1" applyAlignment="1">
      <alignment horizontal="right"/>
    </xf>
    <xf numFmtId="0" fontId="17" fillId="0" borderId="0" xfId="0" applyFont="1"/>
    <xf numFmtId="0" fontId="10" fillId="0" borderId="0" xfId="0" applyFont="1" applyFill="1"/>
    <xf numFmtId="0" fontId="5" fillId="0" borderId="0" xfId="0" applyFont="1" applyFill="1" applyBorder="1"/>
    <xf numFmtId="2" fontId="19" fillId="0" borderId="9" xfId="0" applyNumberFormat="1" applyFont="1" applyBorder="1"/>
    <xf numFmtId="2" fontId="20" fillId="0" borderId="0" xfId="0" applyNumberFormat="1" applyFont="1"/>
    <xf numFmtId="0" fontId="19" fillId="0" borderId="0" xfId="0" applyFont="1"/>
    <xf numFmtId="0" fontId="10" fillId="0" borderId="0" xfId="0" applyFont="1" applyBorder="1"/>
    <xf numFmtId="0" fontId="17" fillId="0" borderId="0" xfId="0" applyFont="1" applyFill="1"/>
    <xf numFmtId="49" fontId="19" fillId="0" borderId="0" xfId="0" applyNumberFormat="1" applyFont="1"/>
    <xf numFmtId="2" fontId="18" fillId="0" borderId="0" xfId="0" applyNumberFormat="1" applyFont="1"/>
    <xf numFmtId="49" fontId="17" fillId="0" borderId="0" xfId="0" applyNumberFormat="1" applyFont="1" applyBorder="1"/>
    <xf numFmtId="0" fontId="19" fillId="0" borderId="0" xfId="0" applyFont="1" applyAlignment="1">
      <alignment horizontal="left"/>
    </xf>
    <xf numFmtId="2" fontId="17" fillId="0" borderId="0" xfId="0" applyNumberFormat="1" applyFont="1" applyAlignment="1">
      <alignment horizontal="right"/>
    </xf>
    <xf numFmtId="2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Border="1"/>
    <xf numFmtId="0" fontId="19" fillId="0" borderId="0" xfId="0" applyFont="1" applyFill="1"/>
    <xf numFmtId="11" fontId="21" fillId="0" borderId="0" xfId="0" applyNumberFormat="1" applyFont="1"/>
    <xf numFmtId="0" fontId="21" fillId="0" borderId="0" xfId="0" applyNumberFormat="1" applyFont="1"/>
    <xf numFmtId="0" fontId="21" fillId="0" borderId="0" xfId="0" applyFont="1"/>
    <xf numFmtId="1" fontId="21" fillId="0" borderId="0" xfId="0" applyNumberFormat="1" applyFont="1"/>
    <xf numFmtId="11" fontId="0" fillId="0" borderId="1" xfId="0" applyNumberFormat="1" applyFont="1" applyBorder="1"/>
    <xf numFmtId="1" fontId="21" fillId="0" borderId="1" xfId="0" applyNumberFormat="1" applyFont="1" applyBorder="1"/>
    <xf numFmtId="1" fontId="0" fillId="0" borderId="1" xfId="0" applyNumberFormat="1" applyFont="1" applyBorder="1"/>
    <xf numFmtId="11" fontId="21" fillId="0" borderId="1" xfId="0" applyNumberFormat="1" applyFont="1" applyBorder="1"/>
    <xf numFmtId="0" fontId="21" fillId="0" borderId="1" xfId="0" applyNumberFormat="1" applyFont="1" applyBorder="1"/>
    <xf numFmtId="0" fontId="21" fillId="0" borderId="1" xfId="0" applyFont="1" applyBorder="1"/>
    <xf numFmtId="2" fontId="18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378"/>
  <sheetViews>
    <sheetView tabSelected="1" zoomScaleNormal="100" workbookViewId="0">
      <pane xSplit="1" topLeftCell="B1" activePane="topRight" state="frozen"/>
      <selection pane="topRight" activeCell="B44" sqref="B44"/>
    </sheetView>
  </sheetViews>
  <sheetFormatPr baseColWidth="10" defaultRowHeight="15"/>
  <cols>
    <col min="1" max="1" width="14.28515625" style="65" customWidth="1"/>
    <col min="2" max="2" width="11.42578125" style="47"/>
    <col min="3" max="3" width="22.7109375" customWidth="1"/>
    <col min="4" max="4" width="13" bestFit="1" customWidth="1"/>
    <col min="6" max="6" width="12.7109375" bestFit="1" customWidth="1"/>
    <col min="7" max="8" width="12" bestFit="1" customWidth="1"/>
    <col min="9" max="12" width="11.42578125" style="16"/>
  </cols>
  <sheetData>
    <row r="1" spans="1:201" s="27" customFormat="1" ht="18.75">
      <c r="A1" s="67" t="s">
        <v>53</v>
      </c>
      <c r="B1" s="47"/>
      <c r="I1" s="30"/>
      <c r="J1" s="30"/>
      <c r="K1" s="30"/>
      <c r="L1" s="30"/>
    </row>
    <row r="2" spans="1:201" s="28" customFormat="1">
      <c r="A2" s="98" t="s">
        <v>71</v>
      </c>
      <c r="B2" s="99"/>
      <c r="G2" s="1"/>
      <c r="H2" s="1"/>
      <c r="I2" s="29"/>
      <c r="J2" s="29"/>
      <c r="K2" s="29"/>
      <c r="L2" s="29"/>
      <c r="M2" s="1"/>
      <c r="N2" s="100" t="s">
        <v>0</v>
      </c>
      <c r="O2" s="96" t="s">
        <v>1</v>
      </c>
      <c r="P2" s="96"/>
      <c r="S2" s="88"/>
      <c r="T2" s="88"/>
      <c r="U2" s="88"/>
      <c r="V2" s="88"/>
      <c r="W2" s="88"/>
      <c r="X2" s="88"/>
      <c r="Y2" s="88"/>
      <c r="Z2" s="88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V2" s="88"/>
      <c r="AW2" s="96"/>
      <c r="AY2" s="88"/>
      <c r="BF2" s="2"/>
      <c r="BG2" s="2"/>
      <c r="BH2" s="2"/>
      <c r="BI2" s="2"/>
      <c r="BK2" s="3"/>
      <c r="BL2" s="101"/>
      <c r="BM2" s="96"/>
      <c r="BP2" s="96"/>
      <c r="BS2" s="88"/>
      <c r="BT2" s="88"/>
      <c r="BU2" s="88"/>
      <c r="BV2" s="88"/>
      <c r="BW2" s="88"/>
      <c r="BX2" s="88"/>
      <c r="BY2" s="88"/>
      <c r="BZ2" s="88"/>
      <c r="CA2" s="88"/>
      <c r="CB2" s="96"/>
      <c r="CC2" s="96"/>
      <c r="CD2" s="96"/>
      <c r="CE2" s="96"/>
      <c r="CF2" s="101"/>
      <c r="CG2" s="88"/>
      <c r="CI2" s="96"/>
      <c r="CJ2" s="96"/>
      <c r="CK2" s="96"/>
      <c r="CL2" s="102"/>
      <c r="CN2" s="88"/>
      <c r="CO2" s="3"/>
      <c r="CP2" s="96"/>
      <c r="CR2" s="96"/>
      <c r="CS2" s="96"/>
      <c r="CT2" s="102"/>
      <c r="CV2" s="88"/>
      <c r="CW2" s="3"/>
      <c r="CX2" s="96"/>
      <c r="CZ2" s="96"/>
      <c r="DA2" s="96"/>
      <c r="DB2" s="102"/>
      <c r="DD2" s="88"/>
      <c r="DE2" s="3"/>
      <c r="DF2" s="96"/>
      <c r="DH2" s="96"/>
      <c r="DJ2" s="101"/>
      <c r="DW2" s="103"/>
      <c r="DX2" s="104"/>
      <c r="DY2" s="4"/>
      <c r="DZ2" s="4"/>
      <c r="EA2" s="105"/>
      <c r="EB2" s="4"/>
      <c r="EC2" s="4"/>
      <c r="ED2" s="4"/>
      <c r="EE2" s="4"/>
      <c r="EF2" s="4"/>
      <c r="EG2" s="4"/>
      <c r="EH2" s="4"/>
      <c r="EI2" s="91"/>
      <c r="EJ2" s="88"/>
      <c r="EM2" s="99"/>
      <c r="EN2" s="4"/>
      <c r="EO2" s="4"/>
      <c r="EP2" s="4"/>
      <c r="EQ2" s="4"/>
      <c r="ER2" s="4"/>
      <c r="ES2" s="4"/>
      <c r="EU2" s="106"/>
      <c r="EZ2" s="99"/>
      <c r="FI2" s="2"/>
      <c r="FK2" s="96"/>
      <c r="FM2" s="96"/>
      <c r="FO2" s="5"/>
      <c r="FP2" s="96"/>
      <c r="FT2" s="106"/>
      <c r="FX2" s="106"/>
      <c r="GC2" s="96"/>
    </row>
    <row r="3" spans="1:201" s="28" customFormat="1">
      <c r="A3" s="107" t="s">
        <v>70</v>
      </c>
      <c r="B3" s="2"/>
      <c r="F3" s="1"/>
      <c r="G3" s="1"/>
      <c r="H3" s="1"/>
      <c r="I3" s="29"/>
      <c r="J3" s="29"/>
      <c r="K3" s="29"/>
      <c r="L3" s="29"/>
      <c r="M3" s="1"/>
      <c r="N3" s="73" t="s">
        <v>84</v>
      </c>
      <c r="O3" s="28" t="s">
        <v>30</v>
      </c>
      <c r="R3" s="28" t="s">
        <v>31</v>
      </c>
      <c r="U3" s="28" t="s">
        <v>45</v>
      </c>
      <c r="X3" s="28" t="s">
        <v>32</v>
      </c>
      <c r="AA3" s="28" t="s">
        <v>33</v>
      </c>
      <c r="AC3" s="2"/>
      <c r="AD3" s="28" t="s">
        <v>44</v>
      </c>
      <c r="AF3" s="2"/>
      <c r="AG3" s="2"/>
      <c r="AI3" s="8"/>
      <c r="AZ3" s="2"/>
      <c r="CQ3" s="4"/>
      <c r="CR3" s="4"/>
      <c r="CS3" s="4"/>
      <c r="CT3" s="4"/>
      <c r="CU3" s="6"/>
      <c r="CV3" s="4"/>
      <c r="CW3" s="4"/>
      <c r="CX3" s="4"/>
      <c r="CY3" s="104"/>
      <c r="CZ3" s="4"/>
      <c r="DA3" s="4"/>
      <c r="DB3" s="4"/>
      <c r="DG3" s="2"/>
      <c r="DH3" s="4"/>
      <c r="DI3" s="4"/>
      <c r="DJ3" s="4"/>
      <c r="DK3" s="104"/>
      <c r="DL3" s="4"/>
      <c r="DM3" s="104"/>
      <c r="DN3" s="88"/>
      <c r="DO3" s="88"/>
      <c r="DT3" s="99"/>
      <c r="EB3" s="96"/>
      <c r="EC3" s="2"/>
      <c r="EI3" s="5"/>
      <c r="EJ3" s="88"/>
      <c r="EN3" s="88"/>
      <c r="ER3" s="7"/>
      <c r="EW3" s="88"/>
      <c r="FA3" s="88"/>
      <c r="FE3" s="88"/>
      <c r="FG3" s="88"/>
      <c r="FK3" s="88"/>
      <c r="FO3" s="88"/>
      <c r="FQ3" s="88"/>
      <c r="FU3" s="88"/>
      <c r="FY3" s="88"/>
      <c r="GA3" s="88"/>
      <c r="GE3" s="88"/>
      <c r="GI3" s="88"/>
      <c r="GK3" s="88"/>
      <c r="GO3" s="88"/>
      <c r="GS3" s="88"/>
    </row>
    <row r="4" spans="1:201" s="9" customFormat="1">
      <c r="A4" s="64" t="s">
        <v>67</v>
      </c>
      <c r="B4" s="11" t="s">
        <v>68</v>
      </c>
      <c r="C4" s="9" t="s">
        <v>69</v>
      </c>
      <c r="D4" s="9" t="s">
        <v>15</v>
      </c>
      <c r="E4" s="9" t="s">
        <v>16</v>
      </c>
      <c r="F4" s="10" t="s">
        <v>24</v>
      </c>
      <c r="G4" s="10" t="s">
        <v>2</v>
      </c>
      <c r="H4" s="10" t="s">
        <v>3</v>
      </c>
      <c r="I4" s="17" t="s">
        <v>4</v>
      </c>
      <c r="J4" s="17" t="s">
        <v>5</v>
      </c>
      <c r="K4" s="17" t="s">
        <v>6</v>
      </c>
      <c r="L4" s="17" t="s">
        <v>25</v>
      </c>
      <c r="M4" s="10" t="s">
        <v>28</v>
      </c>
      <c r="O4" s="11" t="s">
        <v>7</v>
      </c>
      <c r="P4" s="9" t="s">
        <v>8</v>
      </c>
      <c r="Q4" s="9" t="s">
        <v>9</v>
      </c>
      <c r="R4" s="11" t="s">
        <v>7</v>
      </c>
      <c r="S4" s="9" t="s">
        <v>8</v>
      </c>
      <c r="T4" s="9" t="s">
        <v>9</v>
      </c>
      <c r="U4" s="11" t="s">
        <v>7</v>
      </c>
      <c r="V4" s="9" t="s">
        <v>10</v>
      </c>
      <c r="W4" s="9" t="s">
        <v>9</v>
      </c>
      <c r="X4" s="11" t="s">
        <v>7</v>
      </c>
      <c r="Y4" s="9" t="s">
        <v>10</v>
      </c>
      <c r="Z4" s="9" t="s">
        <v>9</v>
      </c>
      <c r="AA4" s="11" t="s">
        <v>7</v>
      </c>
      <c r="AB4" s="9" t="s">
        <v>10</v>
      </c>
      <c r="AC4" s="9" t="s">
        <v>9</v>
      </c>
      <c r="AD4" s="11" t="s">
        <v>7</v>
      </c>
      <c r="AE4" s="9" t="s">
        <v>10</v>
      </c>
      <c r="AF4" s="9" t="s">
        <v>9</v>
      </c>
      <c r="AI4" s="11"/>
      <c r="AJ4" s="11"/>
      <c r="BG4" s="11"/>
      <c r="BO4" s="11"/>
      <c r="BW4" s="11"/>
      <c r="CP4" s="12"/>
      <c r="CR4" s="13"/>
      <c r="CS4" s="13"/>
      <c r="CT4" s="13"/>
      <c r="CU4" s="13"/>
      <c r="CV4" s="14"/>
      <c r="CW4" s="13"/>
      <c r="CX4" s="13"/>
      <c r="CY4" s="13"/>
      <c r="CZ4" s="13"/>
      <c r="DA4" s="13"/>
      <c r="DB4" s="13"/>
      <c r="DC4" s="13"/>
      <c r="DH4" s="11"/>
      <c r="DI4" s="13"/>
      <c r="DJ4" s="13"/>
      <c r="DK4" s="13"/>
      <c r="DL4" s="13"/>
      <c r="DM4" s="13"/>
      <c r="DN4" s="13"/>
      <c r="DU4" s="11"/>
      <c r="ED4" s="11"/>
      <c r="EJ4" s="15"/>
    </row>
    <row r="5" spans="1:201" s="28" customFormat="1">
      <c r="A5" s="35" t="s">
        <v>13</v>
      </c>
      <c r="B5" s="24" t="s">
        <v>14</v>
      </c>
      <c r="D5" s="68">
        <v>15</v>
      </c>
      <c r="E5" s="68">
        <v>-169</v>
      </c>
      <c r="F5" s="24">
        <v>-1.66511E-11</v>
      </c>
      <c r="G5" s="29">
        <v>1.04845E-11</v>
      </c>
      <c r="H5" s="29">
        <v>9.776879999999999E-13</v>
      </c>
      <c r="I5" s="29">
        <v>115</v>
      </c>
      <c r="J5" s="24">
        <f>-G5/F5</f>
        <v>0.62965810066602212</v>
      </c>
      <c r="K5" s="29">
        <f>12/I5</f>
        <v>0.10434782608695652</v>
      </c>
      <c r="L5" s="29">
        <f>F5*-1000000000000</f>
        <v>16.6511</v>
      </c>
      <c r="M5" s="1">
        <v>0.77163300000000001</v>
      </c>
      <c r="N5" s="28" t="s">
        <v>12</v>
      </c>
      <c r="O5" s="28">
        <v>-17.809999999999999</v>
      </c>
      <c r="P5" s="28">
        <v>-16.84</v>
      </c>
      <c r="Q5" s="28">
        <v>0.95</v>
      </c>
      <c r="R5" s="28">
        <v>-13.53</v>
      </c>
      <c r="S5" s="28">
        <v>-21.22</v>
      </c>
      <c r="T5" s="28">
        <v>1.28</v>
      </c>
      <c r="U5" s="28">
        <v>-14.95</v>
      </c>
      <c r="V5" s="28">
        <v>-22.78</v>
      </c>
      <c r="W5" s="28">
        <v>1.52</v>
      </c>
      <c r="X5" s="28">
        <v>-14.12</v>
      </c>
      <c r="Y5" s="28">
        <v>-21.64</v>
      </c>
      <c r="Z5" s="28">
        <v>1.53</v>
      </c>
      <c r="AA5" s="28">
        <v>-14.26</v>
      </c>
      <c r="AB5" s="28">
        <v>-18.18</v>
      </c>
      <c r="AC5" s="29">
        <v>1.27</v>
      </c>
      <c r="AD5" s="19">
        <v>-14.64</v>
      </c>
      <c r="AE5" s="33">
        <v>-13.04</v>
      </c>
      <c r="AF5" s="34">
        <v>0.89</v>
      </c>
      <c r="AG5" s="29"/>
      <c r="BI5" s="3"/>
      <c r="CQ5" s="4"/>
      <c r="CR5" s="4"/>
      <c r="CS5" s="4"/>
      <c r="CT5" s="4"/>
      <c r="CU5" s="6"/>
      <c r="CV5" s="4"/>
      <c r="CW5" s="4"/>
      <c r="CX5" s="4"/>
      <c r="CY5" s="4"/>
      <c r="CZ5" s="4"/>
      <c r="DA5" s="4"/>
      <c r="DB5" s="4"/>
      <c r="DG5" s="2"/>
      <c r="DH5" s="4"/>
      <c r="DI5" s="4"/>
      <c r="DJ5" s="4"/>
      <c r="DK5" s="4"/>
      <c r="DL5" s="4"/>
      <c r="DM5" s="4"/>
      <c r="DT5" s="2"/>
      <c r="EC5" s="2"/>
      <c r="EI5" s="5"/>
    </row>
    <row r="6" spans="1:201" s="28" customFormat="1">
      <c r="A6" s="35" t="s">
        <v>17</v>
      </c>
      <c r="B6" s="24" t="s">
        <v>14</v>
      </c>
      <c r="D6" s="68">
        <v>16</v>
      </c>
      <c r="E6" s="68">
        <v>-92</v>
      </c>
      <c r="F6" s="24">
        <v>-6.5063100000000004E-12</v>
      </c>
      <c r="G6" s="24">
        <v>5.3736400000000001E-12</v>
      </c>
      <c r="H6" s="24">
        <v>3.8481399999999999E-13</v>
      </c>
      <c r="I6" s="29">
        <v>195</v>
      </c>
      <c r="J6" s="29">
        <f t="shared" ref="J6:J12" si="0">-G6/F6</f>
        <v>0.8259120761230252</v>
      </c>
      <c r="K6" s="29">
        <f>46/I6</f>
        <v>0.23589743589743589</v>
      </c>
      <c r="L6" s="29">
        <f t="shared" ref="L6:L12" si="1">F6*-1000000000000</f>
        <v>6.50631</v>
      </c>
      <c r="M6" s="28">
        <v>0.79122599999999998</v>
      </c>
      <c r="N6" s="28" t="s">
        <v>12</v>
      </c>
      <c r="O6" s="28">
        <v>-4.99</v>
      </c>
      <c r="P6" s="28">
        <v>-8.8699999999999903</v>
      </c>
      <c r="Q6" s="28">
        <v>1.78</v>
      </c>
      <c r="R6" s="28">
        <v>-5.55</v>
      </c>
      <c r="S6" s="28">
        <v>-7.47</v>
      </c>
      <c r="T6" s="28">
        <v>1.35</v>
      </c>
      <c r="U6" s="28">
        <v>-6.3</v>
      </c>
      <c r="V6" s="28">
        <v>-7.19</v>
      </c>
      <c r="W6" s="28">
        <v>1.1399999999999999</v>
      </c>
      <c r="X6" s="28">
        <v>-2.88</v>
      </c>
      <c r="Y6" s="28">
        <v>-7.09</v>
      </c>
      <c r="Z6" s="28">
        <v>2.4700000000000002</v>
      </c>
      <c r="AA6" s="28">
        <v>-5.77</v>
      </c>
      <c r="AB6" s="28">
        <v>-4.09</v>
      </c>
      <c r="AC6" s="28">
        <v>0.71</v>
      </c>
      <c r="AD6" s="28">
        <v>-5.08</v>
      </c>
      <c r="AE6" s="28">
        <v>-5.5</v>
      </c>
      <c r="AF6" s="28">
        <v>1.08</v>
      </c>
    </row>
    <row r="7" spans="1:201" s="28" customFormat="1">
      <c r="A7" s="35" t="s">
        <v>18</v>
      </c>
      <c r="B7" s="24" t="s">
        <v>14</v>
      </c>
      <c r="D7" s="68">
        <v>18</v>
      </c>
      <c r="E7" s="68">
        <v>-82</v>
      </c>
      <c r="F7" s="24">
        <v>-4.5477499999999999E-12</v>
      </c>
      <c r="G7" s="24">
        <v>4.4714400000000002E-12</v>
      </c>
      <c r="H7" s="24">
        <v>3.6149399999999999E-13</v>
      </c>
      <c r="I7" s="29">
        <v>153</v>
      </c>
      <c r="J7" s="29">
        <f t="shared" si="0"/>
        <v>0.98322027376175036</v>
      </c>
      <c r="K7" s="29">
        <f>47/I7</f>
        <v>0.30718954248366015</v>
      </c>
      <c r="L7" s="29">
        <f t="shared" si="1"/>
        <v>4.5477499999999997</v>
      </c>
      <c r="M7" s="28">
        <v>0.57392500000000002</v>
      </c>
      <c r="N7" s="28" t="s">
        <v>12</v>
      </c>
      <c r="O7" s="28">
        <v>-6.68</v>
      </c>
      <c r="P7" s="28">
        <v>-4.6500000000000004</v>
      </c>
      <c r="Q7" s="28">
        <v>0.7</v>
      </c>
      <c r="R7" s="28">
        <v>-5.17</v>
      </c>
      <c r="S7" s="28">
        <v>-3.36</v>
      </c>
      <c r="T7" s="28">
        <v>0.65</v>
      </c>
      <c r="U7" s="28">
        <v>-3.33</v>
      </c>
      <c r="W7" s="28">
        <v>1.52</v>
      </c>
      <c r="X7" s="28">
        <v>-3.27</v>
      </c>
      <c r="Y7" s="28">
        <v>-5.72</v>
      </c>
      <c r="Z7" s="28">
        <v>1.75</v>
      </c>
      <c r="AA7" s="28">
        <v>-2.73</v>
      </c>
      <c r="AB7" s="28">
        <v>-4.78</v>
      </c>
      <c r="AC7" s="28">
        <v>1.75</v>
      </c>
      <c r="AD7" s="28">
        <v>-5.01</v>
      </c>
      <c r="AE7" s="28">
        <v>-5.82</v>
      </c>
      <c r="AF7" s="28">
        <v>1.1599999999999999</v>
      </c>
    </row>
    <row r="8" spans="1:201" s="28" customFormat="1">
      <c r="A8" s="35" t="s">
        <v>19</v>
      </c>
      <c r="B8" s="24" t="s">
        <v>14</v>
      </c>
      <c r="D8" s="68">
        <v>19</v>
      </c>
      <c r="E8" s="68">
        <v>-125</v>
      </c>
      <c r="F8" s="24">
        <v>-6.70266E-12</v>
      </c>
      <c r="G8" s="24">
        <v>6.2222499999999997E-12</v>
      </c>
      <c r="H8" s="24">
        <v>4.9191200000000001E-13</v>
      </c>
      <c r="I8" s="29">
        <v>160</v>
      </c>
      <c r="J8" s="29">
        <f t="shared" si="0"/>
        <v>0.92832547078324124</v>
      </c>
      <c r="K8" s="29">
        <f>36/I8</f>
        <v>0.22500000000000001</v>
      </c>
      <c r="L8" s="29">
        <f t="shared" si="1"/>
        <v>6.7026599999999998</v>
      </c>
      <c r="M8" s="28">
        <v>0.81381499999999996</v>
      </c>
      <c r="N8" s="28" t="s">
        <v>12</v>
      </c>
      <c r="O8" s="28">
        <v>-6.85</v>
      </c>
      <c r="P8" s="28">
        <v>-4.28</v>
      </c>
      <c r="Q8" s="28">
        <v>0.63</v>
      </c>
      <c r="R8" s="28">
        <v>-4.99</v>
      </c>
      <c r="S8" s="28">
        <v>-4.7300000000000004</v>
      </c>
      <c r="T8" s="28">
        <v>0.95</v>
      </c>
      <c r="U8" s="28">
        <v>-4.49</v>
      </c>
      <c r="W8" s="28">
        <v>1.04</v>
      </c>
      <c r="X8" s="28">
        <v>-4.42</v>
      </c>
      <c r="Y8" s="28">
        <v>-9.02</v>
      </c>
      <c r="Z8" s="28">
        <v>2.04</v>
      </c>
      <c r="AA8" s="28">
        <v>-2.6</v>
      </c>
      <c r="AB8" s="28">
        <v>-3.03</v>
      </c>
      <c r="AC8" s="28">
        <v>1.17</v>
      </c>
      <c r="AD8" s="28">
        <v>-2.86</v>
      </c>
      <c r="AE8" s="28">
        <v>-3.44</v>
      </c>
      <c r="AF8" s="28">
        <v>1.2</v>
      </c>
    </row>
    <row r="9" spans="1:201" s="28" customFormat="1">
      <c r="A9" s="35" t="s">
        <v>35</v>
      </c>
      <c r="B9" s="24" t="s">
        <v>23</v>
      </c>
      <c r="D9" s="68">
        <f>16275900*0.000001</f>
        <v>16.2759</v>
      </c>
      <c r="E9" s="68">
        <f>-0.000000000333062*1000000000000</f>
        <v>-333.06200000000001</v>
      </c>
      <c r="F9" s="108">
        <v>-1.82132E-11</v>
      </c>
      <c r="G9" s="108">
        <v>6.6836799999999996E-12</v>
      </c>
      <c r="H9" s="108">
        <v>7.6167599999999995E-13</v>
      </c>
      <c r="I9" s="109">
        <v>77</v>
      </c>
      <c r="J9" s="29">
        <f t="shared" si="0"/>
        <v>0.36696901148617483</v>
      </c>
      <c r="K9" s="29">
        <f>2/77</f>
        <v>2.5974025974025976E-2</v>
      </c>
      <c r="L9" s="29">
        <f t="shared" si="1"/>
        <v>18.213200000000001</v>
      </c>
      <c r="M9" s="110">
        <v>0.58083700000000005</v>
      </c>
      <c r="N9" s="28" t="s">
        <v>12</v>
      </c>
      <c r="O9" s="28">
        <v>-20.75</v>
      </c>
      <c r="P9" s="28">
        <v>-11.7</v>
      </c>
      <c r="Q9" s="28">
        <v>0.56000000000000005</v>
      </c>
      <c r="R9" s="28">
        <v>-20.72</v>
      </c>
      <c r="S9" s="28">
        <v>-12.51</v>
      </c>
      <c r="T9" s="28">
        <v>0.6</v>
      </c>
      <c r="U9" s="28">
        <v>-16.899999999999999</v>
      </c>
      <c r="V9" s="28">
        <v>-15.26</v>
      </c>
      <c r="W9" s="28">
        <v>0.9</v>
      </c>
      <c r="X9" s="28">
        <v>-17.48</v>
      </c>
      <c r="Y9" s="28">
        <v>-18.86</v>
      </c>
      <c r="Z9" s="28">
        <v>1.08</v>
      </c>
      <c r="AA9" s="28">
        <v>-18.079999999999998</v>
      </c>
      <c r="AB9" s="28">
        <v>-22.33</v>
      </c>
      <c r="AC9" s="28">
        <v>1.23</v>
      </c>
      <c r="AD9" s="28">
        <v>-15.62</v>
      </c>
      <c r="AE9" s="28">
        <v>-18.64</v>
      </c>
      <c r="AF9" s="28">
        <v>1.19</v>
      </c>
    </row>
    <row r="10" spans="1:201" s="28" customFormat="1">
      <c r="A10" s="35" t="s">
        <v>38</v>
      </c>
      <c r="B10" s="24" t="s">
        <v>23</v>
      </c>
      <c r="D10" s="68">
        <f>16005900*0.000001</f>
        <v>16.0059</v>
      </c>
      <c r="E10" s="68">
        <f>-0.000000000168606*1000000000000</f>
        <v>-168.60599999999999</v>
      </c>
      <c r="F10" s="24">
        <v>-5.9102000000000004E-12</v>
      </c>
      <c r="G10" s="24">
        <v>5.8837399999999997E-12</v>
      </c>
      <c r="H10" s="24">
        <v>7.0831899999999998E-13</v>
      </c>
      <c r="I10" s="109">
        <v>69</v>
      </c>
      <c r="J10" s="29">
        <f t="shared" si="0"/>
        <v>0.9955229941457141</v>
      </c>
      <c r="K10" s="29">
        <f>21/69</f>
        <v>0.30434782608695654</v>
      </c>
      <c r="L10" s="29">
        <f t="shared" si="1"/>
        <v>5.9102000000000006</v>
      </c>
      <c r="M10" s="28">
        <v>0.809199</v>
      </c>
      <c r="N10" s="28" t="s">
        <v>12</v>
      </c>
      <c r="O10" s="28">
        <v>-7.28</v>
      </c>
      <c r="P10" s="28">
        <v>-11.09</v>
      </c>
      <c r="Q10" s="28">
        <v>1.52</v>
      </c>
      <c r="R10" s="28">
        <v>-4.57</v>
      </c>
      <c r="S10" s="28">
        <v>-11.71</v>
      </c>
      <c r="T10" s="28">
        <v>2.56</v>
      </c>
      <c r="U10" s="28">
        <v>-5.63</v>
      </c>
      <c r="V10" s="28">
        <v>-11.22</v>
      </c>
      <c r="W10" s="28">
        <v>1.99</v>
      </c>
      <c r="X10" s="28">
        <v>-7.21</v>
      </c>
      <c r="Y10" s="28">
        <v>-14.04</v>
      </c>
      <c r="Z10" s="28">
        <v>1.95</v>
      </c>
      <c r="AA10" s="28">
        <v>-5.99</v>
      </c>
      <c r="AB10" s="28">
        <v>-5.93</v>
      </c>
      <c r="AC10" s="28">
        <v>0.99</v>
      </c>
      <c r="AD10" s="28">
        <v>-4.2</v>
      </c>
      <c r="AE10" s="28">
        <v>-8.06</v>
      </c>
      <c r="AF10" s="28">
        <v>1.92</v>
      </c>
    </row>
    <row r="11" spans="1:201" s="28" customFormat="1">
      <c r="A11" s="35" t="s">
        <v>40</v>
      </c>
      <c r="B11" s="24" t="s">
        <v>14</v>
      </c>
      <c r="D11" s="68">
        <f>23285700*0.000001</f>
        <v>23.285699999999999</v>
      </c>
      <c r="E11" s="68">
        <f>-0.000000000105178*1000000000000</f>
        <v>-105.178</v>
      </c>
      <c r="F11" s="108">
        <v>-8.49688E-12</v>
      </c>
      <c r="G11" s="108">
        <v>5.3965600000000002E-12</v>
      </c>
      <c r="H11" s="108">
        <v>8.2296800000000003E-13</v>
      </c>
      <c r="I11" s="109">
        <v>43</v>
      </c>
      <c r="J11" s="29">
        <f t="shared" si="0"/>
        <v>0.6351225390967038</v>
      </c>
      <c r="K11" s="29">
        <f>3/43</f>
        <v>6.9767441860465115E-2</v>
      </c>
      <c r="L11" s="29">
        <f t="shared" si="1"/>
        <v>8.4968800000000009</v>
      </c>
      <c r="M11" s="110">
        <v>0.93182699999999996</v>
      </c>
      <c r="N11" s="28" t="s">
        <v>12</v>
      </c>
      <c r="O11" s="28">
        <v>-8.91</v>
      </c>
      <c r="P11" s="28">
        <v>-9.99</v>
      </c>
      <c r="Q11" s="28">
        <v>1.1200000000000001</v>
      </c>
      <c r="R11" s="28">
        <v>-4.6399999999999997</v>
      </c>
      <c r="S11" s="28">
        <v>-8.56</v>
      </c>
      <c r="T11" s="28">
        <v>1.85</v>
      </c>
      <c r="U11" s="28">
        <v>-10</v>
      </c>
      <c r="V11" s="28">
        <v>-8.5399999999999903</v>
      </c>
      <c r="W11" s="28">
        <v>0.85</v>
      </c>
      <c r="X11" s="28">
        <v>-4.8099999999999996</v>
      </c>
      <c r="Y11" s="28">
        <v>-11.85</v>
      </c>
      <c r="Z11" s="28">
        <v>2.46</v>
      </c>
      <c r="AA11" s="28">
        <v>-6.59</v>
      </c>
      <c r="AB11" s="28">
        <v>-10.69</v>
      </c>
      <c r="AC11" s="28">
        <v>1.62</v>
      </c>
      <c r="AD11" s="28">
        <v>-7.58</v>
      </c>
      <c r="AE11" s="28">
        <v>-3.82</v>
      </c>
      <c r="AF11" s="28">
        <v>0.5</v>
      </c>
    </row>
    <row r="12" spans="1:201" s="28" customFormat="1">
      <c r="A12" s="35" t="s">
        <v>42</v>
      </c>
      <c r="B12" s="24" t="s">
        <v>23</v>
      </c>
      <c r="D12" s="68">
        <f>21.9305</f>
        <v>21.930499999999999</v>
      </c>
      <c r="E12" s="111">
        <v>-26.788699999999999</v>
      </c>
      <c r="F12" s="108">
        <v>-3.6024400000000001E-12</v>
      </c>
      <c r="G12" s="108">
        <v>3.9345600000000001E-12</v>
      </c>
      <c r="H12" s="108">
        <v>4.1706300000000001E-13</v>
      </c>
      <c r="I12" s="109">
        <v>89</v>
      </c>
      <c r="J12" s="29">
        <f t="shared" si="0"/>
        <v>1.0921930691420259</v>
      </c>
      <c r="K12" s="29">
        <f>32/89</f>
        <v>0.3595505617977528</v>
      </c>
      <c r="L12" s="29">
        <f t="shared" si="1"/>
        <v>3.6024400000000001</v>
      </c>
      <c r="M12" s="110">
        <v>1.08832</v>
      </c>
      <c r="N12" s="28" t="s">
        <v>12</v>
      </c>
      <c r="O12" s="28">
        <v>-2.42</v>
      </c>
      <c r="P12" s="28">
        <v>-8.5500000000000007</v>
      </c>
      <c r="Q12" s="28">
        <v>3.54</v>
      </c>
      <c r="R12" s="28">
        <v>-2.36</v>
      </c>
      <c r="S12" s="28">
        <v>-8.31</v>
      </c>
      <c r="T12" s="28">
        <v>3.52</v>
      </c>
      <c r="U12" s="28">
        <v>-3.54</v>
      </c>
      <c r="V12" s="28">
        <v>-7.06</v>
      </c>
      <c r="W12" s="28">
        <v>1.99</v>
      </c>
      <c r="X12" s="28">
        <v>-2.0299999999999998</v>
      </c>
      <c r="Y12" s="28">
        <v>-4.72</v>
      </c>
      <c r="Z12" s="28">
        <v>2.33</v>
      </c>
      <c r="AA12" s="28">
        <v>-5.17</v>
      </c>
      <c r="AB12" s="28">
        <v>-6.15</v>
      </c>
      <c r="AC12" s="28">
        <v>1.19</v>
      </c>
      <c r="AD12" s="28">
        <v>-4.3099999999999996</v>
      </c>
      <c r="AE12" s="28">
        <v>-5.96</v>
      </c>
      <c r="AF12" s="28">
        <v>1.38</v>
      </c>
    </row>
    <row r="13" spans="1:201" s="28" customFormat="1">
      <c r="A13" s="35" t="s">
        <v>34</v>
      </c>
      <c r="B13" s="24" t="s">
        <v>14</v>
      </c>
      <c r="C13" s="28" t="s">
        <v>72</v>
      </c>
      <c r="D13" s="68">
        <f>14544300*0.000001</f>
        <v>14.5443</v>
      </c>
      <c r="E13" s="68">
        <f>-0.0000000000742557*1000000000000</f>
        <v>-74.25569999999999</v>
      </c>
      <c r="F13" s="108">
        <v>-1.56571E-11</v>
      </c>
      <c r="G13" s="108">
        <v>7.2005199999999997E-12</v>
      </c>
      <c r="H13" s="108">
        <v>9.0718100000000005E-13</v>
      </c>
      <c r="I13" s="109">
        <v>63</v>
      </c>
      <c r="J13" s="29">
        <f t="shared" ref="J13:J18" si="2">-G13/F13</f>
        <v>0.45988848509621832</v>
      </c>
      <c r="K13" s="29">
        <f>5/I13</f>
        <v>7.9365079365079361E-2</v>
      </c>
      <c r="L13" s="29">
        <f t="shared" ref="L13:L18" si="3">F13*-1000000000000</f>
        <v>15.6571</v>
      </c>
      <c r="M13" s="110">
        <v>0.42204000000000003</v>
      </c>
      <c r="N13" s="28" t="s">
        <v>12</v>
      </c>
      <c r="O13" s="28">
        <v>-14.51</v>
      </c>
      <c r="P13" s="28">
        <v>-14.79</v>
      </c>
      <c r="Q13" s="1">
        <f>P13/O13</f>
        <v>1.0192970365265335</v>
      </c>
      <c r="R13" s="28">
        <v>-16.7</v>
      </c>
      <c r="S13" s="28">
        <v>-14.65</v>
      </c>
      <c r="T13" s="1">
        <f>S13/R13</f>
        <v>0.87724550898203602</v>
      </c>
      <c r="U13" s="28">
        <v>-14.85</v>
      </c>
      <c r="W13" s="28">
        <v>0.91</v>
      </c>
      <c r="X13" s="28">
        <v>-16.190000000000001</v>
      </c>
      <c r="Y13" s="28">
        <v>-20.64</v>
      </c>
      <c r="Z13" s="28">
        <v>1.27</v>
      </c>
      <c r="AA13" s="28">
        <v>-14.39</v>
      </c>
      <c r="AB13" s="28">
        <v>-20.11</v>
      </c>
      <c r="AC13" s="28">
        <v>1.4</v>
      </c>
      <c r="AD13" s="28">
        <v>-20.91</v>
      </c>
      <c r="AE13" s="28">
        <v>-13.65</v>
      </c>
      <c r="AF13" s="28">
        <v>0.65</v>
      </c>
      <c r="BA13" s="29"/>
    </row>
    <row r="14" spans="1:201" s="28" customFormat="1">
      <c r="A14" s="35" t="s">
        <v>36</v>
      </c>
      <c r="B14" s="24" t="s">
        <v>14</v>
      </c>
      <c r="C14" s="28" t="s">
        <v>72</v>
      </c>
      <c r="D14" s="68">
        <f>12389100*0.000001</f>
        <v>12.389099999999999</v>
      </c>
      <c r="E14" s="68">
        <f>-0.0000000000182354*1000000000000</f>
        <v>-18.235400000000002</v>
      </c>
      <c r="F14" s="108">
        <v>-1.0956900000000001E-11</v>
      </c>
      <c r="G14" s="108">
        <v>5.8803600000000002E-12</v>
      </c>
      <c r="H14" s="108">
        <v>7.7212999999999996E-13</v>
      </c>
      <c r="I14" s="109">
        <v>58</v>
      </c>
      <c r="J14" s="29">
        <f t="shared" si="2"/>
        <v>0.53668099553705884</v>
      </c>
      <c r="K14" s="29">
        <f>4/I14</f>
        <v>6.8965517241379309E-2</v>
      </c>
      <c r="L14" s="29">
        <f t="shared" si="3"/>
        <v>10.956900000000001</v>
      </c>
      <c r="M14" s="110">
        <v>0.60333999999999999</v>
      </c>
      <c r="N14" s="28" t="s">
        <v>12</v>
      </c>
      <c r="O14" s="28">
        <v>-11.81</v>
      </c>
      <c r="P14" s="28">
        <v>-5.87</v>
      </c>
      <c r="Q14" s="28">
        <v>0.5</v>
      </c>
      <c r="R14" s="28">
        <v>-8.7200000000000006</v>
      </c>
      <c r="S14" s="28">
        <v>-9.5399999999999903</v>
      </c>
      <c r="T14" s="28">
        <v>1.0900000000000001</v>
      </c>
      <c r="U14" s="28">
        <v>-10.14</v>
      </c>
      <c r="W14" s="28">
        <v>0.54</v>
      </c>
      <c r="X14" s="28">
        <v>-10.93</v>
      </c>
      <c r="Y14" s="28">
        <v>-11.7</v>
      </c>
      <c r="Z14" s="28">
        <v>1.07</v>
      </c>
      <c r="AA14" s="28">
        <v>-13.65</v>
      </c>
      <c r="AB14" s="28">
        <v>-3.41</v>
      </c>
      <c r="AC14" s="28">
        <v>0.25</v>
      </c>
      <c r="AD14" s="28">
        <v>-5.7</v>
      </c>
      <c r="AE14" s="28">
        <v>-5.09</v>
      </c>
      <c r="AF14" s="28">
        <v>0.89</v>
      </c>
      <c r="BA14" s="29"/>
    </row>
    <row r="15" spans="1:201" s="28" customFormat="1">
      <c r="A15" s="35" t="s">
        <v>37</v>
      </c>
      <c r="B15" s="24" t="s">
        <v>14</v>
      </c>
      <c r="C15" s="28" t="s">
        <v>72</v>
      </c>
      <c r="D15" s="111">
        <v>18.356100000000001</v>
      </c>
      <c r="E15" s="68">
        <f>-0.000000000128987*1000000000000</f>
        <v>-128.98700000000002</v>
      </c>
      <c r="F15" s="108">
        <v>-5.4374400000000002E-11</v>
      </c>
      <c r="G15" s="108">
        <v>1.7255400000000001E-11</v>
      </c>
      <c r="H15" s="108">
        <v>2.8758999999999999E-12</v>
      </c>
      <c r="I15" s="109">
        <v>36</v>
      </c>
      <c r="J15" s="29">
        <f t="shared" si="2"/>
        <v>0.3173441913841808</v>
      </c>
      <c r="K15" s="29">
        <v>0</v>
      </c>
      <c r="L15" s="29">
        <f t="shared" si="3"/>
        <v>54.374400000000001</v>
      </c>
      <c r="M15" s="110">
        <v>0.198186</v>
      </c>
      <c r="N15" s="28" t="s">
        <v>12</v>
      </c>
      <c r="O15" s="28">
        <v>-52.42</v>
      </c>
      <c r="P15" s="28">
        <v>-42.43</v>
      </c>
      <c r="Q15" s="28">
        <v>0.81</v>
      </c>
      <c r="R15" s="28">
        <v>-38.56</v>
      </c>
      <c r="S15" s="28">
        <v>-42.74</v>
      </c>
      <c r="T15" s="28">
        <v>1.1100000000000001</v>
      </c>
      <c r="U15" s="28">
        <v>-45.7</v>
      </c>
      <c r="V15" s="28">
        <v>-44.41</v>
      </c>
      <c r="W15" s="28">
        <v>0.97</v>
      </c>
      <c r="X15" s="28">
        <v>-50.26</v>
      </c>
      <c r="Y15" s="28">
        <v>-46.52</v>
      </c>
      <c r="Z15" s="28">
        <v>0.93</v>
      </c>
      <c r="AA15" s="28">
        <v>-51.69</v>
      </c>
      <c r="AB15" s="28">
        <v>-48.79</v>
      </c>
      <c r="AC15" s="28">
        <v>0.93999999999999895</v>
      </c>
      <c r="AD15" s="28">
        <v>-49.25</v>
      </c>
      <c r="AE15" s="28">
        <v>-43.57</v>
      </c>
      <c r="AF15" s="28">
        <v>0.88</v>
      </c>
      <c r="BA15" s="29"/>
    </row>
    <row r="16" spans="1:201" s="28" customFormat="1">
      <c r="A16" s="35" t="s">
        <v>39</v>
      </c>
      <c r="B16" s="24" t="s">
        <v>23</v>
      </c>
      <c r="C16" s="28" t="s">
        <v>72</v>
      </c>
      <c r="D16" s="111">
        <f>20620500*0.000001</f>
        <v>20.6205</v>
      </c>
      <c r="E16" s="68">
        <f>-0.0000000000947786*1000000000000</f>
        <v>-94.778599999999997</v>
      </c>
      <c r="F16" s="108">
        <v>-1.12716E-11</v>
      </c>
      <c r="G16" s="108">
        <v>8.2888499999999998E-12</v>
      </c>
      <c r="H16" s="108">
        <v>1.0700899999999999E-12</v>
      </c>
      <c r="I16" s="109">
        <v>60</v>
      </c>
      <c r="J16" s="29">
        <f t="shared" si="2"/>
        <v>0.73537474715213458</v>
      </c>
      <c r="K16" s="29">
        <f>9/60</f>
        <v>0.15</v>
      </c>
      <c r="L16" s="29">
        <f t="shared" si="3"/>
        <v>11.271599999999999</v>
      </c>
      <c r="M16" s="110">
        <v>0.67110899999999996</v>
      </c>
      <c r="N16" s="28" t="s">
        <v>12</v>
      </c>
      <c r="O16" s="28">
        <v>-8.99</v>
      </c>
      <c r="P16" s="28">
        <v>-19.57</v>
      </c>
      <c r="Q16" s="28">
        <v>2.1800000000000002</v>
      </c>
      <c r="R16" s="28">
        <v>-12.8</v>
      </c>
      <c r="S16" s="28">
        <v>-15.28</v>
      </c>
      <c r="T16" s="28">
        <v>1.19</v>
      </c>
      <c r="U16" s="28">
        <v>-13.38</v>
      </c>
      <c r="V16" s="28">
        <v>-15.55</v>
      </c>
      <c r="W16" s="28">
        <v>1.1599999999999999</v>
      </c>
      <c r="X16" s="28">
        <v>-11.39</v>
      </c>
      <c r="Y16" s="28">
        <v>-13.59</v>
      </c>
      <c r="Z16" s="28">
        <v>1.19</v>
      </c>
      <c r="AA16" s="28">
        <v>-8.3800000000000008</v>
      </c>
      <c r="AB16" s="28">
        <v>-13.59</v>
      </c>
      <c r="AC16" s="28">
        <v>1.62</v>
      </c>
      <c r="AD16" s="28">
        <v>-9.58</v>
      </c>
      <c r="AE16" s="28">
        <v>-9.81</v>
      </c>
      <c r="AF16" s="28">
        <v>1.02</v>
      </c>
      <c r="BA16" s="29"/>
    </row>
    <row r="17" spans="1:78" s="28" customFormat="1">
      <c r="A17" s="35" t="s">
        <v>41</v>
      </c>
      <c r="B17" s="24" t="s">
        <v>14</v>
      </c>
      <c r="C17" s="28" t="s">
        <v>72</v>
      </c>
      <c r="D17" s="111">
        <f>15649500*0.000001</f>
        <v>15.6495</v>
      </c>
      <c r="E17" s="68">
        <f>-0.00000000000886225*1000000000000</f>
        <v>-8.8622500000000013</v>
      </c>
      <c r="F17" s="108">
        <v>-2.5675100000000001E-11</v>
      </c>
      <c r="G17" s="108">
        <v>1.5668599999999999E-11</v>
      </c>
      <c r="H17" s="108">
        <v>2.5759E-12</v>
      </c>
      <c r="I17" s="109">
        <v>37</v>
      </c>
      <c r="J17" s="29">
        <f t="shared" si="2"/>
        <v>0.61026441961277655</v>
      </c>
      <c r="K17" s="29">
        <f>1/37</f>
        <v>2.7027027027027029E-2</v>
      </c>
      <c r="L17" s="29">
        <f t="shared" si="3"/>
        <v>25.6751</v>
      </c>
      <c r="M17" s="110">
        <v>0.54500300000000002</v>
      </c>
      <c r="N17" s="28" t="s">
        <v>12</v>
      </c>
      <c r="O17" s="28">
        <v>-29.5</v>
      </c>
      <c r="P17" s="28">
        <v>-26.24</v>
      </c>
      <c r="Q17" s="28">
        <v>0.89</v>
      </c>
      <c r="R17" s="28">
        <v>-22.63</v>
      </c>
      <c r="S17" s="28">
        <v>-36.64</v>
      </c>
      <c r="T17" s="28">
        <v>1.62</v>
      </c>
      <c r="U17" s="28">
        <v>-19.88</v>
      </c>
      <c r="V17" s="28">
        <v>-31.22</v>
      </c>
      <c r="W17" s="28">
        <v>1.57</v>
      </c>
      <c r="X17" s="28">
        <v>-23.49</v>
      </c>
      <c r="Y17" s="28">
        <v>-35.32</v>
      </c>
      <c r="Z17" s="28">
        <v>1.5</v>
      </c>
      <c r="AA17" s="28">
        <v>-28.84</v>
      </c>
      <c r="AB17" s="28">
        <v>-27.3</v>
      </c>
      <c r="AC17" s="28">
        <v>0.95</v>
      </c>
      <c r="AD17" s="28">
        <v>-19.5</v>
      </c>
      <c r="AE17" s="28">
        <v>-26.95</v>
      </c>
      <c r="AF17" s="28">
        <v>1.38</v>
      </c>
      <c r="BA17" s="29"/>
    </row>
    <row r="18" spans="1:78" s="9" customFormat="1">
      <c r="A18" s="64" t="s">
        <v>43</v>
      </c>
      <c r="B18" s="112" t="s">
        <v>14</v>
      </c>
      <c r="C18" s="9" t="s">
        <v>72</v>
      </c>
      <c r="D18" s="113">
        <f>24582200*0.000001</f>
        <v>24.5822</v>
      </c>
      <c r="E18" s="114">
        <f>-0.000000000149988*1000000000000</f>
        <v>-149.988</v>
      </c>
      <c r="F18" s="115">
        <v>-1.8655400000000001E-11</v>
      </c>
      <c r="G18" s="115">
        <v>1.0236100000000001E-11</v>
      </c>
      <c r="H18" s="115">
        <v>1.1819700000000001E-12</v>
      </c>
      <c r="I18" s="116">
        <v>75</v>
      </c>
      <c r="J18" s="17">
        <f t="shared" si="2"/>
        <v>0.54869367582576634</v>
      </c>
      <c r="K18" s="17">
        <f>6/75</f>
        <v>0.08</v>
      </c>
      <c r="L18" s="17">
        <f t="shared" si="3"/>
        <v>18.6554</v>
      </c>
      <c r="M18" s="117">
        <v>0.83325300000000002</v>
      </c>
      <c r="N18" s="9" t="s">
        <v>12</v>
      </c>
      <c r="O18" s="9">
        <v>-16.98</v>
      </c>
      <c r="P18" s="9">
        <v>-12.54</v>
      </c>
      <c r="Q18" s="9">
        <v>0.74</v>
      </c>
      <c r="R18" s="9">
        <v>-21.11</v>
      </c>
      <c r="S18" s="9">
        <v>-9.11</v>
      </c>
      <c r="T18" s="9">
        <v>0.43</v>
      </c>
      <c r="U18" s="9">
        <v>-18.45</v>
      </c>
      <c r="V18" s="9">
        <v>-15.05</v>
      </c>
      <c r="W18" s="9">
        <v>0.82</v>
      </c>
      <c r="X18" s="9">
        <v>-18.100000000000001</v>
      </c>
      <c r="Y18" s="9">
        <v>-12.62</v>
      </c>
      <c r="Z18" s="9">
        <v>0.7</v>
      </c>
      <c r="AA18" s="9">
        <v>-14.73</v>
      </c>
      <c r="AB18" s="9">
        <v>-20.2</v>
      </c>
      <c r="AC18" s="9">
        <v>1.37</v>
      </c>
      <c r="AD18" s="9">
        <v>-17.5</v>
      </c>
      <c r="AE18" s="9">
        <v>-17.13</v>
      </c>
      <c r="AF18" s="9">
        <v>0.98</v>
      </c>
      <c r="BA18" s="17"/>
    </row>
    <row r="19" spans="1:78" s="28" customFormat="1">
      <c r="A19" s="52" t="s">
        <v>27</v>
      </c>
      <c r="B19" s="2"/>
      <c r="D19" s="68"/>
      <c r="E19" s="68"/>
      <c r="F19" s="1"/>
      <c r="I19" s="29"/>
      <c r="J19" s="29"/>
      <c r="K19" s="1"/>
      <c r="L19" s="29"/>
      <c r="M19" s="1"/>
      <c r="Q19" s="1">
        <f>AVERAGE(Q5:Q18)</f>
        <v>1.2099497883233234</v>
      </c>
      <c r="T19" s="1">
        <f>AVERAGE(T5:T18)</f>
        <v>1.3626603934987167</v>
      </c>
      <c r="W19" s="1">
        <f>AVERAGE(W5:W18)</f>
        <v>1.2085714285714284</v>
      </c>
      <c r="Z19" s="1">
        <f>AVERAGE(Z5:Z18)</f>
        <v>1.590714285714286</v>
      </c>
      <c r="AC19" s="1">
        <f>AVERAGE(AC5:AC18)</f>
        <v>1.1757142857142857</v>
      </c>
      <c r="AF19" s="1">
        <f>AVERAGE(AF5:AF18)</f>
        <v>1.08</v>
      </c>
      <c r="AI19" s="1"/>
      <c r="AJ19" s="1"/>
      <c r="AQ19" s="1"/>
      <c r="AR19" s="1"/>
      <c r="AT19" s="1"/>
    </row>
    <row r="20" spans="1:78" s="28" customFormat="1">
      <c r="A20" s="52" t="s">
        <v>29</v>
      </c>
      <c r="B20" s="2"/>
      <c r="D20" s="68"/>
      <c r="E20" s="68"/>
      <c r="F20" s="1"/>
      <c r="I20" s="29"/>
      <c r="J20" s="29"/>
      <c r="K20" s="1"/>
      <c r="L20" s="29"/>
      <c r="M20" s="1"/>
      <c r="Q20" s="1">
        <f>STDEV(Q5:Q18)/SQRT(Q24)</f>
        <v>0.22125103321271877</v>
      </c>
      <c r="T20" s="1">
        <f>STDEV(T5:T18)/SQRT(T24)</f>
        <v>0.22153005415741975</v>
      </c>
      <c r="W20" s="1">
        <f>STDEV(W5:W18)/SQRT(W24)</f>
        <v>0.11834879137837508</v>
      </c>
      <c r="Z20" s="1">
        <f>STDEV(Z5:Z18)/SQRT(Z24)</f>
        <v>0.15669829724003939</v>
      </c>
      <c r="AC20" s="1">
        <f>STDEV(AC5:AC18)/SQRT(AC24)</f>
        <v>0.10585971582642206</v>
      </c>
      <c r="AF20" s="1">
        <f>STDEV(AF5:AF18)/SQRT(AF24)</f>
        <v>9.2748033953274509E-2</v>
      </c>
      <c r="AI20" s="1"/>
      <c r="AJ20" s="1"/>
      <c r="AQ20" s="1"/>
      <c r="AR20" s="1"/>
      <c r="AT20" s="1"/>
    </row>
    <row r="21" spans="1:78" s="8" customFormat="1">
      <c r="A21" s="66" t="s">
        <v>20</v>
      </c>
      <c r="B21" s="48"/>
      <c r="D21" s="49"/>
      <c r="E21" s="49"/>
      <c r="F21" s="26"/>
      <c r="I21" s="32"/>
      <c r="J21" s="32"/>
      <c r="K21" s="26"/>
      <c r="L21" s="32"/>
      <c r="M21" s="26"/>
      <c r="Q21" s="26">
        <f>MEDIAN(Q5:Q18,)</f>
        <v>0.89</v>
      </c>
      <c r="T21" s="26">
        <f>MEDIAN(T5:T18,)</f>
        <v>1.1100000000000001</v>
      </c>
      <c r="W21" s="26">
        <f>MEDIAN(W5:W18,)</f>
        <v>1.04</v>
      </c>
      <c r="Z21" s="26">
        <f>MEDIAN(Z5:Z18,)</f>
        <v>1.5</v>
      </c>
      <c r="AC21" s="26">
        <f>MEDIAN(AC5:AC18,)</f>
        <v>1.19</v>
      </c>
      <c r="AF21" s="26">
        <f>MEDIAN(AF5:AF18,)</f>
        <v>1.02</v>
      </c>
      <c r="AI21" s="26"/>
      <c r="AJ21" s="26"/>
      <c r="AQ21" s="26"/>
      <c r="AR21" s="26"/>
      <c r="AT21" s="26"/>
    </row>
    <row r="22" spans="1:78" s="28" customFormat="1">
      <c r="A22" s="35" t="s">
        <v>21</v>
      </c>
      <c r="B22" s="2"/>
      <c r="D22" s="68"/>
      <c r="E22" s="68"/>
      <c r="F22" s="1"/>
      <c r="I22" s="29"/>
      <c r="J22" s="29"/>
      <c r="K22" s="1"/>
      <c r="L22" s="29"/>
      <c r="M22" s="1"/>
      <c r="Q22" s="1">
        <f>_xlfn.QUARTILE.EXC((Q5:Q18),3)</f>
        <v>1.585</v>
      </c>
      <c r="T22" s="1">
        <f>_xlfn.QUARTILE.EXC((T5:T18),3)</f>
        <v>1.6775000000000002</v>
      </c>
      <c r="W22" s="1">
        <f>_xlfn.QUARTILE.EXC((W5:W18),3)</f>
        <v>1.5325</v>
      </c>
      <c r="Z22" s="1">
        <f>QUARTILE((Z5:Z18),3)</f>
        <v>2.0175000000000001</v>
      </c>
      <c r="AC22" s="1">
        <f>QUARTILE((AC5:AC18),3)</f>
        <v>1.3925000000000001</v>
      </c>
      <c r="AF22" s="1">
        <f>QUARTILE((AF5:AF18),3)</f>
        <v>1.1975</v>
      </c>
      <c r="AI22" s="1"/>
      <c r="AJ22" s="1"/>
      <c r="AQ22" s="1"/>
      <c r="AR22" s="1"/>
      <c r="AT22" s="1"/>
    </row>
    <row r="23" spans="1:78" s="28" customFormat="1">
      <c r="A23" s="35" t="s">
        <v>22</v>
      </c>
      <c r="B23" s="2"/>
      <c r="D23" s="68"/>
      <c r="E23" s="68"/>
      <c r="F23" s="1"/>
      <c r="I23" s="29"/>
      <c r="J23" s="29"/>
      <c r="K23" s="1"/>
      <c r="L23" s="29"/>
      <c r="M23" s="1"/>
      <c r="Q23" s="1">
        <f>_xlfn.QUARTILE.EXC((Q5:Q18),1)</f>
        <v>0.6825</v>
      </c>
      <c r="T23" s="1">
        <f>_xlfn.QUARTILE.EXC((T5:T18),1)</f>
        <v>0.82043413173652702</v>
      </c>
      <c r="W23" s="1">
        <f>_xlfn.QUARTILE.EXC((W5:W18),1)</f>
        <v>0.88749999999999996</v>
      </c>
      <c r="Z23" s="1">
        <f>QUARTILE((Z5:Z18),1)</f>
        <v>1.1074999999999999</v>
      </c>
      <c r="AC23" s="1">
        <f>QUARTILE((AC5:AC18),1)</f>
        <v>0.96</v>
      </c>
      <c r="AF23" s="1">
        <f>QUARTILE((AF5:AF18),1)</f>
        <v>0.89</v>
      </c>
      <c r="AI23" s="1"/>
      <c r="AJ23" s="1"/>
      <c r="AQ23" s="1"/>
      <c r="AR23" s="1"/>
      <c r="AT23" s="1"/>
    </row>
    <row r="24" spans="1:78" s="28" customFormat="1">
      <c r="A24" s="35" t="s">
        <v>4</v>
      </c>
      <c r="B24" s="2"/>
      <c r="D24" s="29"/>
      <c r="E24" s="29"/>
      <c r="F24" s="29"/>
      <c r="I24" s="29"/>
      <c r="J24" s="29"/>
      <c r="K24" s="29"/>
      <c r="L24" s="29"/>
      <c r="M24" s="29"/>
      <c r="Q24" s="29">
        <f>COUNT((Q5:Q18))</f>
        <v>14</v>
      </c>
      <c r="T24" s="29">
        <f>COUNT((T5:T18))</f>
        <v>14</v>
      </c>
      <c r="W24" s="29">
        <f>COUNT((W5:W18))</f>
        <v>14</v>
      </c>
      <c r="Z24" s="29">
        <f>COUNT((Z5:Z18))</f>
        <v>14</v>
      </c>
      <c r="AC24" s="29">
        <f>COUNT((AC5:AC18))</f>
        <v>14</v>
      </c>
      <c r="AF24" s="29">
        <f>COUNT((AF5:AF18))</f>
        <v>14</v>
      </c>
      <c r="AI24" s="29"/>
      <c r="AJ24" s="29"/>
      <c r="AQ24" s="29"/>
      <c r="AR24" s="29"/>
      <c r="AT24" s="29"/>
    </row>
    <row r="25" spans="1:78" s="28" customFormat="1">
      <c r="A25" s="35"/>
      <c r="B25" s="2"/>
      <c r="D25" s="29"/>
      <c r="E25" s="29"/>
      <c r="F25" s="29"/>
      <c r="I25" s="29"/>
      <c r="J25" s="29"/>
      <c r="K25" s="29"/>
      <c r="L25" s="29"/>
      <c r="M25" s="29"/>
      <c r="R25" s="29"/>
      <c r="T25" s="29"/>
      <c r="V25" s="29"/>
      <c r="X25" s="29"/>
      <c r="AE25" s="29"/>
      <c r="AW25" s="29"/>
      <c r="AZ25" s="29"/>
      <c r="BC25" s="29"/>
      <c r="BF25" s="29"/>
      <c r="BI25" s="29"/>
      <c r="BL25" s="29"/>
      <c r="BO25" s="29"/>
      <c r="BP25" s="29"/>
      <c r="BW25" s="29"/>
      <c r="BX25" s="29"/>
      <c r="BZ25" s="29"/>
    </row>
    <row r="26" spans="1:78" s="27" customFormat="1" ht="18.75">
      <c r="A26" s="67" t="s">
        <v>51</v>
      </c>
      <c r="B26" s="47"/>
      <c r="D26" s="30"/>
      <c r="E26" s="30"/>
      <c r="F26" s="30"/>
      <c r="I26" s="30"/>
      <c r="J26" s="30"/>
      <c r="K26" s="30"/>
      <c r="L26" s="30"/>
      <c r="M26" s="30"/>
      <c r="R26" s="30"/>
      <c r="T26" s="30"/>
      <c r="V26" s="30"/>
      <c r="X26" s="30"/>
      <c r="AE26" s="30"/>
      <c r="AW26" s="30"/>
      <c r="AZ26" s="30"/>
      <c r="BC26" s="30"/>
      <c r="BF26" s="30"/>
      <c r="BI26" s="30"/>
      <c r="BL26" s="30"/>
      <c r="BO26" s="29"/>
      <c r="BP26" s="29"/>
      <c r="BQ26" s="28"/>
      <c r="BR26" s="28"/>
      <c r="BS26" s="28"/>
      <c r="BT26" s="28"/>
      <c r="BU26" s="28"/>
      <c r="BV26" s="28"/>
      <c r="BW26" s="29"/>
      <c r="BX26" s="29"/>
      <c r="BY26" s="28"/>
      <c r="BZ26" s="29"/>
    </row>
    <row r="27" spans="1:78" s="28" customFormat="1">
      <c r="A27" s="96" t="s">
        <v>11</v>
      </c>
      <c r="G27" s="1"/>
      <c r="H27" s="1"/>
      <c r="M27" s="118" t="s">
        <v>0</v>
      </c>
      <c r="N27" s="102" t="s">
        <v>1</v>
      </c>
      <c r="AE27" s="7"/>
      <c r="AF27" s="84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spans="1:78" s="28" customFormat="1">
      <c r="A28" s="85" t="s">
        <v>73</v>
      </c>
      <c r="B28" s="86"/>
      <c r="C28" s="7"/>
      <c r="D28" s="7"/>
      <c r="E28" s="7"/>
      <c r="F28" s="7"/>
      <c r="G28" s="70"/>
      <c r="H28" s="87"/>
      <c r="I28" s="7"/>
      <c r="J28" s="7"/>
      <c r="K28" s="7"/>
      <c r="L28" s="7"/>
      <c r="M28" s="3" t="s">
        <v>85</v>
      </c>
      <c r="N28" s="3" t="s">
        <v>32</v>
      </c>
      <c r="O28" s="97" t="s">
        <v>31</v>
      </c>
      <c r="P28" s="7" t="s">
        <v>30</v>
      </c>
      <c r="Q28" s="7"/>
      <c r="R28" s="7"/>
      <c r="S28" s="7"/>
      <c r="T28" s="7"/>
      <c r="U28" s="88"/>
      <c r="Y28" s="86"/>
      <c r="Z28" s="86"/>
      <c r="AA28" s="86"/>
      <c r="AB28" s="86"/>
      <c r="AC28" s="86"/>
      <c r="AD28" s="7"/>
      <c r="AE28" s="89"/>
      <c r="AF28" s="7"/>
      <c r="AG28" s="7"/>
      <c r="AH28" s="7"/>
      <c r="AI28" s="7"/>
      <c r="AJ28" s="7"/>
      <c r="AK28" s="7"/>
      <c r="AL28" s="7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7"/>
    </row>
    <row r="29" spans="1:78" s="28" customFormat="1">
      <c r="A29" s="64" t="s">
        <v>67</v>
      </c>
      <c r="B29" s="11" t="s">
        <v>68</v>
      </c>
      <c r="C29" s="9" t="s">
        <v>69</v>
      </c>
      <c r="D29" s="9" t="s">
        <v>81</v>
      </c>
      <c r="E29" s="9" t="s">
        <v>74</v>
      </c>
      <c r="F29" s="9" t="s">
        <v>75</v>
      </c>
      <c r="G29" s="10" t="s">
        <v>52</v>
      </c>
      <c r="H29" s="9" t="s">
        <v>2</v>
      </c>
      <c r="I29" s="10" t="s">
        <v>3</v>
      </c>
      <c r="J29" s="9" t="s">
        <v>4</v>
      </c>
      <c r="K29" s="9" t="s">
        <v>5</v>
      </c>
      <c r="L29" s="64" t="s">
        <v>6</v>
      </c>
      <c r="M29" s="9" t="s">
        <v>77</v>
      </c>
      <c r="N29" s="9" t="s">
        <v>78</v>
      </c>
      <c r="O29" s="9" t="s">
        <v>79</v>
      </c>
      <c r="P29" s="9" t="s">
        <v>80</v>
      </c>
      <c r="Q29" s="7"/>
      <c r="R29" s="90"/>
      <c r="S29" s="90"/>
      <c r="T29" s="90"/>
      <c r="U29" s="90"/>
      <c r="V29" s="90"/>
      <c r="W29" s="90"/>
      <c r="X29" s="90"/>
      <c r="Y29" s="7"/>
      <c r="Z29" s="7"/>
      <c r="AA29" s="50"/>
      <c r="AB29" s="7"/>
      <c r="AC29" s="7"/>
      <c r="AD29" s="7"/>
      <c r="AE29" s="7"/>
      <c r="AF29" s="7"/>
      <c r="AG29" s="7"/>
      <c r="AH29" s="7"/>
      <c r="AI29" s="97"/>
      <c r="AJ29" s="97"/>
      <c r="AK29" s="7"/>
      <c r="AL29" s="86"/>
    </row>
    <row r="30" spans="1:78" s="28" customFormat="1">
      <c r="A30" s="20" t="s">
        <v>54</v>
      </c>
      <c r="B30" s="20"/>
      <c r="C30" s="20" t="s">
        <v>82</v>
      </c>
      <c r="D30" s="20">
        <v>14</v>
      </c>
      <c r="E30" s="20"/>
      <c r="F30" s="20"/>
      <c r="G30" s="60">
        <v>-60.21</v>
      </c>
      <c r="H30" s="60">
        <f t="shared" ref="H30:H35" si="4">I30*(SQRT(J30))</f>
        <v>25.481259780473966</v>
      </c>
      <c r="I30" s="60">
        <v>4.37</v>
      </c>
      <c r="J30" s="61">
        <v>34</v>
      </c>
      <c r="K30" s="59">
        <f t="shared" ref="K30:K35" si="5">H30/-G30</f>
        <v>0.42320644046626749</v>
      </c>
      <c r="L30" s="62">
        <v>0</v>
      </c>
      <c r="M30" s="61">
        <v>0.84993700000000005</v>
      </c>
      <c r="N30" s="28">
        <v>1.28068</v>
      </c>
      <c r="O30" s="61">
        <v>0.76878899999999994</v>
      </c>
      <c r="P30" s="61">
        <v>0.46929799999999999</v>
      </c>
      <c r="Q30" s="50"/>
      <c r="R30" s="7"/>
      <c r="S30" s="81"/>
      <c r="T30" s="81"/>
      <c r="U30" s="81"/>
      <c r="V30" s="81"/>
      <c r="W30" s="81"/>
      <c r="X30" s="81"/>
      <c r="Y30" s="7"/>
      <c r="Z30" s="7"/>
      <c r="AA30" s="89"/>
      <c r="AB30" s="7"/>
      <c r="AC30" s="7"/>
      <c r="AD30" s="7"/>
      <c r="AE30" s="7"/>
      <c r="AF30" s="7"/>
      <c r="AG30" s="7"/>
      <c r="AH30" s="7"/>
      <c r="AI30" s="97"/>
      <c r="AJ30" s="97"/>
      <c r="AK30" s="7"/>
      <c r="AL30" s="86"/>
    </row>
    <row r="31" spans="1:78" s="28" customFormat="1">
      <c r="A31" s="20" t="s">
        <v>55</v>
      </c>
      <c r="B31" s="20" t="s">
        <v>14</v>
      </c>
      <c r="C31" s="20"/>
      <c r="D31" s="20">
        <v>11</v>
      </c>
      <c r="E31" s="20">
        <v>176</v>
      </c>
      <c r="F31" s="20">
        <v>226</v>
      </c>
      <c r="G31" s="63">
        <v>-115.444</v>
      </c>
      <c r="H31" s="55">
        <f t="shared" si="4"/>
        <v>11.32114256085489</v>
      </c>
      <c r="I31" s="63">
        <v>1.56996</v>
      </c>
      <c r="J31" s="57">
        <v>52</v>
      </c>
      <c r="K31" s="56">
        <f t="shared" si="5"/>
        <v>9.8066097509224293E-2</v>
      </c>
      <c r="L31" s="58">
        <v>0</v>
      </c>
      <c r="M31" s="20">
        <v>0.58415499999999998</v>
      </c>
      <c r="N31" s="28">
        <v>0.64046599999999998</v>
      </c>
      <c r="O31" s="20">
        <v>0.46409499999999998</v>
      </c>
      <c r="P31" s="20">
        <v>0.51600100000000004</v>
      </c>
      <c r="Q31" s="61"/>
      <c r="R31" s="7"/>
      <c r="S31" s="81"/>
      <c r="T31" s="81"/>
      <c r="U31" s="81"/>
      <c r="V31" s="81"/>
      <c r="W31" s="81"/>
      <c r="X31" s="81"/>
      <c r="Y31" s="7"/>
      <c r="Z31" s="7"/>
      <c r="AA31" s="89"/>
      <c r="AB31" s="7"/>
      <c r="AC31" s="7"/>
      <c r="AD31" s="7"/>
      <c r="AE31" s="7"/>
      <c r="AF31" s="7"/>
      <c r="AG31" s="7"/>
      <c r="AH31" s="7"/>
      <c r="AI31" s="97"/>
      <c r="AJ31" s="97"/>
      <c r="AK31" s="7"/>
      <c r="AL31" s="7"/>
    </row>
    <row r="32" spans="1:78" s="28" customFormat="1">
      <c r="A32" s="20" t="s">
        <v>56</v>
      </c>
      <c r="B32" s="20" t="s">
        <v>14</v>
      </c>
      <c r="C32" s="20"/>
      <c r="D32" s="20">
        <v>21</v>
      </c>
      <c r="E32" s="20">
        <v>226</v>
      </c>
      <c r="F32" s="20">
        <v>176</v>
      </c>
      <c r="G32" s="63">
        <v>-73.4375</v>
      </c>
      <c r="H32" s="55">
        <f t="shared" si="4"/>
        <v>16.797163761540222</v>
      </c>
      <c r="I32" s="63">
        <v>1.87798</v>
      </c>
      <c r="J32" s="57">
        <v>80</v>
      </c>
      <c r="K32" s="56">
        <f t="shared" si="5"/>
        <v>0.22872733632735623</v>
      </c>
      <c r="L32" s="58">
        <v>0</v>
      </c>
      <c r="M32" s="57">
        <v>0.65150300000000005</v>
      </c>
      <c r="N32" s="28">
        <v>0.71229100000000001</v>
      </c>
      <c r="O32" s="57">
        <v>0.64225100000000002</v>
      </c>
      <c r="P32" s="57">
        <v>0.75148099999999995</v>
      </c>
      <c r="Q32" s="20"/>
      <c r="R32" s="7"/>
      <c r="S32" s="81"/>
      <c r="T32" s="81"/>
      <c r="U32" s="81"/>
      <c r="V32" s="81"/>
      <c r="W32" s="81"/>
      <c r="X32" s="81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97"/>
      <c r="AJ32" s="97"/>
      <c r="AK32" s="7"/>
      <c r="AL32" s="7"/>
    </row>
    <row r="33" spans="1:38" s="28" customFormat="1">
      <c r="A33" s="28" t="s">
        <v>57</v>
      </c>
      <c r="B33" s="28" t="s">
        <v>23</v>
      </c>
      <c r="D33" s="28">
        <v>19</v>
      </c>
      <c r="E33" s="28">
        <v>156</v>
      </c>
      <c r="F33" s="28">
        <v>191</v>
      </c>
      <c r="G33" s="1">
        <v>-49.290999999999997</v>
      </c>
      <c r="H33" s="55">
        <f t="shared" si="4"/>
        <v>14.1784</v>
      </c>
      <c r="I33" s="1">
        <v>1.7723</v>
      </c>
      <c r="J33" s="57">
        <v>64</v>
      </c>
      <c r="K33" s="56">
        <f t="shared" si="5"/>
        <v>0.28764683207887853</v>
      </c>
      <c r="L33" s="5">
        <f>4/35</f>
        <v>0.11428571428571428</v>
      </c>
      <c r="M33" s="57">
        <v>0.91987699999999994</v>
      </c>
      <c r="N33" s="28">
        <v>1.2985899999999999</v>
      </c>
      <c r="O33" s="57">
        <v>0.66838299999999995</v>
      </c>
      <c r="P33" s="57">
        <v>1.2331799999999999</v>
      </c>
      <c r="Q33" s="57"/>
      <c r="R33" s="7"/>
      <c r="S33" s="81"/>
      <c r="T33" s="81"/>
      <c r="U33" s="81"/>
      <c r="V33" s="81"/>
      <c r="W33" s="81"/>
      <c r="X33" s="81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97"/>
      <c r="AJ33" s="97"/>
      <c r="AK33" s="7"/>
      <c r="AL33" s="7"/>
    </row>
    <row r="34" spans="1:38" s="28" customFormat="1">
      <c r="A34" s="28" t="s">
        <v>58</v>
      </c>
      <c r="B34" s="20" t="s">
        <v>14</v>
      </c>
      <c r="D34" s="20">
        <v>20</v>
      </c>
      <c r="E34" s="28">
        <v>134</v>
      </c>
      <c r="F34" s="28">
        <v>136</v>
      </c>
      <c r="G34" s="1">
        <v>-46.791899999999998</v>
      </c>
      <c r="H34" s="55">
        <f t="shared" si="4"/>
        <v>9.9623928586459591</v>
      </c>
      <c r="I34" s="1">
        <v>1.2171000000000001</v>
      </c>
      <c r="J34" s="57">
        <v>67</v>
      </c>
      <c r="K34" s="56">
        <f t="shared" si="5"/>
        <v>0.2129084918254219</v>
      </c>
      <c r="L34" s="58">
        <v>0</v>
      </c>
      <c r="M34" s="57">
        <v>0.72281300000000004</v>
      </c>
      <c r="N34" s="28">
        <v>0.88379300000000005</v>
      </c>
      <c r="O34" s="57">
        <v>0.71418800000000005</v>
      </c>
      <c r="P34" s="57">
        <v>0.77766900000000005</v>
      </c>
      <c r="Q34" s="57"/>
      <c r="R34" s="7"/>
      <c r="S34" s="81"/>
      <c r="T34" s="81"/>
      <c r="U34" s="81"/>
      <c r="V34" s="81"/>
      <c r="W34" s="81"/>
      <c r="X34" s="81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97"/>
      <c r="AJ34" s="97"/>
      <c r="AK34" s="7"/>
      <c r="AL34" s="7"/>
    </row>
    <row r="35" spans="1:38" s="28" customFormat="1">
      <c r="A35" s="28" t="s">
        <v>59</v>
      </c>
      <c r="B35" s="20" t="s">
        <v>14</v>
      </c>
      <c r="D35" s="20">
        <v>19</v>
      </c>
      <c r="E35" s="28">
        <v>136</v>
      </c>
      <c r="F35" s="28">
        <v>134</v>
      </c>
      <c r="G35" s="1">
        <v>-25.72</v>
      </c>
      <c r="H35" s="55">
        <f t="shared" si="4"/>
        <v>10.668229460636848</v>
      </c>
      <c r="I35" s="1">
        <v>0.90813999999999995</v>
      </c>
      <c r="J35" s="57">
        <v>138</v>
      </c>
      <c r="K35" s="56">
        <f t="shared" si="5"/>
        <v>0.41478341604342334</v>
      </c>
      <c r="L35" s="5">
        <f>1/44</f>
        <v>2.2727272727272728E-2</v>
      </c>
      <c r="M35" s="57">
        <v>0.79857</v>
      </c>
      <c r="N35" s="28">
        <v>0.75441800000000003</v>
      </c>
      <c r="O35" s="57">
        <v>0.85372499999999996</v>
      </c>
      <c r="P35" s="57">
        <v>0.71857899999999997</v>
      </c>
      <c r="Q35" s="57"/>
      <c r="R35" s="7"/>
      <c r="S35" s="81"/>
      <c r="T35" s="81"/>
      <c r="U35" s="81"/>
      <c r="V35" s="81"/>
      <c r="W35" s="81"/>
      <c r="X35" s="81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97"/>
      <c r="AJ35" s="97"/>
      <c r="AK35" s="7"/>
      <c r="AL35" s="7"/>
    </row>
    <row r="36" spans="1:38" s="28" customFormat="1">
      <c r="A36" s="51" t="s">
        <v>60</v>
      </c>
      <c r="B36" s="51"/>
      <c r="C36" s="51"/>
      <c r="D36" s="51">
        <v>12</v>
      </c>
      <c r="E36" s="35">
        <v>152</v>
      </c>
      <c r="F36" s="35">
        <v>68</v>
      </c>
      <c r="G36" s="54">
        <v>-87.77</v>
      </c>
      <c r="H36" s="55">
        <f t="shared" ref="H36:H42" si="6">I36*(SQRT(J36))</f>
        <v>37.161501584300922</v>
      </c>
      <c r="I36" s="54">
        <v>4.54</v>
      </c>
      <c r="J36" s="35">
        <v>67</v>
      </c>
      <c r="K36" s="56">
        <f t="shared" ref="K36:K42" si="7">H36/-G36</f>
        <v>0.42339639494475245</v>
      </c>
      <c r="L36" s="58">
        <v>0</v>
      </c>
      <c r="M36" s="92">
        <v>0.77673400000000004</v>
      </c>
      <c r="N36" s="28">
        <v>0.58849099999999999</v>
      </c>
      <c r="O36" s="57">
        <v>0.76977499999999999</v>
      </c>
      <c r="P36" s="28">
        <v>0.64830600000000005</v>
      </c>
      <c r="Q36" s="57"/>
      <c r="R36" s="7"/>
      <c r="S36" s="81"/>
      <c r="T36" s="81"/>
      <c r="U36" s="81"/>
      <c r="V36" s="81"/>
      <c r="W36" s="81"/>
      <c r="X36" s="81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97"/>
      <c r="AJ36" s="97"/>
      <c r="AK36" s="7"/>
      <c r="AL36" s="7"/>
    </row>
    <row r="37" spans="1:38" s="28" customFormat="1">
      <c r="A37" s="28" t="s">
        <v>61</v>
      </c>
      <c r="B37" s="28" t="s">
        <v>23</v>
      </c>
      <c r="D37" s="28">
        <v>19</v>
      </c>
      <c r="E37" s="28">
        <v>150</v>
      </c>
      <c r="F37" s="28">
        <v>30</v>
      </c>
      <c r="G37" s="1">
        <v>-40.994</v>
      </c>
      <c r="H37" s="55">
        <f t="shared" si="6"/>
        <v>5.7141904236990557</v>
      </c>
      <c r="I37" s="1">
        <v>0.61617699999999997</v>
      </c>
      <c r="J37" s="28">
        <v>86</v>
      </c>
      <c r="K37" s="56">
        <f t="shared" si="7"/>
        <v>0.13939089680682676</v>
      </c>
      <c r="L37" s="58">
        <v>0</v>
      </c>
      <c r="M37" s="57">
        <v>0.53516799999999998</v>
      </c>
      <c r="N37" s="28">
        <v>0.76355300000000004</v>
      </c>
      <c r="O37" s="92">
        <v>0.51315599999999995</v>
      </c>
      <c r="P37" s="57">
        <v>0.45544200000000001</v>
      </c>
      <c r="Q37" s="57"/>
      <c r="R37" s="7"/>
      <c r="S37" s="81"/>
      <c r="T37" s="7"/>
      <c r="U37" s="81"/>
      <c r="V37" s="81"/>
      <c r="W37" s="81"/>
      <c r="X37" s="81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97"/>
      <c r="AJ37" s="97"/>
      <c r="AK37" s="7"/>
      <c r="AL37" s="7"/>
    </row>
    <row r="38" spans="1:38" s="28" customFormat="1">
      <c r="A38" s="35" t="s">
        <v>62</v>
      </c>
      <c r="B38" s="35" t="s">
        <v>14</v>
      </c>
      <c r="C38" s="35"/>
      <c r="D38" s="35">
        <v>10</v>
      </c>
      <c r="E38" s="51">
        <v>198</v>
      </c>
      <c r="F38" s="51">
        <v>40</v>
      </c>
      <c r="G38" s="54">
        <v>-28.64</v>
      </c>
      <c r="H38" s="55">
        <f t="shared" si="6"/>
        <v>14.105013293152192</v>
      </c>
      <c r="I38" s="54">
        <v>1.37</v>
      </c>
      <c r="J38" s="35">
        <v>106</v>
      </c>
      <c r="K38" s="56">
        <f t="shared" si="7"/>
        <v>0.49249348090615191</v>
      </c>
      <c r="L38" s="58">
        <v>0</v>
      </c>
      <c r="M38" s="57">
        <v>0.55271300000000001</v>
      </c>
      <c r="N38" s="28">
        <v>0.72758699999999998</v>
      </c>
      <c r="O38" s="57">
        <v>0.892845</v>
      </c>
      <c r="P38" s="92">
        <v>0.92542199999999997</v>
      </c>
      <c r="Q38" s="57"/>
      <c r="R38" s="7"/>
      <c r="S38" s="81"/>
      <c r="T38" s="7"/>
      <c r="U38" s="81"/>
      <c r="V38" s="81"/>
      <c r="W38" s="81"/>
      <c r="X38" s="81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97"/>
      <c r="AJ38" s="97"/>
      <c r="AK38" s="7"/>
      <c r="AL38" s="7"/>
    </row>
    <row r="39" spans="1:38" s="28" customFormat="1">
      <c r="A39" s="35" t="s">
        <v>63</v>
      </c>
      <c r="B39" s="35" t="s">
        <v>14</v>
      </c>
      <c r="C39" s="35"/>
      <c r="D39" s="35">
        <v>11</v>
      </c>
      <c r="E39" s="35">
        <v>144</v>
      </c>
      <c r="F39" s="35">
        <v>68</v>
      </c>
      <c r="G39" s="54">
        <v>-42.16</v>
      </c>
      <c r="H39" s="55">
        <f t="shared" si="6"/>
        <v>20.755237893119894</v>
      </c>
      <c r="I39" s="54">
        <v>1.97</v>
      </c>
      <c r="J39" s="35">
        <v>111</v>
      </c>
      <c r="K39" s="56">
        <f t="shared" si="7"/>
        <v>0.49229691397343206</v>
      </c>
      <c r="L39" s="58">
        <v>0.12</v>
      </c>
      <c r="M39" s="92">
        <v>0.72143199999999996</v>
      </c>
      <c r="N39" s="28">
        <v>0.91797399999999996</v>
      </c>
      <c r="O39" s="57">
        <v>0.69673099999999999</v>
      </c>
      <c r="P39" s="57">
        <v>0.66012700000000002</v>
      </c>
      <c r="Q39" s="57"/>
      <c r="R39" s="7"/>
      <c r="S39" s="81"/>
      <c r="T39" s="7"/>
      <c r="U39" s="81"/>
      <c r="V39" s="81"/>
      <c r="W39" s="81"/>
      <c r="X39" s="81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97"/>
      <c r="AJ39" s="97"/>
      <c r="AK39" s="7"/>
      <c r="AL39" s="7"/>
    </row>
    <row r="40" spans="1:38" s="28" customFormat="1">
      <c r="A40" s="35" t="s">
        <v>64</v>
      </c>
      <c r="B40" s="35" t="s">
        <v>23</v>
      </c>
      <c r="C40" s="35"/>
      <c r="D40" s="35">
        <v>15</v>
      </c>
      <c r="E40" s="35">
        <v>214</v>
      </c>
      <c r="F40" s="35">
        <v>57</v>
      </c>
      <c r="G40" s="54">
        <v>-132.44</v>
      </c>
      <c r="H40" s="55">
        <f t="shared" si="6"/>
        <v>37.042408129062018</v>
      </c>
      <c r="I40" s="54">
        <v>3.3</v>
      </c>
      <c r="J40" s="35">
        <v>126</v>
      </c>
      <c r="K40" s="56">
        <f t="shared" si="7"/>
        <v>0.27969199735021155</v>
      </c>
      <c r="L40" s="58">
        <v>0</v>
      </c>
      <c r="M40" s="92">
        <v>0.53723699999999996</v>
      </c>
      <c r="N40" s="28">
        <v>0.69154300000000002</v>
      </c>
      <c r="O40" s="92">
        <v>0.72631299999999999</v>
      </c>
      <c r="P40" s="57">
        <v>0.56608499999999995</v>
      </c>
      <c r="Q40" s="57"/>
      <c r="R40" s="7"/>
      <c r="S40" s="81"/>
      <c r="T40" s="7"/>
      <c r="U40" s="81"/>
      <c r="V40" s="81"/>
      <c r="W40" s="81"/>
      <c r="X40" s="81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97"/>
      <c r="AJ40" s="97"/>
      <c r="AK40" s="7"/>
      <c r="AL40" s="7"/>
    </row>
    <row r="41" spans="1:38" s="28" customFormat="1">
      <c r="A41" s="35" t="s">
        <v>65</v>
      </c>
      <c r="B41" s="35" t="s">
        <v>14</v>
      </c>
      <c r="C41" s="35"/>
      <c r="D41" s="35">
        <v>12</v>
      </c>
      <c r="E41" s="35">
        <v>144</v>
      </c>
      <c r="F41" s="35">
        <v>36</v>
      </c>
      <c r="G41" s="54">
        <v>-19.695799999999998</v>
      </c>
      <c r="H41" s="55">
        <f t="shared" si="6"/>
        <v>7.106109957980526</v>
      </c>
      <c r="I41" s="54">
        <v>0.67754099999999995</v>
      </c>
      <c r="J41" s="35">
        <v>110</v>
      </c>
      <c r="K41" s="56">
        <f t="shared" si="7"/>
        <v>0.36079316189139443</v>
      </c>
      <c r="L41" s="5">
        <f>4/38</f>
        <v>0.10526315789473684</v>
      </c>
      <c r="M41" s="20">
        <v>0.84768900000000003</v>
      </c>
      <c r="N41" s="28">
        <v>1.02101</v>
      </c>
      <c r="O41" s="92">
        <v>0.90178700000000001</v>
      </c>
      <c r="P41" s="92">
        <v>1.1663600000000001</v>
      </c>
      <c r="Q41" s="57"/>
      <c r="R41" s="7"/>
      <c r="S41" s="81"/>
      <c r="T41" s="7"/>
      <c r="U41" s="81"/>
      <c r="V41" s="81"/>
      <c r="W41" s="81"/>
      <c r="X41" s="81"/>
      <c r="Y41" s="7"/>
      <c r="Z41" s="7"/>
      <c r="AA41" s="93"/>
      <c r="AB41" s="7"/>
      <c r="AC41" s="7"/>
      <c r="AD41" s="7"/>
      <c r="AE41" s="7"/>
      <c r="AF41" s="7"/>
      <c r="AG41" s="7"/>
      <c r="AH41" s="7"/>
      <c r="AI41" s="97"/>
      <c r="AJ41" s="97"/>
      <c r="AK41" s="7"/>
      <c r="AL41" s="7"/>
    </row>
    <row r="42" spans="1:38" s="28" customFormat="1">
      <c r="A42" s="35" t="s">
        <v>66</v>
      </c>
      <c r="B42" s="35" t="s">
        <v>23</v>
      </c>
      <c r="C42" s="35"/>
      <c r="D42" s="35">
        <v>15</v>
      </c>
      <c r="E42" s="35">
        <v>187</v>
      </c>
      <c r="F42" s="35">
        <v>42</v>
      </c>
      <c r="G42" s="54">
        <v>-24.69</v>
      </c>
      <c r="H42" s="55">
        <f t="shared" si="6"/>
        <v>7.6176395731223732</v>
      </c>
      <c r="I42" s="54">
        <v>0.56006</v>
      </c>
      <c r="J42" s="35">
        <v>185</v>
      </c>
      <c r="K42" s="56">
        <f t="shared" si="7"/>
        <v>0.3085313719369126</v>
      </c>
      <c r="L42" s="58">
        <v>0</v>
      </c>
      <c r="M42" s="57">
        <v>0.73285699999999998</v>
      </c>
      <c r="N42" s="28">
        <v>0.72457800000000006</v>
      </c>
      <c r="O42" s="20">
        <v>0.74003600000000003</v>
      </c>
      <c r="P42" s="92">
        <v>0.899505</v>
      </c>
      <c r="Q42" s="57"/>
      <c r="R42" s="7"/>
      <c r="S42" s="81"/>
      <c r="T42" s="7"/>
      <c r="U42" s="81"/>
      <c r="V42" s="81"/>
      <c r="W42" s="81"/>
      <c r="X42" s="81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97"/>
      <c r="AJ42" s="97"/>
      <c r="AK42" s="7"/>
      <c r="AL42" s="7"/>
    </row>
    <row r="43" spans="1:38" s="28" customFormat="1">
      <c r="A43" s="94" t="s">
        <v>76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>
        <f>AVERAGE(M30:M42)</f>
        <v>0.7100526923076923</v>
      </c>
      <c r="N43" s="94">
        <f>AVERAGE(N30:N42)</f>
        <v>0.8465364615384614</v>
      </c>
      <c r="O43" s="94">
        <f>AVERAGE(O30:O35,O36:O42)</f>
        <v>0.71939030769230772</v>
      </c>
      <c r="P43" s="94">
        <f>AVERAGE(P30:P42)</f>
        <v>0.75288115384615384</v>
      </c>
      <c r="R43" s="7"/>
      <c r="S43" s="81"/>
      <c r="T43" s="7"/>
      <c r="U43" s="7"/>
      <c r="V43" s="81"/>
      <c r="W43" s="81"/>
      <c r="X43" s="81"/>
      <c r="Y43" s="7"/>
      <c r="Z43" s="7"/>
      <c r="AA43" s="52"/>
      <c r="AB43" s="7"/>
      <c r="AC43" s="7"/>
      <c r="AD43" s="7"/>
      <c r="AE43" s="7"/>
      <c r="AF43" s="7"/>
      <c r="AG43" s="7"/>
      <c r="AH43" s="7"/>
      <c r="AI43" s="97"/>
      <c r="AJ43" s="97"/>
      <c r="AK43" s="7"/>
      <c r="AL43" s="7"/>
    </row>
    <row r="44" spans="1:38" s="28" customFormat="1">
      <c r="A44" s="28" t="s">
        <v>26</v>
      </c>
      <c r="G44" s="1"/>
      <c r="H44" s="1"/>
      <c r="L44" s="1"/>
      <c r="M44" s="1">
        <f>STDEV(M30:M42)</f>
        <v>0.12913677091194509</v>
      </c>
      <c r="N44" s="1">
        <f>STDEV(N30:N42)</f>
        <v>0.22826476217235717</v>
      </c>
      <c r="O44" s="1">
        <f>STDEV(O30:O35,O36:O42)</f>
        <v>0.13027372457149902</v>
      </c>
      <c r="P44" s="1">
        <f>STDEV(P30:P42)</f>
        <v>0.24734379427793987</v>
      </c>
      <c r="Q44" s="57"/>
      <c r="R44" s="7"/>
      <c r="S44" s="81"/>
      <c r="T44" s="7"/>
      <c r="U44" s="7"/>
      <c r="V44" s="81"/>
      <c r="W44" s="81"/>
      <c r="X44" s="7"/>
      <c r="Y44" s="7"/>
      <c r="Z44" s="7"/>
      <c r="AA44" s="52"/>
      <c r="AB44" s="7"/>
      <c r="AC44" s="7"/>
      <c r="AD44" s="7"/>
      <c r="AE44" s="7"/>
      <c r="AF44" s="7"/>
      <c r="AG44" s="7"/>
      <c r="AH44" s="7"/>
      <c r="AI44" s="97"/>
      <c r="AJ44" s="97"/>
      <c r="AK44" s="7"/>
      <c r="AL44" s="7"/>
    </row>
    <row r="45" spans="1:38" s="28" customFormat="1">
      <c r="A45" s="28" t="s">
        <v>29</v>
      </c>
      <c r="G45" s="1"/>
      <c r="H45" s="1"/>
      <c r="L45" s="1"/>
      <c r="M45" s="1">
        <f>M44/SQRT(COUNT(M30:M42))</f>
        <v>3.5816096082374203E-2</v>
      </c>
      <c r="N45" s="1">
        <f>N44/SQRT(COUNT(N30:N42))</f>
        <v>6.3309254184155894E-2</v>
      </c>
      <c r="O45" s="1">
        <f>O44/SQRT(COUNT(O30:O35,O36:O42))</f>
        <v>3.6131430291400979E-2</v>
      </c>
      <c r="P45" s="1">
        <f>P44/SQRT(COUNT(P30:P42))</f>
        <v>6.8600825610532976E-2</v>
      </c>
      <c r="Q45" s="92"/>
      <c r="R45" s="7"/>
      <c r="S45" s="81"/>
      <c r="T45" s="7"/>
      <c r="U45" s="7"/>
      <c r="V45" s="81"/>
      <c r="W45" s="81"/>
      <c r="X45" s="7"/>
      <c r="Y45" s="7"/>
      <c r="Z45" s="7"/>
      <c r="AA45" s="52"/>
      <c r="AB45" s="7"/>
      <c r="AC45" s="7"/>
      <c r="AD45" s="7"/>
      <c r="AE45" s="7"/>
      <c r="AF45" s="7"/>
      <c r="AG45" s="7"/>
      <c r="AH45" s="7"/>
      <c r="AI45" s="97"/>
      <c r="AJ45" s="97"/>
      <c r="AK45" s="7"/>
      <c r="AL45" s="7"/>
    </row>
    <row r="46" spans="1:38" s="28" customFormat="1">
      <c r="A46" s="28" t="s">
        <v>4</v>
      </c>
      <c r="G46" s="29"/>
      <c r="H46" s="1"/>
      <c r="L46" s="29"/>
      <c r="M46" s="29">
        <f>COUNT(M30:M42)</f>
        <v>13</v>
      </c>
      <c r="N46" s="29">
        <f>COUNT(N30:N42)</f>
        <v>13</v>
      </c>
      <c r="O46" s="29">
        <f>COUNT(O30:O35,O36:O42)</f>
        <v>13</v>
      </c>
      <c r="P46" s="29">
        <f>COUNT(P30:P42)</f>
        <v>13</v>
      </c>
      <c r="Q46" s="57"/>
      <c r="R46" s="7"/>
      <c r="S46" s="81"/>
      <c r="T46" s="7"/>
      <c r="U46" s="7"/>
      <c r="V46" s="81"/>
      <c r="W46" s="81"/>
      <c r="X46" s="7"/>
      <c r="Y46" s="7"/>
      <c r="Z46" s="7"/>
      <c r="AA46" s="52"/>
      <c r="AB46" s="7"/>
      <c r="AC46" s="7"/>
      <c r="AD46" s="7"/>
      <c r="AE46" s="7"/>
      <c r="AF46" s="7"/>
      <c r="AG46" s="7"/>
      <c r="AH46" s="7"/>
      <c r="AI46" s="97"/>
      <c r="AJ46" s="97"/>
      <c r="AK46" s="7"/>
      <c r="AL46" s="7"/>
    </row>
    <row r="47" spans="1:38" s="28" customFormat="1">
      <c r="A47" s="28" t="s">
        <v>20</v>
      </c>
      <c r="G47" s="1"/>
      <c r="H47" s="1"/>
      <c r="L47" s="95"/>
      <c r="M47" s="95">
        <f>MEDIAN(M30:M42)</f>
        <v>0.72281300000000004</v>
      </c>
      <c r="N47" s="95">
        <f>MEDIAN(N30:N42)</f>
        <v>0.75441800000000003</v>
      </c>
      <c r="O47" s="95">
        <f>MEDIAN(O30:O42)</f>
        <v>0.72631299999999999</v>
      </c>
      <c r="P47" s="95">
        <f>MEDIAN(P30:P42)</f>
        <v>0.71857899999999997</v>
      </c>
      <c r="Q47" s="57"/>
      <c r="R47" s="7"/>
      <c r="S47" s="81"/>
      <c r="T47" s="7"/>
      <c r="U47" s="7"/>
      <c r="V47" s="81"/>
      <c r="W47" s="81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97"/>
      <c r="AJ47" s="97"/>
      <c r="AK47" s="7"/>
      <c r="AL47" s="7"/>
    </row>
    <row r="48" spans="1:38" s="28" customFormat="1">
      <c r="A48" s="28" t="s">
        <v>21</v>
      </c>
      <c r="G48" s="1"/>
      <c r="H48" s="1"/>
      <c r="L48" s="1"/>
      <c r="M48" s="1">
        <f>_xlfn.QUARTILE.EXC(M30:M42,3)</f>
        <v>0.82312950000000007</v>
      </c>
      <c r="N48" s="1">
        <f>_xlfn.QUARTILE.EXC(N30:N42,3)</f>
        <v>0.96949200000000002</v>
      </c>
      <c r="O48" s="1">
        <f>_xlfn.QUARTILE.EXC(O30:O42,3)</f>
        <v>0.81174999999999997</v>
      </c>
      <c r="P48" s="1">
        <f>_xlfn.QUARTILE.EXC(P30:P42,3)</f>
        <v>0.91246349999999998</v>
      </c>
      <c r="Q48" s="92"/>
      <c r="R48" s="7"/>
      <c r="S48" s="81"/>
      <c r="T48" s="7"/>
      <c r="U48" s="7"/>
      <c r="V48" s="81"/>
      <c r="W48" s="81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97"/>
      <c r="AJ48" s="97"/>
      <c r="AK48" s="7"/>
      <c r="AL48" s="7"/>
    </row>
    <row r="49" spans="1:52" s="27" customFormat="1">
      <c r="A49" s="28" t="s">
        <v>22</v>
      </c>
      <c r="B49" s="47"/>
      <c r="I49" s="30"/>
      <c r="J49" s="30"/>
      <c r="K49" s="30"/>
      <c r="L49" s="1"/>
      <c r="M49" s="1">
        <f>_xlfn.QUARTILE.EXC(M31:M42,1)</f>
        <v>0.56057350000000006</v>
      </c>
      <c r="N49" s="1">
        <f>_xlfn.QUARTILE.EXC(N31:N42,1)</f>
        <v>0.69673000000000007</v>
      </c>
      <c r="O49" s="1">
        <f>_xlfn.QUARTILE.EXC(O31:O42,1)</f>
        <v>0.64878400000000003</v>
      </c>
      <c r="P49" s="1">
        <f>_xlfn.QUARTILE.EXC(P31:P42,1)</f>
        <v>0.58664024999999997</v>
      </c>
      <c r="V49" s="72"/>
      <c r="W49" s="21"/>
      <c r="X49" s="81"/>
      <c r="Y49" s="21"/>
      <c r="Z49" s="21"/>
      <c r="AA49" s="79"/>
      <c r="AB49" s="79"/>
      <c r="AC49" s="21"/>
      <c r="AD49" s="21"/>
      <c r="AE49" s="21"/>
      <c r="AF49" s="7"/>
      <c r="AG49" s="21"/>
      <c r="AH49" s="21"/>
      <c r="AI49" s="21"/>
      <c r="AJ49" s="21"/>
      <c r="AK49" s="21"/>
      <c r="AL49" s="21"/>
      <c r="AM49" s="21"/>
      <c r="AN49" s="78"/>
      <c r="AO49" s="78"/>
      <c r="AP49" s="21"/>
      <c r="AQ49" s="21"/>
    </row>
    <row r="50" spans="1:52" s="27" customFormat="1">
      <c r="A50" s="65"/>
      <c r="B50" s="47"/>
      <c r="C50" t="s">
        <v>50</v>
      </c>
      <c r="D50" t="s">
        <v>53</v>
      </c>
      <c r="E50"/>
      <c r="F50"/>
      <c r="G50"/>
      <c r="H50"/>
      <c r="I50" s="16"/>
      <c r="J50" s="16"/>
      <c r="K50" s="16"/>
      <c r="L50" s="16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 s="71"/>
      <c r="AE50" s="21"/>
      <c r="AF50" s="79"/>
      <c r="AG50" s="21"/>
      <c r="AH50" s="21"/>
      <c r="AI50" s="79"/>
      <c r="AJ50" s="79"/>
      <c r="AK50" s="21"/>
      <c r="AL50" s="21"/>
      <c r="AM50" s="21"/>
      <c r="AN50" s="7"/>
      <c r="AO50" s="21"/>
      <c r="AP50" s="21"/>
      <c r="AQ50" s="21"/>
      <c r="AR50" s="21"/>
      <c r="AS50" s="21"/>
      <c r="AT50" s="21"/>
      <c r="AU50" s="21"/>
      <c r="AV50" s="78"/>
      <c r="AW50" s="78"/>
      <c r="AX50" s="7"/>
      <c r="AY50" s="21"/>
    </row>
    <row r="51" spans="1:52" s="27" customFormat="1">
      <c r="A51" s="65"/>
      <c r="B51" s="47"/>
      <c r="C51"/>
      <c r="D51" s="36" t="s">
        <v>46</v>
      </c>
      <c r="E51" s="37" t="s">
        <v>47</v>
      </c>
      <c r="F51" s="37" t="s">
        <v>29</v>
      </c>
      <c r="G51" s="37" t="s">
        <v>20</v>
      </c>
      <c r="H51" s="38" t="s">
        <v>49</v>
      </c>
      <c r="I51" s="37" t="s">
        <v>48</v>
      </c>
      <c r="J51" s="38" t="s">
        <v>4</v>
      </c>
      <c r="K51" s="38" t="s">
        <v>21</v>
      </c>
      <c r="L51" s="39" t="s">
        <v>22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 s="53"/>
      <c r="AE51" s="21"/>
      <c r="AF51" s="79"/>
      <c r="AG51" s="21"/>
      <c r="AH51" s="21"/>
      <c r="AI51" s="81"/>
      <c r="AJ51" s="79"/>
      <c r="AK51" s="21"/>
      <c r="AL51" s="21"/>
      <c r="AM51" s="21"/>
      <c r="AN51" s="76"/>
      <c r="AO51" s="21"/>
      <c r="AP51" s="21"/>
      <c r="AQ51" s="21"/>
      <c r="AR51" s="21"/>
      <c r="AS51" s="21"/>
      <c r="AT51" s="21"/>
      <c r="AU51" s="21"/>
      <c r="AV51" s="80"/>
      <c r="AW51" s="78"/>
      <c r="AX51" s="52"/>
      <c r="AY51" s="69"/>
    </row>
    <row r="52" spans="1:52" s="27" customFormat="1">
      <c r="A52" s="65"/>
      <c r="B52" s="47"/>
      <c r="C52"/>
      <c r="D52" s="40">
        <v>5</v>
      </c>
      <c r="E52" s="25">
        <v>1.2099497883233234</v>
      </c>
      <c r="F52" s="25">
        <v>0.22125103321271877</v>
      </c>
      <c r="G52" s="25">
        <v>0.91999999999999993</v>
      </c>
      <c r="H52" s="25">
        <v>1.42</v>
      </c>
      <c r="I52" s="25">
        <v>0.71</v>
      </c>
      <c r="J52" s="22">
        <v>14</v>
      </c>
      <c r="K52" s="25">
        <f>H52-G52</f>
        <v>0.5</v>
      </c>
      <c r="L52" s="42">
        <f>G52-I52</f>
        <v>0.20999999999999996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 s="53"/>
      <c r="AE52" s="21"/>
      <c r="AF52" s="79"/>
      <c r="AG52" s="21"/>
      <c r="AH52" s="21"/>
      <c r="AI52" s="79"/>
      <c r="AJ52" s="79"/>
      <c r="AK52" s="21"/>
      <c r="AL52" s="21"/>
      <c r="AM52" s="21"/>
      <c r="AN52" s="76"/>
      <c r="AO52" s="21"/>
      <c r="AP52" s="21"/>
      <c r="AQ52" s="21"/>
      <c r="AR52" s="21"/>
      <c r="AS52" s="21"/>
      <c r="AT52" s="21"/>
      <c r="AU52" s="21"/>
      <c r="AV52" s="7"/>
      <c r="AW52" s="78"/>
      <c r="AX52" s="52"/>
      <c r="AY52" s="21"/>
    </row>
    <row r="53" spans="1:52" s="27" customFormat="1">
      <c r="A53" s="65"/>
      <c r="B53" s="47"/>
      <c r="C53"/>
      <c r="D53" s="40">
        <v>10</v>
      </c>
      <c r="E53" s="25">
        <v>1.3626603934987167</v>
      </c>
      <c r="F53" s="25">
        <v>0.22153005415741975</v>
      </c>
      <c r="G53" s="25">
        <v>1.1499999999999999</v>
      </c>
      <c r="H53" s="25">
        <v>1.5525000000000002</v>
      </c>
      <c r="I53" s="25">
        <v>0.89543413173652697</v>
      </c>
      <c r="J53" s="22">
        <v>14</v>
      </c>
      <c r="K53" s="25">
        <f t="shared" ref="K53:K57" si="8">H53-G53</f>
        <v>0.4025000000000003</v>
      </c>
      <c r="L53" s="42">
        <f t="shared" ref="L53:L57" si="9">G53-I53</f>
        <v>0.25456586826347294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 s="53"/>
      <c r="AE53" s="21"/>
      <c r="AF53" s="79"/>
      <c r="AG53" s="21"/>
      <c r="AH53" s="21"/>
      <c r="AI53" s="79"/>
      <c r="AJ53" s="79"/>
      <c r="AK53" s="21"/>
      <c r="AL53" s="21"/>
      <c r="AM53" s="21"/>
      <c r="AN53" s="76"/>
      <c r="AO53" s="21"/>
      <c r="AP53" s="21"/>
      <c r="AQ53" s="21"/>
      <c r="AR53" s="21"/>
      <c r="AS53" s="21"/>
      <c r="AT53" s="21"/>
      <c r="AU53" s="21"/>
      <c r="AV53" s="7"/>
      <c r="AW53" s="78"/>
      <c r="AX53" s="52"/>
      <c r="AY53" s="21"/>
    </row>
    <row r="54" spans="1:52" s="27" customFormat="1">
      <c r="A54" s="65"/>
      <c r="B54" s="47"/>
      <c r="C54"/>
      <c r="D54" s="40">
        <v>20</v>
      </c>
      <c r="E54" s="25">
        <v>1.2085714285714284</v>
      </c>
      <c r="F54" s="25">
        <v>0.11834879137837508</v>
      </c>
      <c r="G54" s="25">
        <v>1.0899999999999999</v>
      </c>
      <c r="H54" s="25">
        <v>1.52</v>
      </c>
      <c r="I54" s="25">
        <v>0.90250000000000008</v>
      </c>
      <c r="J54" s="22">
        <v>14</v>
      </c>
      <c r="K54" s="25">
        <f t="shared" si="8"/>
        <v>0.43000000000000016</v>
      </c>
      <c r="L54" s="42">
        <f t="shared" si="9"/>
        <v>0.18749999999999978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E54" s="21"/>
      <c r="AF54" s="79"/>
      <c r="AG54" s="21"/>
      <c r="AH54" s="21"/>
      <c r="AI54" s="79"/>
      <c r="AJ54" s="79"/>
      <c r="AK54" s="21"/>
      <c r="AL54" s="21"/>
      <c r="AM54" s="21"/>
      <c r="AN54" s="76"/>
      <c r="AO54" s="21"/>
      <c r="AP54" s="21"/>
      <c r="AQ54" s="21"/>
      <c r="AR54" s="21"/>
      <c r="AS54" s="21"/>
      <c r="AT54" s="21"/>
      <c r="AU54" s="21"/>
      <c r="AV54" s="82"/>
      <c r="AW54" s="78"/>
      <c r="AX54" s="52"/>
      <c r="AY54" s="21"/>
    </row>
    <row r="55" spans="1:52" s="27" customFormat="1">
      <c r="A55" s="65"/>
      <c r="B55" s="47"/>
      <c r="C55"/>
      <c r="D55" s="40">
        <v>50</v>
      </c>
      <c r="E55" s="25">
        <v>1.590714285714286</v>
      </c>
      <c r="F55" s="25">
        <v>0.15669829724003939</v>
      </c>
      <c r="G55" s="25">
        <v>1.5150000000000001</v>
      </c>
      <c r="H55" s="25">
        <v>2.0175000000000001</v>
      </c>
      <c r="I55" s="25">
        <v>1.1074999999999999</v>
      </c>
      <c r="J55" s="22">
        <v>14</v>
      </c>
      <c r="K55" s="25">
        <f t="shared" si="8"/>
        <v>0.50249999999999995</v>
      </c>
      <c r="L55" s="42">
        <f t="shared" si="9"/>
        <v>0.4075000000000002</v>
      </c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 s="53"/>
      <c r="AE55" s="21"/>
      <c r="AF55" s="79"/>
      <c r="AG55" s="21"/>
      <c r="AH55" s="21"/>
      <c r="AI55" s="79"/>
      <c r="AJ55" s="79"/>
      <c r="AK55" s="21"/>
      <c r="AL55" s="21"/>
      <c r="AM55" s="21"/>
      <c r="AN55" s="76"/>
      <c r="AO55" s="21"/>
      <c r="AP55" s="21"/>
      <c r="AQ55" s="21"/>
      <c r="AR55" s="21"/>
      <c r="AS55" s="21"/>
      <c r="AT55" s="21"/>
      <c r="AU55" s="21"/>
      <c r="AV55" s="7"/>
      <c r="AW55" s="78"/>
      <c r="AX55" s="52"/>
      <c r="AY55" s="21"/>
    </row>
    <row r="56" spans="1:52" s="27" customFormat="1">
      <c r="A56" s="65"/>
      <c r="B56" s="47"/>
      <c r="C56"/>
      <c r="D56" s="40">
        <v>100</v>
      </c>
      <c r="E56" s="25">
        <v>1.1757142857142857</v>
      </c>
      <c r="F56" s="25">
        <v>0.10585971582642206</v>
      </c>
      <c r="G56" s="25">
        <v>1.21</v>
      </c>
      <c r="H56" s="25">
        <v>1.3925000000000001</v>
      </c>
      <c r="I56" s="25">
        <v>0.96</v>
      </c>
      <c r="J56" s="22">
        <v>14</v>
      </c>
      <c r="K56" s="25">
        <f t="shared" si="8"/>
        <v>0.18250000000000011</v>
      </c>
      <c r="L56" s="42">
        <f t="shared" si="9"/>
        <v>0.25</v>
      </c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E56" s="21"/>
      <c r="AF56" s="79"/>
      <c r="AG56" s="21"/>
      <c r="AH56" s="21"/>
      <c r="AI56" s="81"/>
      <c r="AJ56" s="21"/>
      <c r="AK56" s="21"/>
      <c r="AL56" s="21"/>
      <c r="AM56" s="21"/>
      <c r="AN56" s="76"/>
      <c r="AO56" s="21"/>
      <c r="AP56" s="21"/>
      <c r="AQ56" s="21"/>
      <c r="AR56" s="21"/>
      <c r="AS56" s="21"/>
      <c r="AT56" s="21"/>
      <c r="AU56" s="21"/>
      <c r="AV56" s="7"/>
      <c r="AW56" s="78"/>
      <c r="AX56" s="52"/>
      <c r="AY56" s="21"/>
    </row>
    <row r="57" spans="1:52" s="27" customFormat="1">
      <c r="A57" s="65"/>
      <c r="B57" s="47"/>
      <c r="C57"/>
      <c r="D57" s="41">
        <v>500</v>
      </c>
      <c r="E57" s="43">
        <v>1.08</v>
      </c>
      <c r="F57" s="43">
        <v>9.2748033953274509E-2</v>
      </c>
      <c r="G57" s="43">
        <v>1.05</v>
      </c>
      <c r="H57" s="43">
        <v>1.1975</v>
      </c>
      <c r="I57" s="43">
        <v>0.89</v>
      </c>
      <c r="J57" s="18">
        <v>14</v>
      </c>
      <c r="K57" s="43">
        <f t="shared" si="8"/>
        <v>0.14749999999999996</v>
      </c>
      <c r="L57" s="44">
        <f t="shared" si="9"/>
        <v>0.16000000000000003</v>
      </c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 s="53"/>
      <c r="AE57" s="21"/>
      <c r="AF57" s="79"/>
      <c r="AG57" s="21"/>
      <c r="AH57" s="21"/>
      <c r="AI57" s="79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82"/>
      <c r="AW57" s="78"/>
      <c r="AX57" s="52"/>
      <c r="AY57" s="21"/>
    </row>
    <row r="58" spans="1:52" s="27" customFormat="1">
      <c r="A58" s="65"/>
      <c r="B58" s="47"/>
      <c r="D58" s="21"/>
      <c r="E58" s="25"/>
      <c r="F58" s="25"/>
      <c r="H58" s="25" t="s">
        <v>83</v>
      </c>
      <c r="I58" s="25"/>
      <c r="J58" s="22"/>
      <c r="K58" s="25"/>
      <c r="L58" s="25"/>
      <c r="AD58" s="53"/>
      <c r="AE58" s="21"/>
      <c r="AF58" s="79"/>
      <c r="AG58" s="21"/>
      <c r="AH58" s="21"/>
      <c r="AI58" s="79"/>
      <c r="AJ58" s="21"/>
      <c r="AK58" s="21"/>
      <c r="AL58" s="21"/>
      <c r="AM58" s="21"/>
      <c r="AN58" s="21"/>
      <c r="AO58" s="7"/>
      <c r="AP58" s="21"/>
      <c r="AQ58" s="7"/>
      <c r="AR58" s="7"/>
      <c r="AS58" s="7"/>
      <c r="AT58" s="21"/>
      <c r="AU58" s="21"/>
      <c r="AV58" s="7"/>
      <c r="AW58" s="78"/>
      <c r="AX58" s="52"/>
      <c r="AY58" s="21"/>
    </row>
    <row r="59" spans="1:52" s="27" customFormat="1">
      <c r="A59" s="65"/>
      <c r="B59" s="47"/>
      <c r="C59"/>
      <c r="D59" t="s">
        <v>51</v>
      </c>
      <c r="E59"/>
      <c r="F59"/>
      <c r="G59"/>
      <c r="H59"/>
      <c r="I59" s="16"/>
      <c r="J59" s="16"/>
      <c r="K59" s="16"/>
      <c r="L59" s="16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 s="53"/>
      <c r="AE59" s="21"/>
      <c r="AF59" s="79"/>
      <c r="AG59" s="21"/>
      <c r="AH59" s="21"/>
      <c r="AI59" s="79"/>
      <c r="AJ59" s="21"/>
      <c r="AK59" s="21"/>
      <c r="AL59" s="21"/>
      <c r="AM59" s="21"/>
      <c r="AN59" s="21"/>
      <c r="AO59" s="7"/>
      <c r="AP59" s="21"/>
      <c r="AQ59" s="7"/>
      <c r="AR59" s="7"/>
      <c r="AS59" s="7"/>
      <c r="AT59" s="21"/>
      <c r="AU59" s="21"/>
      <c r="AV59" s="78"/>
      <c r="AW59" s="78"/>
      <c r="AX59" s="52"/>
      <c r="AY59" s="21"/>
    </row>
    <row r="60" spans="1:52" s="28" customFormat="1">
      <c r="A60" s="65"/>
      <c r="B60" s="47"/>
      <c r="C60"/>
      <c r="D60" s="36" t="s">
        <v>46</v>
      </c>
      <c r="E60" s="37" t="s">
        <v>47</v>
      </c>
      <c r="F60" s="37" t="s">
        <v>29</v>
      </c>
      <c r="G60" s="38" t="s">
        <v>20</v>
      </c>
      <c r="H60" s="38" t="s">
        <v>49</v>
      </c>
      <c r="I60" s="37" t="s">
        <v>48</v>
      </c>
      <c r="J60" s="37" t="s">
        <v>4</v>
      </c>
      <c r="K60" s="38" t="s">
        <v>21</v>
      </c>
      <c r="L60" s="39" t="s">
        <v>22</v>
      </c>
      <c r="M60" s="16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 s="53"/>
      <c r="AF60" s="7"/>
      <c r="AG60" s="21"/>
      <c r="AH60" s="21"/>
      <c r="AI60" s="21"/>
      <c r="AJ60" s="79"/>
      <c r="AK60" s="7"/>
      <c r="AL60" s="21"/>
      <c r="AM60" s="7"/>
      <c r="AN60" s="7"/>
      <c r="AO60" s="21"/>
      <c r="AP60" s="7"/>
      <c r="AQ60" s="21"/>
      <c r="AR60" s="7"/>
      <c r="AS60" s="7"/>
      <c r="AT60" s="7"/>
      <c r="AU60" s="21"/>
      <c r="AV60" s="21"/>
      <c r="AW60" s="78"/>
      <c r="AX60" s="78"/>
      <c r="AY60" s="52"/>
      <c r="AZ60" s="7"/>
    </row>
    <row r="61" spans="1:52" s="28" customFormat="1">
      <c r="A61" s="65"/>
      <c r="B61" s="47"/>
      <c r="C61"/>
      <c r="D61" s="40">
        <v>5</v>
      </c>
      <c r="E61" s="21">
        <v>0.75288115384615384</v>
      </c>
      <c r="F61" s="21">
        <v>6.8600825610532976E-2</v>
      </c>
      <c r="G61" s="22">
        <v>0.71857899999999997</v>
      </c>
      <c r="H61" s="28">
        <v>0.91246349999999998</v>
      </c>
      <c r="I61" s="28">
        <v>0.58664024999999997</v>
      </c>
      <c r="J61" s="21">
        <v>13</v>
      </c>
      <c r="K61" s="22">
        <v>0.18092600000000003</v>
      </c>
      <c r="L61" s="45">
        <v>0.15249400000000002</v>
      </c>
      <c r="M61" s="16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 s="72"/>
      <c r="AF61" s="7"/>
      <c r="AG61" s="7"/>
      <c r="AH61" s="7"/>
      <c r="AI61" s="7"/>
      <c r="AJ61" s="79"/>
      <c r="AK61" s="7"/>
      <c r="AL61" s="21"/>
      <c r="AM61" s="7"/>
      <c r="AN61" s="7"/>
      <c r="AO61" s="21"/>
      <c r="AP61" s="7"/>
      <c r="AQ61" s="21"/>
      <c r="AR61" s="7"/>
      <c r="AS61" s="7"/>
      <c r="AT61" s="7"/>
      <c r="AU61" s="21"/>
      <c r="AV61" s="21"/>
      <c r="AW61" s="78"/>
      <c r="AX61" s="78"/>
      <c r="AY61" s="52"/>
      <c r="AZ61" s="7"/>
    </row>
    <row r="62" spans="1:52" s="28" customFormat="1">
      <c r="A62" s="65"/>
      <c r="B62" s="47"/>
      <c r="C62"/>
      <c r="D62" s="40">
        <v>10</v>
      </c>
      <c r="E62" s="21">
        <v>0.71939030769230772</v>
      </c>
      <c r="F62" s="21">
        <v>3.6131430291400979E-2</v>
      </c>
      <c r="G62" s="22">
        <v>0.72631299999999999</v>
      </c>
      <c r="H62" s="21">
        <v>0.81174999999999997</v>
      </c>
      <c r="I62" s="21">
        <v>0.64878400000000003</v>
      </c>
      <c r="J62" s="21">
        <v>13</v>
      </c>
      <c r="K62" s="22">
        <v>4.3462000000000001E-2</v>
      </c>
      <c r="L62" s="45">
        <v>5.7930000000000037E-2</v>
      </c>
      <c r="M62" s="16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F62" s="7"/>
      <c r="AG62" s="7"/>
      <c r="AH62" s="7"/>
      <c r="AI62" s="7"/>
      <c r="AJ62" s="79"/>
      <c r="AK62" s="7"/>
      <c r="AL62" s="21"/>
      <c r="AM62" s="7"/>
      <c r="AN62" s="7"/>
      <c r="AO62" s="23"/>
      <c r="AP62" s="21"/>
      <c r="AQ62" s="21"/>
      <c r="AR62" s="21"/>
      <c r="AS62" s="21"/>
      <c r="AT62" s="21"/>
      <c r="AU62" s="21"/>
      <c r="AV62" s="21"/>
      <c r="AW62" s="78"/>
      <c r="AX62" s="78"/>
      <c r="AY62" s="52"/>
      <c r="AZ62" s="7"/>
    </row>
    <row r="63" spans="1:52" s="28" customFormat="1">
      <c r="A63" s="65"/>
      <c r="B63" s="47"/>
      <c r="C63"/>
      <c r="D63" s="40">
        <v>20</v>
      </c>
      <c r="E63" s="21">
        <v>0.7100526923076923</v>
      </c>
      <c r="F63" s="21">
        <v>3.5816096082374203E-2</v>
      </c>
      <c r="G63" s="22">
        <v>0.72281300000000004</v>
      </c>
      <c r="H63" s="21">
        <v>0.82312950000000007</v>
      </c>
      <c r="I63" s="21">
        <v>0.56057350000000006</v>
      </c>
      <c r="J63" s="21">
        <v>13</v>
      </c>
      <c r="K63" s="22">
        <v>7.5756999999999963E-2</v>
      </c>
      <c r="L63" s="45">
        <v>0.13865800000000006</v>
      </c>
      <c r="M63" s="16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F63" s="7"/>
      <c r="AG63" s="21"/>
      <c r="AH63" s="7"/>
      <c r="AI63" s="21"/>
      <c r="AJ63" s="81"/>
      <c r="AK63" s="7"/>
      <c r="AL63" s="21"/>
      <c r="AM63" s="7"/>
      <c r="AN63" s="7"/>
      <c r="AO63" s="7"/>
      <c r="AP63" s="21"/>
      <c r="AQ63" s="21"/>
      <c r="AR63" s="21"/>
      <c r="AS63" s="21"/>
      <c r="AT63" s="21"/>
      <c r="AU63" s="21"/>
      <c r="AV63" s="21"/>
      <c r="AW63" s="78"/>
      <c r="AX63" s="78"/>
      <c r="AY63" s="52"/>
      <c r="AZ63" s="7"/>
    </row>
    <row r="64" spans="1:52" s="27" customFormat="1">
      <c r="A64" s="65"/>
      <c r="B64" s="47"/>
      <c r="C64"/>
      <c r="D64" s="41">
        <v>50</v>
      </c>
      <c r="E64" s="31">
        <v>0.8465364615384614</v>
      </c>
      <c r="F64" s="31">
        <v>6.3309254184155894E-2</v>
      </c>
      <c r="G64" s="18">
        <v>0.75441800000000003</v>
      </c>
      <c r="H64" s="31">
        <v>0.96949200000000002</v>
      </c>
      <c r="I64" s="31">
        <v>0.69673000000000007</v>
      </c>
      <c r="J64" s="31">
        <v>13</v>
      </c>
      <c r="K64" s="18">
        <v>0.16355599999999992</v>
      </c>
      <c r="L64" s="46">
        <v>4.2127000000000026E-2</v>
      </c>
      <c r="M64" s="16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 s="28"/>
      <c r="AF64" s="21"/>
      <c r="AG64" s="21"/>
      <c r="AH64" s="7"/>
      <c r="AI64" s="21"/>
      <c r="AJ64" s="79"/>
      <c r="AK64" s="21"/>
      <c r="AL64" s="7"/>
      <c r="AM64" s="21"/>
      <c r="AN64" s="21"/>
      <c r="AO64" s="83"/>
      <c r="AP64" s="21"/>
      <c r="AQ64" s="21"/>
      <c r="AR64" s="21"/>
      <c r="AS64" s="21"/>
      <c r="AT64" s="21"/>
      <c r="AU64" s="21"/>
      <c r="AV64" s="21"/>
      <c r="AW64" s="78"/>
      <c r="AX64" s="78"/>
      <c r="AY64" s="52"/>
      <c r="AZ64" s="21"/>
    </row>
    <row r="65" spans="1:79" s="27" customFormat="1">
      <c r="A65" s="65"/>
      <c r="B65" s="47"/>
      <c r="C65"/>
      <c r="D65"/>
      <c r="E65"/>
      <c r="F65"/>
      <c r="G65"/>
      <c r="H65" s="25" t="s">
        <v>83</v>
      </c>
      <c r="I65" s="16"/>
      <c r="J65" s="16"/>
      <c r="K65" s="16"/>
      <c r="L65" s="16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 s="74"/>
      <c r="AE65" s="21"/>
      <c r="AF65" s="21"/>
      <c r="AG65" s="21"/>
      <c r="AH65" s="7"/>
      <c r="AI65" s="79"/>
      <c r="AJ65" s="21"/>
      <c r="AK65" s="21"/>
      <c r="AL65" s="21"/>
      <c r="AM65" s="21"/>
      <c r="AN65" s="7"/>
      <c r="AO65" s="21"/>
      <c r="AP65" s="21"/>
      <c r="AQ65" s="21"/>
      <c r="AR65" s="21"/>
      <c r="AS65" s="21"/>
      <c r="AT65" s="21"/>
      <c r="AU65" s="21"/>
      <c r="AV65" s="78"/>
      <c r="AW65" s="78"/>
      <c r="AX65" s="52"/>
      <c r="AY65" s="21"/>
    </row>
    <row r="66" spans="1:79" s="27" customFormat="1">
      <c r="A66" s="65"/>
      <c r="B66" s="47"/>
      <c r="C66"/>
      <c r="D66"/>
      <c r="E66"/>
      <c r="F66"/>
      <c r="G66"/>
      <c r="H66"/>
      <c r="I66" s="16"/>
      <c r="J66" s="16"/>
      <c r="K66" s="16"/>
      <c r="L66" s="1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 s="1"/>
      <c r="AE66" s="21"/>
      <c r="AF66" s="21"/>
      <c r="AG66" s="21"/>
      <c r="AH66" s="7"/>
      <c r="AI66" s="79"/>
      <c r="AJ66" s="21"/>
      <c r="AK66" s="21"/>
      <c r="AL66" s="21"/>
      <c r="AM66" s="21"/>
      <c r="AN66" s="83"/>
      <c r="AO66" s="21"/>
      <c r="AP66" s="21"/>
      <c r="AQ66" s="21"/>
      <c r="AR66" s="21"/>
      <c r="AS66" s="21"/>
      <c r="AT66" s="21"/>
      <c r="AU66" s="21"/>
      <c r="AV66" s="78"/>
      <c r="AW66" s="78"/>
      <c r="AX66" s="52"/>
      <c r="AY66" s="21"/>
    </row>
    <row r="67" spans="1:79" s="27" customFormat="1">
      <c r="A67" s="65"/>
      <c r="B67" s="47"/>
      <c r="C67"/>
      <c r="D67"/>
      <c r="E67"/>
      <c r="F67"/>
      <c r="G67"/>
      <c r="H67"/>
      <c r="I67" s="16"/>
      <c r="J67" s="16"/>
      <c r="K67" s="16"/>
      <c r="L67" s="16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 s="1"/>
      <c r="AE67" s="21"/>
      <c r="AF67" s="21"/>
      <c r="AG67" s="21"/>
      <c r="AH67" s="7"/>
      <c r="AI67" s="79"/>
      <c r="AJ67" s="21"/>
      <c r="AK67" s="21"/>
      <c r="AL67" s="21"/>
      <c r="AM67" s="21"/>
      <c r="AN67" s="7"/>
      <c r="AO67" s="21"/>
      <c r="AP67" s="21"/>
      <c r="AQ67" s="21"/>
      <c r="AR67" s="21"/>
      <c r="AS67" s="21"/>
      <c r="AT67" s="21"/>
      <c r="AU67" s="21"/>
      <c r="AV67" s="78"/>
      <c r="AW67" s="78"/>
      <c r="AX67" s="52"/>
      <c r="AY67" s="21"/>
    </row>
    <row r="68" spans="1:79" s="27" customFormat="1">
      <c r="A68" s="65"/>
      <c r="B68" s="47"/>
      <c r="C68"/>
      <c r="D68"/>
      <c r="E68"/>
      <c r="F68"/>
      <c r="G68"/>
      <c r="H68"/>
      <c r="I68" s="16"/>
      <c r="J68" s="16"/>
      <c r="K68" s="16"/>
      <c r="L68" s="16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 s="29"/>
      <c r="AE68" s="21"/>
      <c r="AF68" s="21"/>
      <c r="AG68" s="21"/>
      <c r="AH68" s="21"/>
      <c r="AI68" s="79"/>
      <c r="AJ68" s="21"/>
      <c r="AK68" s="21"/>
      <c r="AL68" s="21"/>
      <c r="AM68" s="21"/>
      <c r="AN68" s="7"/>
      <c r="AO68" s="21"/>
      <c r="AP68" s="21"/>
      <c r="AQ68" s="21"/>
      <c r="AR68" s="21"/>
      <c r="AS68" s="21"/>
      <c r="AT68" s="21"/>
      <c r="AU68" s="21"/>
      <c r="AV68" s="78"/>
      <c r="AW68" s="78"/>
      <c r="AX68" s="52"/>
      <c r="AY68" s="21"/>
    </row>
    <row r="69" spans="1:79" s="27" customFormat="1">
      <c r="A69" s="65"/>
      <c r="B69" s="47"/>
      <c r="C69"/>
      <c r="D69"/>
      <c r="E69"/>
      <c r="F69"/>
      <c r="G69"/>
      <c r="H69"/>
      <c r="I69" s="16"/>
      <c r="J69" s="16"/>
      <c r="K69" s="16"/>
      <c r="L69" s="16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 s="75"/>
      <c r="AE69" s="21"/>
      <c r="AF69" s="21"/>
      <c r="AG69" s="21"/>
      <c r="AH69" s="21"/>
      <c r="AI69" s="21"/>
      <c r="AJ69" s="21"/>
      <c r="AK69" s="21"/>
      <c r="AL69" s="21"/>
      <c r="AM69" s="21"/>
      <c r="AN69" s="7"/>
      <c r="AO69" s="21"/>
      <c r="AP69" s="21"/>
      <c r="AQ69" s="21"/>
      <c r="AR69" s="21"/>
      <c r="AS69" s="21"/>
      <c r="AT69" s="21"/>
      <c r="AU69" s="21"/>
      <c r="AV69" s="78"/>
      <c r="AW69" s="78"/>
      <c r="AX69" s="52"/>
      <c r="AY69" s="21"/>
    </row>
    <row r="70" spans="1:79" s="27" customFormat="1">
      <c r="A70" s="65"/>
      <c r="B70" s="47"/>
      <c r="C70"/>
      <c r="D70"/>
      <c r="E70"/>
      <c r="F70"/>
      <c r="G70"/>
      <c r="H70"/>
      <c r="I70" s="16"/>
      <c r="J70" s="16"/>
      <c r="K70" s="16"/>
      <c r="L70" s="16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 s="1"/>
      <c r="AE70" s="77"/>
      <c r="AF70" s="79"/>
      <c r="AG70" s="79"/>
      <c r="AH70" s="79"/>
      <c r="AI70" s="79"/>
      <c r="AJ70" s="79"/>
      <c r="AK70" s="79"/>
      <c r="AL70" s="21"/>
      <c r="AM70" s="21"/>
      <c r="AN70" s="7"/>
      <c r="AO70" s="21"/>
      <c r="AP70" s="21"/>
      <c r="AQ70" s="21"/>
      <c r="AR70" s="21"/>
      <c r="AS70" s="21"/>
      <c r="AT70" s="21"/>
      <c r="AU70" s="21"/>
      <c r="AV70" s="78"/>
      <c r="AW70" s="78"/>
      <c r="AX70" s="52"/>
      <c r="AY70" s="21"/>
    </row>
    <row r="71" spans="1:79" s="27" customFormat="1">
      <c r="A71" s="65"/>
      <c r="B71" s="47"/>
      <c r="C71"/>
      <c r="D71"/>
      <c r="E71"/>
      <c r="F71"/>
      <c r="G71"/>
      <c r="H71"/>
      <c r="I71" s="16"/>
      <c r="J71" s="16"/>
      <c r="K71" s="16"/>
      <c r="L71" s="16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E71" s="22"/>
      <c r="AF71" s="22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BP71" s="29"/>
      <c r="BQ71" s="29"/>
      <c r="BR71" s="28"/>
      <c r="BS71" s="28"/>
      <c r="BT71" s="28"/>
      <c r="BU71" s="28"/>
      <c r="BV71" s="28"/>
      <c r="BW71" s="28"/>
      <c r="BX71" s="29"/>
      <c r="BY71" s="29"/>
      <c r="BZ71" s="28"/>
      <c r="CA71" s="29"/>
    </row>
    <row r="72" spans="1:79"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</row>
    <row r="73" spans="1:79"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BC73" s="27"/>
      <c r="BD73" s="27"/>
    </row>
    <row r="74" spans="1:79"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</row>
    <row r="75" spans="1:79"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</row>
    <row r="76" spans="1:79"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</row>
    <row r="77" spans="1:79"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</row>
    <row r="78" spans="1:79"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</row>
    <row r="79" spans="1:79"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</row>
    <row r="80" spans="1:79" s="27" customFormat="1">
      <c r="A80" s="65"/>
      <c r="B80" s="47"/>
      <c r="C80"/>
      <c r="D80"/>
      <c r="E80"/>
      <c r="F80"/>
      <c r="G80"/>
      <c r="H80"/>
      <c r="I80" s="16"/>
      <c r="J80" s="16"/>
      <c r="K80" s="16"/>
      <c r="L80" s="16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</row>
    <row r="81" spans="31:51"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</row>
    <row r="82" spans="31:51"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</row>
    <row r="83" spans="31:51"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</row>
    <row r="84" spans="31:51"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</row>
    <row r="85" spans="31:51"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</row>
    <row r="86" spans="31:51"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</row>
    <row r="87" spans="31:51" ht="409.6"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</row>
    <row r="88" spans="31:51" ht="409.6"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</row>
    <row r="89" spans="31:51"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</row>
    <row r="90" spans="31:51"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</row>
    <row r="91" spans="31:51"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</row>
    <row r="92" spans="31:51"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</row>
    <row r="93" spans="31:51"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</row>
    <row r="94" spans="31:51"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</row>
    <row r="95" spans="31:51"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</row>
    <row r="96" spans="31:51"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</row>
    <row r="97" spans="31:51"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</row>
    <row r="98" spans="31:51"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</row>
    <row r="99" spans="31:51"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</row>
    <row r="100" spans="31:51"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</row>
    <row r="101" spans="31:51"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</row>
    <row r="102" spans="31:51"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</row>
    <row r="103" spans="31:51"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</row>
    <row r="104" spans="31:51"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</row>
    <row r="105" spans="31:51"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</row>
    <row r="106" spans="31:51"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</row>
    <row r="107" spans="31:51"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</row>
    <row r="108" spans="31:51"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</row>
    <row r="109" spans="31:51"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</row>
    <row r="110" spans="31:51"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</row>
    <row r="111" spans="31:51"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</row>
    <row r="112" spans="31:51"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</row>
    <row r="113" spans="31:51"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</row>
    <row r="114" spans="31:51"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</row>
    <row r="115" spans="31:51"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</row>
    <row r="116" spans="31:51"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</row>
    <row r="117" spans="31:51"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</row>
    <row r="118" spans="31:51"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</row>
    <row r="119" spans="31:51"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</row>
    <row r="120" spans="31:51"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</row>
    <row r="121" spans="31:51"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</row>
    <row r="122" spans="31:51"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</row>
    <row r="123" spans="31:51"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</row>
    <row r="124" spans="31:51"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</row>
    <row r="125" spans="31:51"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</row>
    <row r="126" spans="31:51"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</row>
    <row r="127" spans="31:51"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</row>
    <row r="128" spans="31:51"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</row>
    <row r="129" spans="31:51"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</row>
    <row r="130" spans="31:51"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</row>
    <row r="131" spans="31:51"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</row>
    <row r="132" spans="31:51"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</row>
    <row r="133" spans="31:51"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</row>
    <row r="134" spans="31:51"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</row>
    <row r="135" spans="31:51"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</row>
    <row r="136" spans="31:51"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</row>
    <row r="137" spans="31:51"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</row>
    <row r="138" spans="31:51"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</row>
    <row r="139" spans="31:51"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</row>
    <row r="140" spans="31:51"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</row>
    <row r="141" spans="31:51"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</row>
    <row r="142" spans="31:51"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</row>
    <row r="143" spans="31:51"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</row>
    <row r="144" spans="31:51"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</row>
    <row r="145" spans="31:51"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</row>
    <row r="146" spans="31:51"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</row>
    <row r="147" spans="31:51"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</row>
    <row r="148" spans="31:51"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</row>
    <row r="149" spans="31:51"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</row>
    <row r="150" spans="31:51"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</row>
    <row r="151" spans="31:51"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</row>
    <row r="152" spans="31:51"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</row>
    <row r="153" spans="31:51"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</row>
    <row r="154" spans="31:51"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</row>
    <row r="155" spans="31:51"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</row>
    <row r="156" spans="31:51"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</row>
    <row r="157" spans="31:51"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</row>
    <row r="158" spans="31:51"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</row>
    <row r="159" spans="31:51"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</row>
    <row r="160" spans="31:51"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</row>
    <row r="161" spans="31:51"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</row>
    <row r="162" spans="31:51"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</row>
    <row r="163" spans="31:51"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</row>
    <row r="164" spans="31:51"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</row>
    <row r="165" spans="31:51"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</row>
    <row r="166" spans="31:51"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</row>
    <row r="167" spans="31:51"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</row>
    <row r="168" spans="31:51"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</row>
    <row r="169" spans="31:51"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</row>
    <row r="170" spans="31:51"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</row>
    <row r="171" spans="31:51"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</row>
    <row r="172" spans="31:51"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</row>
    <row r="173" spans="31:51"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</row>
    <row r="174" spans="31:51"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</row>
    <row r="175" spans="31:51"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</row>
    <row r="176" spans="31:51"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</row>
    <row r="177" spans="31:51"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</row>
    <row r="178" spans="31:51"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</row>
    <row r="179" spans="31:51"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</row>
    <row r="180" spans="31:51"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</row>
    <row r="181" spans="31:51"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</row>
    <row r="182" spans="31:51"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</row>
    <row r="183" spans="31:51"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</row>
    <row r="184" spans="31:51"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</row>
    <row r="185" spans="31:51"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</row>
    <row r="186" spans="31:51"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</row>
    <row r="187" spans="31:51"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</row>
    <row r="188" spans="31:51"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</row>
    <row r="189" spans="31:51"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</row>
    <row r="190" spans="31:51"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</row>
    <row r="191" spans="31:51"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</row>
    <row r="192" spans="31:51"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</row>
    <row r="193" spans="31:51"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</row>
    <row r="194" spans="31:51"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</row>
    <row r="195" spans="31:51"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</row>
    <row r="196" spans="31:51"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</row>
    <row r="197" spans="31:51"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</row>
    <row r="198" spans="31:51"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</row>
    <row r="199" spans="31:51"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</row>
    <row r="200" spans="31:51"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</row>
    <row r="201" spans="31:51"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</row>
    <row r="202" spans="31:51"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</row>
    <row r="203" spans="31:51"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</row>
    <row r="204" spans="31:51"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</row>
    <row r="205" spans="31:51"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</row>
    <row r="206" spans="31:51"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</row>
    <row r="207" spans="31:51"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</row>
    <row r="208" spans="31:51"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</row>
    <row r="209" spans="31:51"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</row>
    <row r="210" spans="31:51"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</row>
    <row r="211" spans="31:51"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</row>
    <row r="212" spans="31:51"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</row>
    <row r="213" spans="31:51"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</row>
    <row r="214" spans="31:51"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</row>
    <row r="215" spans="31:51"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</row>
    <row r="216" spans="31:51"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</row>
    <row r="217" spans="31:51"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</row>
    <row r="218" spans="31:51"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</row>
    <row r="219" spans="31:51"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</row>
    <row r="220" spans="31:51"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</row>
    <row r="221" spans="31:51"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</row>
    <row r="222" spans="31:51"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</row>
    <row r="223" spans="31:51"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</row>
    <row r="224" spans="31:51"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</row>
    <row r="225" spans="31:51"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</row>
    <row r="226" spans="31:51"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</row>
    <row r="227" spans="31:51"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</row>
    <row r="228" spans="31:51"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</row>
    <row r="229" spans="31:51"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</row>
    <row r="230" spans="31:51"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</row>
    <row r="231" spans="31:51"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</row>
    <row r="232" spans="31:51"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</row>
    <row r="233" spans="31:51"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</row>
    <row r="234" spans="31:51"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</row>
    <row r="235" spans="31:51"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</row>
    <row r="236" spans="31:51"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</row>
    <row r="237" spans="31:51"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</row>
    <row r="238" spans="31:51"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</row>
    <row r="239" spans="31:51"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</row>
    <row r="240" spans="31:51"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</row>
    <row r="241" spans="31:51"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</row>
    <row r="242" spans="31:51"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</row>
    <row r="243" spans="31:51"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</row>
    <row r="244" spans="31:51"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</row>
    <row r="245" spans="31:51"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</row>
    <row r="246" spans="31:51"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</row>
    <row r="247" spans="31:51"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</row>
    <row r="248" spans="31:51"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</row>
    <row r="249" spans="31:51"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</row>
    <row r="250" spans="31:51"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</row>
    <row r="251" spans="31:51"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</row>
    <row r="252" spans="31:51"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</row>
    <row r="253" spans="31:51"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</row>
    <row r="254" spans="31:51"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</row>
    <row r="255" spans="31:51"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</row>
    <row r="256" spans="31:51"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</row>
    <row r="257" spans="31:51"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</row>
    <row r="258" spans="31:51"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</row>
    <row r="259" spans="31:51"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</row>
    <row r="260" spans="31:51"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</row>
    <row r="261" spans="31:51"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</row>
    <row r="262" spans="31:51"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</row>
    <row r="263" spans="31:51"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</row>
    <row r="264" spans="31:51"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</row>
    <row r="265" spans="31:51"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</row>
    <row r="266" spans="31:51"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</row>
    <row r="267" spans="31:51"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</row>
    <row r="268" spans="31:51"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</row>
    <row r="269" spans="31:51"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</row>
    <row r="270" spans="31:51"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</row>
    <row r="271" spans="31:51"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</row>
    <row r="272" spans="31:51"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</row>
    <row r="273" spans="31:51"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</row>
    <row r="274" spans="31:51"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</row>
    <row r="275" spans="31:51"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</row>
    <row r="276" spans="31:51"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</row>
    <row r="277" spans="31:51"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</row>
    <row r="278" spans="31:51"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</row>
    <row r="279" spans="31:51"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</row>
    <row r="280" spans="31:51"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</row>
    <row r="281" spans="31:51"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</row>
    <row r="282" spans="31:51"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</row>
    <row r="283" spans="31:51"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</row>
    <row r="284" spans="31:51"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</row>
    <row r="285" spans="31:51"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</row>
    <row r="286" spans="31:51"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</row>
    <row r="287" spans="31:51"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</row>
    <row r="288" spans="31:51"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</row>
    <row r="289" spans="31:51"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</row>
    <row r="290" spans="31:51"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</row>
    <row r="291" spans="31:51"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</row>
    <row r="292" spans="31:51"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</row>
    <row r="293" spans="31:51"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</row>
    <row r="294" spans="31:51"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</row>
    <row r="295" spans="31:51"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</row>
    <row r="296" spans="31:51"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</row>
    <row r="297" spans="31:51"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</row>
    <row r="298" spans="31:51"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</row>
    <row r="299" spans="31:51"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</row>
    <row r="300" spans="31:51"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</row>
    <row r="301" spans="31:51"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</row>
    <row r="302" spans="31:51"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</row>
    <row r="303" spans="31:51"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</row>
    <row r="304" spans="31:51"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</row>
    <row r="305" spans="31:51"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</row>
    <row r="306" spans="31:51"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</row>
    <row r="307" spans="31:51"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</row>
    <row r="308" spans="31:51"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</row>
    <row r="309" spans="31:51"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</row>
    <row r="310" spans="31:51"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</row>
    <row r="311" spans="31:51"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</row>
    <row r="312" spans="31:51"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</row>
    <row r="313" spans="31:51"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</row>
    <row r="314" spans="31:51"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</row>
    <row r="315" spans="31:51"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</row>
    <row r="316" spans="31:51"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</row>
    <row r="317" spans="31:51"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</row>
    <row r="318" spans="31:51"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</row>
    <row r="319" spans="31:51"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</row>
    <row r="320" spans="31:51"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</row>
    <row r="321" spans="31:51"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</row>
    <row r="322" spans="31:51"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</row>
    <row r="323" spans="31:51"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</row>
    <row r="324" spans="31:51"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</row>
    <row r="325" spans="31:51"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</row>
    <row r="326" spans="31:51"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</row>
    <row r="327" spans="31:51"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</row>
    <row r="328" spans="31:51"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</row>
    <row r="329" spans="31:51"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</row>
    <row r="330" spans="31:51"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</row>
    <row r="331" spans="31:51"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</row>
    <row r="332" spans="31:51"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</row>
    <row r="333" spans="31:51"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</row>
    <row r="334" spans="31:51"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</row>
    <row r="335" spans="31:51"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</row>
    <row r="336" spans="31:51"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</row>
    <row r="337" spans="31:51"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</row>
    <row r="338" spans="31:51"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</row>
    <row r="339" spans="31:51"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</row>
    <row r="340" spans="31:51"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</row>
    <row r="341" spans="31:51"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</row>
    <row r="342" spans="31:51"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</row>
    <row r="343" spans="31:51"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</row>
    <row r="344" spans="31:51"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</row>
    <row r="345" spans="31:51"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</row>
    <row r="346" spans="31:51"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</row>
    <row r="347" spans="31:51"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</row>
    <row r="348" spans="31:51"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</row>
    <row r="349" spans="31:51"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</row>
    <row r="350" spans="31:51"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</row>
    <row r="351" spans="31:51"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</row>
    <row r="352" spans="31:51"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</row>
    <row r="353" spans="31:51"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</row>
    <row r="354" spans="31:51"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</row>
    <row r="355" spans="31:51"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</row>
    <row r="356" spans="31:51"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</row>
    <row r="357" spans="31:51"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</row>
    <row r="358" spans="31:51"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</row>
    <row r="359" spans="31:51"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</row>
    <row r="360" spans="31:51"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</row>
    <row r="361" spans="31:51"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</row>
    <row r="362" spans="31:51"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</row>
    <row r="363" spans="31:51"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</row>
    <row r="364" spans="31:51"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</row>
    <row r="365" spans="31:51"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</row>
    <row r="366" spans="31:51"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</row>
    <row r="367" spans="31:51"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</row>
    <row r="368" spans="31:51"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</row>
    <row r="369" spans="31:51"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</row>
    <row r="370" spans="31:51"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</row>
    <row r="371" spans="31:51"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</row>
    <row r="372" spans="31:51"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</row>
    <row r="373" spans="31:51"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</row>
    <row r="374" spans="31:51"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</row>
    <row r="375" spans="31:51"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</row>
    <row r="376" spans="31:51"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</row>
    <row r="377" spans="31:51"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</row>
    <row r="378" spans="31:51"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PPR vs ISI</vt:lpstr>
    </vt:vector>
  </TitlesOfParts>
  <Company>UKL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Bornschein</dc:creator>
  <cp:lastModifiedBy>Bornschein</cp:lastModifiedBy>
  <dcterms:created xsi:type="dcterms:W3CDTF">2021-11-02T15:30:09Z</dcterms:created>
  <dcterms:modified xsi:type="dcterms:W3CDTF">2026-09-18T09:54:17Z</dcterms:modified>
</cp:coreProperties>
</file>