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0" yWindow="75" windowWidth="22680" windowHeight="17595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BP28" i="1" l="1"/>
  <c r="BP27" i="1"/>
  <c r="BP15" i="1"/>
  <c r="BP14" i="1"/>
  <c r="BP13" i="1" l="1"/>
  <c r="AX68" i="1"/>
  <c r="AX67" i="1"/>
  <c r="AX57" i="1"/>
  <c r="AX56" i="1"/>
  <c r="AX45" i="1"/>
  <c r="AX46" i="1"/>
  <c r="AX69" i="1"/>
  <c r="AX66" i="1"/>
  <c r="AX65" i="1"/>
  <c r="AX64" i="1"/>
  <c r="AX61" i="1"/>
  <c r="AX62" i="1"/>
  <c r="AX63" i="1"/>
  <c r="AX60" i="1"/>
  <c r="AX58" i="1"/>
  <c r="AX55" i="1"/>
  <c r="AX54" i="1"/>
  <c r="AX53" i="1"/>
  <c r="AX50" i="1"/>
  <c r="AX51" i="1"/>
  <c r="AX52" i="1"/>
  <c r="AX49" i="1"/>
  <c r="AX47" i="1"/>
  <c r="AX44" i="1"/>
  <c r="AX43" i="1"/>
  <c r="AX42" i="1"/>
  <c r="AX38" i="1"/>
  <c r="AX39" i="1"/>
  <c r="AX40" i="1"/>
  <c r="AX41" i="1"/>
  <c r="AX37" i="1"/>
  <c r="AD63" i="1"/>
  <c r="M63" i="1"/>
  <c r="I63" i="1"/>
  <c r="H63" i="1"/>
  <c r="G63" i="1"/>
  <c r="AC63" i="1" s="1"/>
  <c r="AD62" i="1"/>
  <c r="AC62" i="1"/>
  <c r="M62" i="1"/>
  <c r="I62" i="1"/>
  <c r="H62" i="1"/>
  <c r="G62" i="1"/>
  <c r="AE61" i="1"/>
  <c r="AD61" i="1"/>
  <c r="AG61" i="1" s="1"/>
  <c r="AH61" i="1" s="1"/>
  <c r="AC61" i="1"/>
  <c r="M61" i="1"/>
  <c r="I61" i="1"/>
  <c r="H61" i="1"/>
  <c r="G61" i="1"/>
  <c r="AE60" i="1"/>
  <c r="AD60" i="1"/>
  <c r="AC60" i="1"/>
  <c r="M60" i="1"/>
  <c r="I60" i="1"/>
  <c r="H60" i="1"/>
  <c r="G60" i="1"/>
  <c r="AE52" i="1"/>
  <c r="AD52" i="1"/>
  <c r="AG52" i="1" s="1"/>
  <c r="AH52" i="1" s="1"/>
  <c r="AC52" i="1"/>
  <c r="M52" i="1"/>
  <c r="L52" i="1"/>
  <c r="I52" i="1"/>
  <c r="H52" i="1"/>
  <c r="G52" i="1"/>
  <c r="AD51" i="1"/>
  <c r="M51" i="1"/>
  <c r="I51" i="1"/>
  <c r="H51" i="1"/>
  <c r="G51" i="1"/>
  <c r="AC51" i="1" s="1"/>
  <c r="AD50" i="1"/>
  <c r="AG50" i="1" s="1"/>
  <c r="AH50" i="1" s="1"/>
  <c r="M50" i="1"/>
  <c r="I50" i="1"/>
  <c r="H50" i="1"/>
  <c r="G50" i="1"/>
  <c r="AC50" i="1" s="1"/>
  <c r="AE49" i="1"/>
  <c r="AD49" i="1"/>
  <c r="AG49" i="1" s="1"/>
  <c r="AH49" i="1" s="1"/>
  <c r="M49" i="1"/>
  <c r="L49" i="1"/>
  <c r="I49" i="1"/>
  <c r="H49" i="1"/>
  <c r="G49" i="1"/>
  <c r="AE41" i="1"/>
  <c r="AG41" i="1" s="1"/>
  <c r="AH41" i="1" s="1"/>
  <c r="AD41" i="1"/>
  <c r="M41" i="1"/>
  <c r="L41" i="1"/>
  <c r="I41" i="1"/>
  <c r="H41" i="1"/>
  <c r="G41" i="1"/>
  <c r="AE40" i="1"/>
  <c r="AG40" i="1" s="1"/>
  <c r="AH40" i="1" s="1"/>
  <c r="AD40" i="1"/>
  <c r="M40" i="1"/>
  <c r="L40" i="1"/>
  <c r="I40" i="1"/>
  <c r="H40" i="1"/>
  <c r="G40" i="1"/>
  <c r="AE39" i="1"/>
  <c r="AG39" i="1" s="1"/>
  <c r="AH39" i="1" s="1"/>
  <c r="AD39" i="1"/>
  <c r="M39" i="1"/>
  <c r="I39" i="1"/>
  <c r="H39" i="1"/>
  <c r="G39" i="1"/>
  <c r="AC39" i="1" s="1"/>
  <c r="AE38" i="1"/>
  <c r="AG38" i="1" s="1"/>
  <c r="AH38" i="1" s="1"/>
  <c r="AD38" i="1"/>
  <c r="M38" i="1"/>
  <c r="L38" i="1"/>
  <c r="I38" i="1"/>
  <c r="H38" i="1"/>
  <c r="G38" i="1"/>
  <c r="AE37" i="1"/>
  <c r="AG37" i="1" s="1"/>
  <c r="AH37" i="1" s="1"/>
  <c r="AD37" i="1"/>
  <c r="M37" i="1"/>
  <c r="I37" i="1"/>
  <c r="H37" i="1"/>
  <c r="G37" i="1"/>
  <c r="AF61" i="1" l="1"/>
  <c r="K60" i="1"/>
  <c r="AF60" i="1"/>
  <c r="AG60" i="1"/>
  <c r="AH60" i="1" s="1"/>
  <c r="K62" i="1"/>
  <c r="K61" i="1"/>
  <c r="K63" i="1"/>
  <c r="K49" i="1"/>
  <c r="K52" i="1"/>
  <c r="K51" i="1"/>
  <c r="AF51" i="1"/>
  <c r="AC49" i="1"/>
  <c r="AF49" i="1" s="1"/>
  <c r="AG51" i="1"/>
  <c r="AH51" i="1" s="1"/>
  <c r="K50" i="1"/>
  <c r="AF50" i="1"/>
  <c r="AF52" i="1"/>
  <c r="K39" i="1"/>
  <c r="K38" i="1"/>
  <c r="K37" i="1"/>
  <c r="K41" i="1"/>
  <c r="AF37" i="1"/>
  <c r="K40" i="1"/>
  <c r="AC37" i="1"/>
  <c r="AF38" i="1"/>
  <c r="AF39" i="1"/>
  <c r="AF40" i="1"/>
  <c r="AF41" i="1"/>
  <c r="AC38" i="1"/>
  <c r="AC40" i="1"/>
  <c r="AC41" i="1"/>
  <c r="F29" i="1" l="1"/>
  <c r="F28" i="1"/>
  <c r="F27" i="1"/>
  <c r="F26" i="1"/>
  <c r="F25" i="1"/>
  <c r="F24" i="1"/>
  <c r="BP10" i="1" l="1"/>
  <c r="BP9" i="1"/>
  <c r="BP8" i="1"/>
  <c r="BP7" i="1"/>
  <c r="BP6" i="1"/>
  <c r="BP5" i="1"/>
  <c r="BP23" i="1"/>
  <c r="BP22" i="1"/>
  <c r="BP21" i="1"/>
  <c r="BP20" i="1"/>
  <c r="BP19" i="1"/>
  <c r="BP18" i="1"/>
  <c r="E23" i="1"/>
  <c r="D23" i="1"/>
  <c r="L23" i="1"/>
  <c r="K23" i="1"/>
  <c r="J23" i="1"/>
  <c r="BP26" i="1" l="1"/>
  <c r="BP24" i="1"/>
  <c r="BP29" i="1"/>
  <c r="BP25" i="1" s="1"/>
  <c r="BP11" i="1"/>
  <c r="BP16" i="1"/>
  <c r="BP12" i="1" s="1"/>
  <c r="AS23" i="1"/>
  <c r="AR23" i="1"/>
  <c r="K22" i="1" l="1"/>
  <c r="K10" i="1"/>
  <c r="E22" i="1"/>
  <c r="D22" i="1"/>
  <c r="L22" i="1"/>
  <c r="J22" i="1"/>
  <c r="AR22" i="1" l="1"/>
  <c r="AS22" i="1"/>
  <c r="E21" i="1" l="1"/>
  <c r="D21" i="1"/>
  <c r="L21" i="1"/>
  <c r="K21" i="1"/>
  <c r="J21" i="1"/>
  <c r="AS21" i="1"/>
  <c r="AR21" i="1"/>
  <c r="E19" i="1" l="1"/>
  <c r="D19" i="1"/>
  <c r="L19" i="1"/>
  <c r="K19" i="1"/>
  <c r="J19" i="1"/>
  <c r="AS19" i="1" l="1"/>
  <c r="AR19" i="1"/>
  <c r="E20" i="1"/>
  <c r="L20" i="1"/>
  <c r="J20" i="1"/>
  <c r="AS20" i="1"/>
  <c r="AR20" i="1"/>
  <c r="L18" i="1" l="1"/>
  <c r="K18" i="1"/>
  <c r="J18" i="1"/>
  <c r="AS18" i="1"/>
  <c r="AR18" i="1"/>
  <c r="D18" i="1" l="1"/>
  <c r="E18" i="1"/>
  <c r="L10" i="1"/>
  <c r="J10" i="1"/>
  <c r="E10" i="1"/>
  <c r="E27" i="1" l="1"/>
  <c r="E26" i="1"/>
  <c r="E28" i="1"/>
  <c r="E24" i="1"/>
  <c r="E29" i="1"/>
  <c r="E25" i="1" s="1"/>
  <c r="D26" i="1"/>
  <c r="D28" i="1"/>
  <c r="D24" i="1"/>
  <c r="D27" i="1"/>
  <c r="D29" i="1"/>
  <c r="D25" i="1" s="1"/>
  <c r="AS10" i="1"/>
  <c r="AR10" i="1"/>
  <c r="E9" i="1" l="1"/>
  <c r="D9" i="1"/>
  <c r="L9" i="1"/>
  <c r="J9" i="1"/>
  <c r="AR9" i="1"/>
  <c r="AS9" i="1"/>
  <c r="K7" i="1"/>
  <c r="K8" i="1"/>
  <c r="E8" i="1"/>
  <c r="D8" i="1"/>
  <c r="L8" i="1"/>
  <c r="J8" i="1"/>
  <c r="AS8" i="1"/>
  <c r="AR8" i="1"/>
  <c r="L7" i="1" l="1"/>
  <c r="J7" i="1"/>
  <c r="E7" i="1"/>
  <c r="D7" i="1"/>
  <c r="AS7" i="1"/>
  <c r="AR7" i="1"/>
  <c r="D13" i="1" l="1"/>
  <c r="D16" i="1"/>
  <c r="D12" i="1" s="1"/>
  <c r="D11" i="1"/>
  <c r="D15" i="1"/>
  <c r="D14" i="1"/>
  <c r="E11" i="1"/>
  <c r="E16" i="1"/>
  <c r="E12" i="1" s="1"/>
  <c r="E13" i="1"/>
  <c r="E14" i="1"/>
  <c r="E15" i="1"/>
  <c r="K6" i="1"/>
  <c r="AR6" i="1"/>
  <c r="AS6" i="1"/>
  <c r="L6" i="1" l="1"/>
  <c r="J6" i="1"/>
  <c r="F5" i="1"/>
  <c r="F13" i="1" l="1"/>
  <c r="F15" i="1"/>
  <c r="F11" i="1"/>
  <c r="F16" i="1"/>
  <c r="F12" i="1" s="1"/>
  <c r="F14" i="1"/>
  <c r="AS5" i="1"/>
  <c r="AR5" i="1"/>
  <c r="L5" i="1" l="1"/>
  <c r="K5" i="1"/>
  <c r="J5" i="1"/>
</calcChain>
</file>

<file path=xl/sharedStrings.xml><?xml version="1.0" encoding="utf-8"?>
<sst xmlns="http://schemas.openxmlformats.org/spreadsheetml/2006/main" count="507" uniqueCount="103">
  <si>
    <t>Paired Pulses</t>
  </si>
  <si>
    <t>Ca 2 mM</t>
  </si>
  <si>
    <t>50 Hz</t>
  </si>
  <si>
    <t>SD (pA)</t>
  </si>
  <si>
    <t>SEM (pA)</t>
  </si>
  <si>
    <t>n</t>
  </si>
  <si>
    <t>CV</t>
  </si>
  <si>
    <t>Failure rate</t>
  </si>
  <si>
    <t>A1</t>
  </si>
  <si>
    <t>R2</t>
  </si>
  <si>
    <t>PPR</t>
  </si>
  <si>
    <t>A2</t>
  </si>
  <si>
    <t>n2Avg</t>
  </si>
  <si>
    <t>1_1</t>
  </si>
  <si>
    <t>1_0</t>
  </si>
  <si>
    <t>0_1</t>
  </si>
  <si>
    <t>0_0</t>
  </si>
  <si>
    <t>P21-24</t>
  </si>
  <si>
    <t>rPPR</t>
  </si>
  <si>
    <t>aPPR</t>
  </si>
  <si>
    <t>Del1</t>
  </si>
  <si>
    <t>Del2</t>
  </si>
  <si>
    <t>tauR1</t>
  </si>
  <si>
    <t>tauR2</t>
  </si>
  <si>
    <t>tauD1</t>
  </si>
  <si>
    <t>tauD2</t>
  </si>
  <si>
    <t>total</t>
  </si>
  <si>
    <t>Frac</t>
  </si>
  <si>
    <t>Avg_1_1</t>
  </si>
  <si>
    <t>Avg_1_0</t>
  </si>
  <si>
    <t>Avg_0_1</t>
  </si>
  <si>
    <t>Avg_0_0</t>
  </si>
  <si>
    <t>Avg_x_x</t>
  </si>
  <si>
    <t>m</t>
  </si>
  <si>
    <t>Rs (MOhm)</t>
  </si>
  <si>
    <t>Ileak (pA)</t>
  </si>
  <si>
    <t>MD</t>
  </si>
  <si>
    <t>IQR+</t>
  </si>
  <si>
    <t>IQR-</t>
  </si>
  <si>
    <t>w</t>
  </si>
  <si>
    <t>EGTA 10 mM pre</t>
  </si>
  <si>
    <t>Amplitude (A)</t>
  </si>
  <si>
    <t>1st Amplitude (pA)</t>
  </si>
  <si>
    <t>Frac 1_x</t>
  </si>
  <si>
    <t>Frac x_1</t>
  </si>
  <si>
    <t>211116_P22_p3</t>
  </si>
  <si>
    <t>211216_P23_p2</t>
  </si>
  <si>
    <t>n_total</t>
  </si>
  <si>
    <t>Mean</t>
  </si>
  <si>
    <t>SD(Delay)</t>
  </si>
  <si>
    <t>SEM</t>
  </si>
  <si>
    <t>Baseline</t>
  </si>
  <si>
    <t>250515_P22</t>
  </si>
  <si>
    <t>50-60min</t>
  </si>
  <si>
    <t>250605_P24_p2</t>
  </si>
  <si>
    <t>250429_P24_p2</t>
  </si>
  <si>
    <t>250502_P24_p2</t>
  </si>
  <si>
    <t>250626_P24</t>
  </si>
  <si>
    <t>Igor Macro Combine_LTP_Data()</t>
  </si>
  <si>
    <t>250703p1_P23</t>
  </si>
  <si>
    <t>250703p2_P23</t>
  </si>
  <si>
    <t>250729p2_P23</t>
  </si>
  <si>
    <t>250730p2_P22</t>
  </si>
  <si>
    <t>250804_P22</t>
  </si>
  <si>
    <t>20-30min</t>
  </si>
  <si>
    <t>30-40min</t>
  </si>
  <si>
    <t>S1</t>
  </si>
  <si>
    <t>Amplitude (pA)</t>
  </si>
  <si>
    <t>PFC</t>
  </si>
  <si>
    <t>160714_P25_EGTA</t>
  </si>
  <si>
    <t>170208_P23_EGTA</t>
  </si>
  <si>
    <t>170223_P23_p2_EGTA</t>
  </si>
  <si>
    <t>170508_P22_EGTA</t>
  </si>
  <si>
    <t>170518_P23_EGTA</t>
  </si>
  <si>
    <t>170215_P21_BAPTA</t>
  </si>
  <si>
    <t>170222_P22_p1_BAPTA</t>
  </si>
  <si>
    <t>170222_P22_p2_BAPTA</t>
  </si>
  <si>
    <t>170517_P22_p2_BAPTA</t>
  </si>
  <si>
    <t>0-10min</t>
  </si>
  <si>
    <t>Date_Age_No</t>
  </si>
  <si>
    <t>Sex</t>
  </si>
  <si>
    <t>Notes</t>
  </si>
  <si>
    <t>P21-26</t>
  </si>
  <si>
    <t>L5PN-L5PN</t>
  </si>
  <si>
    <t xml:space="preserve">control </t>
  </si>
  <si>
    <t>c_pre (pF)</t>
  </si>
  <si>
    <t>c_post (pF)</t>
  </si>
  <si>
    <t>w.</t>
  </si>
  <si>
    <t>m.</t>
  </si>
  <si>
    <t>Fail2</t>
  </si>
  <si>
    <t>delta1</t>
  </si>
  <si>
    <t>delta2</t>
  </si>
  <si>
    <t>tau rise1</t>
  </si>
  <si>
    <t>tau rise2</t>
  </si>
  <si>
    <t>tau decay1</t>
  </si>
  <si>
    <t>tau decay2</t>
  </si>
  <si>
    <t>EPSC(norm)</t>
  </si>
  <si>
    <t>PPR(norm)</t>
  </si>
  <si>
    <t>190426_P23_p1_ctrl</t>
  </si>
  <si>
    <t>190426_P23_p2_ctrl</t>
  </si>
  <si>
    <t>190502_P22_p1_ctrl</t>
  </si>
  <si>
    <t>190502_P22_p2_ctrl</t>
  </si>
  <si>
    <t>BAPTA 10 mM 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</si>
</sst>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indexed="23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  <font>
      <i/>
      <sz val="11"/>
      <color indexed="23"/>
      <name val="Calibri"/>
      <family val="2"/>
      <scheme val="minor"/>
    </font>
    <font>
      <sz val="11"/>
      <color indexed="2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2" fontId="0" fillId="0" borderId="0" xfId="0" applyNumberFormat="1" applyFont="1"/>
    <xf numFmtId="49" fontId="0" fillId="0" borderId="0" xfId="0" applyNumberFormat="1" applyFont="1"/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right"/>
    </xf>
    <xf numFmtId="164" fontId="0" fillId="0" borderId="0" xfId="0" applyNumberFormat="1" applyFont="1"/>
    <xf numFmtId="49" fontId="0" fillId="0" borderId="0" xfId="0" applyNumberFormat="1" applyFont="1" applyAlignment="1">
      <alignment horizontal="right"/>
    </xf>
    <xf numFmtId="0" fontId="0" fillId="0" borderId="0" xfId="0" applyFont="1" applyBorder="1"/>
    <xf numFmtId="0" fontId="1" fillId="0" borderId="0" xfId="0" applyFont="1"/>
    <xf numFmtId="0" fontId="0" fillId="0" borderId="0" xfId="0" applyNumberFormat="1" applyFont="1"/>
    <xf numFmtId="0" fontId="0" fillId="0" borderId="1" xfId="0" applyFont="1" applyBorder="1"/>
    <xf numFmtId="2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1" fontId="0" fillId="0" borderId="0" xfId="0" applyNumberFormat="1"/>
    <xf numFmtId="0" fontId="0" fillId="0" borderId="0" xfId="0" applyNumberFormat="1"/>
    <xf numFmtId="0" fontId="0" fillId="0" borderId="1" xfId="0" applyNumberFormat="1" applyFont="1" applyBorder="1"/>
    <xf numFmtId="0" fontId="0" fillId="0" borderId="1" xfId="0" applyNumberFormat="1" applyBorder="1"/>
    <xf numFmtId="0" fontId="3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0" xfId="0" applyNumberFormat="1" applyBorder="1"/>
    <xf numFmtId="0" fontId="0" fillId="0" borderId="0" xfId="0" applyFill="1" applyBorder="1"/>
    <xf numFmtId="11" fontId="0" fillId="0" borderId="0" xfId="0" applyNumberFormat="1" applyFont="1"/>
    <xf numFmtId="0" fontId="4" fillId="0" borderId="0" xfId="0" applyFont="1"/>
    <xf numFmtId="2" fontId="1" fillId="0" borderId="0" xfId="0" applyNumberFormat="1" applyFont="1"/>
    <xf numFmtId="0" fontId="0" fillId="0" borderId="0" xfId="0"/>
    <xf numFmtId="0" fontId="0" fillId="0" borderId="0" xfId="0" applyFont="1"/>
    <xf numFmtId="0" fontId="0" fillId="0" borderId="0" xfId="0" applyNumberFormat="1" applyFont="1"/>
    <xf numFmtId="11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0" borderId="1" xfId="0" applyBorder="1"/>
    <xf numFmtId="11" fontId="2" fillId="0" borderId="0" xfId="0" applyNumberFormat="1" applyFont="1"/>
    <xf numFmtId="0" fontId="2" fillId="0" borderId="0" xfId="0" applyNumberFormat="1" applyFont="1"/>
    <xf numFmtId="0" fontId="2" fillId="0" borderId="0" xfId="0" applyFont="1"/>
    <xf numFmtId="0" fontId="1" fillId="0" borderId="0" xfId="0" applyNumberFormat="1" applyFont="1"/>
    <xf numFmtId="0" fontId="0" fillId="0" borderId="0" xfId="0" applyFont="1" applyFill="1"/>
    <xf numFmtId="49" fontId="0" fillId="0" borderId="0" xfId="0" applyNumberFormat="1"/>
    <xf numFmtId="49" fontId="1" fillId="0" borderId="0" xfId="0" applyNumberFormat="1" applyFont="1"/>
    <xf numFmtId="0" fontId="7" fillId="0" borderId="0" xfId="0" applyFont="1" applyBorder="1"/>
    <xf numFmtId="0" fontId="0" fillId="0" borderId="0" xfId="0" applyFont="1" applyFill="1" applyBorder="1"/>
    <xf numFmtId="2" fontId="6" fillId="0" borderId="0" xfId="0" applyNumberFormat="1" applyFont="1" applyBorder="1"/>
    <xf numFmtId="2" fontId="8" fillId="0" borderId="0" xfId="0" applyNumberFormat="1" applyFont="1"/>
    <xf numFmtId="2" fontId="3" fillId="0" borderId="0" xfId="0" applyNumberFormat="1" applyFont="1" applyBorder="1"/>
    <xf numFmtId="0" fontId="8" fillId="0" borderId="0" xfId="0" applyFont="1"/>
    <xf numFmtId="2" fontId="3" fillId="0" borderId="0" xfId="0" applyNumberFormat="1" applyFont="1"/>
    <xf numFmtId="2" fontId="3" fillId="0" borderId="1" xfId="0" applyNumberFormat="1" applyFont="1" applyBorder="1"/>
    <xf numFmtId="0" fontId="0" fillId="0" borderId="1" xfId="0" applyFont="1" applyFill="1" applyBorder="1"/>
    <xf numFmtId="0" fontId="0" fillId="0" borderId="0" xfId="0" applyFill="1"/>
    <xf numFmtId="0" fontId="1" fillId="0" borderId="0" xfId="0" applyFont="1" applyFill="1"/>
    <xf numFmtId="0" fontId="5" fillId="0" borderId="0" xfId="0" applyFont="1" applyFill="1"/>
    <xf numFmtId="11" fontId="0" fillId="0" borderId="0" xfId="0" applyNumberFormat="1" applyBorder="1"/>
    <xf numFmtId="0" fontId="2" fillId="0" borderId="0" xfId="0" applyFont="1" applyBorder="1"/>
    <xf numFmtId="11" fontId="2" fillId="0" borderId="0" xfId="0" applyNumberFormat="1" applyFont="1" applyBorder="1"/>
    <xf numFmtId="0" fontId="2" fillId="0" borderId="0" xfId="0" applyNumberFormat="1" applyFont="1" applyBorder="1"/>
    <xf numFmtId="0" fontId="0" fillId="0" borderId="0" xfId="0" applyNumberFormat="1" applyFont="1" applyBorder="1"/>
    <xf numFmtId="2" fontId="0" fillId="0" borderId="0" xfId="0" applyNumberFormat="1" applyFont="1" applyBorder="1"/>
    <xf numFmtId="0" fontId="0" fillId="0" borderId="0" xfId="0" applyFont="1" applyAlignment="1">
      <alignment horizontal="right"/>
    </xf>
    <xf numFmtId="0" fontId="8" fillId="0" borderId="1" xfId="0" applyFont="1" applyBorder="1"/>
    <xf numFmtId="0" fontId="9" fillId="0" borderId="0" xfId="0" applyFont="1" applyFill="1"/>
    <xf numFmtId="49" fontId="10" fillId="0" borderId="0" xfId="0" applyNumberFormat="1" applyFont="1"/>
    <xf numFmtId="0" fontId="10" fillId="0" borderId="0" xfId="0" applyFont="1"/>
    <xf numFmtId="0" fontId="11" fillId="0" borderId="0" xfId="0" applyFont="1"/>
    <xf numFmtId="49" fontId="9" fillId="0" borderId="0" xfId="0" applyNumberFormat="1" applyFont="1" applyBorder="1"/>
    <xf numFmtId="0" fontId="10" fillId="0" borderId="0" xfId="0" applyFont="1" applyAlignment="1">
      <alignment horizontal="left"/>
    </xf>
    <xf numFmtId="2" fontId="9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Border="1"/>
    <xf numFmtId="0" fontId="10" fillId="0" borderId="0" xfId="0" applyFont="1" applyFill="1"/>
    <xf numFmtId="0" fontId="12" fillId="0" borderId="0" xfId="0" applyFont="1"/>
    <xf numFmtId="2" fontId="8" fillId="0" borderId="0" xfId="0" applyNumberFormat="1" applyFont="1" applyBorder="1"/>
    <xf numFmtId="0" fontId="11" fillId="0" borderId="0" xfId="0" applyFont="1" applyBorder="1"/>
    <xf numFmtId="0" fontId="12" fillId="0" borderId="0" xfId="0" applyFont="1" applyBorder="1"/>
    <xf numFmtId="0" fontId="8" fillId="0" borderId="0" xfId="0" applyFont="1" applyBorder="1"/>
    <xf numFmtId="0" fontId="3" fillId="0" borderId="0" xfId="0" applyFont="1" applyBorder="1"/>
    <xf numFmtId="2" fontId="10" fillId="0" borderId="0" xfId="0" applyNumberFormat="1" applyFont="1"/>
    <xf numFmtId="11" fontId="0" fillId="0" borderId="1" xfId="0" applyNumberFormat="1" applyBorder="1"/>
    <xf numFmtId="0" fontId="2" fillId="0" borderId="1" xfId="0" applyFont="1" applyBorder="1"/>
    <xf numFmtId="11" fontId="2" fillId="0" borderId="1" xfId="0" applyNumberFormat="1" applyFont="1" applyBorder="1"/>
    <xf numFmtId="0" fontId="2" fillId="0" borderId="1" xfId="0" applyNumberFormat="1" applyFont="1" applyBorder="1"/>
    <xf numFmtId="1" fontId="0" fillId="0" borderId="2" xfId="0" applyNumberFormat="1" applyBorder="1"/>
    <xf numFmtId="0" fontId="0" fillId="0" borderId="2" xfId="0" applyNumberFormat="1" applyBorder="1"/>
    <xf numFmtId="1" fontId="0" fillId="0" borderId="0" xfId="0" applyNumberFormat="1" applyBorder="1"/>
    <xf numFmtId="1" fontId="1" fillId="0" borderId="0" xfId="0" applyNumberFormat="1" applyFont="1" applyBorder="1"/>
    <xf numFmtId="0" fontId="1" fillId="0" borderId="0" xfId="0" applyNumberFormat="1" applyFont="1" applyBorder="1"/>
    <xf numFmtId="2" fontId="0" fillId="0" borderId="2" xfId="0" applyNumberFormat="1" applyBorder="1"/>
    <xf numFmtId="2" fontId="0" fillId="0" borderId="0" xfId="0" applyNumberFormat="1" applyBorder="1"/>
    <xf numFmtId="2" fontId="1" fillId="0" borderId="0" xfId="0" applyNumberFormat="1" applyFont="1" applyBorder="1"/>
    <xf numFmtId="2" fontId="6" fillId="0" borderId="0" xfId="0" applyNumberFormat="1" applyFont="1"/>
    <xf numFmtId="0" fontId="0" fillId="0" borderId="1" xfId="0" applyFont="1" applyBorder="1" applyAlignment="1">
      <alignment horizontal="left"/>
    </xf>
    <xf numFmtId="0" fontId="13" fillId="0" borderId="0" xfId="0" applyFont="1" applyBorder="1"/>
    <xf numFmtId="2" fontId="14" fillId="0" borderId="0" xfId="0" applyNumberFormat="1" applyFont="1" applyBorder="1"/>
    <xf numFmtId="2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/>
    <xf numFmtId="2" fontId="6" fillId="0" borderId="1" xfId="0" applyNumberFormat="1" applyFont="1" applyBorder="1"/>
    <xf numFmtId="2" fontId="14" fillId="0" borderId="1" xfId="0" applyNumberFormat="1" applyFont="1" applyBorder="1"/>
    <xf numFmtId="0" fontId="7" fillId="0" borderId="1" xfId="0" applyFont="1" applyBorder="1"/>
    <xf numFmtId="0" fontId="0" fillId="0" borderId="0" xfId="0" applyNumberFormat="1" applyFont="1" applyAlignment="1">
      <alignment horizontal="right"/>
    </xf>
    <xf numFmtId="0" fontId="4" fillId="0" borderId="1" xfId="0" applyFont="1" applyBorder="1"/>
    <xf numFmtId="2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2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69"/>
  <sheetViews>
    <sheetView tabSelected="1" topLeftCell="A31" zoomScaleNormal="100" workbookViewId="0">
      <pane xSplit="1" topLeftCell="AP1" activePane="topRight" state="frozen"/>
      <selection pane="topRight" activeCell="BP27" sqref="BP27"/>
    </sheetView>
  </sheetViews>
  <sheetFormatPr baseColWidth="10" defaultRowHeight="15"/>
  <cols>
    <col min="1" max="1" width="14.28515625" style="52" customWidth="1"/>
    <col min="2" max="2" width="11.42578125" style="41"/>
    <col min="3" max="3" width="22.7109375" customWidth="1"/>
    <col min="4" max="4" width="13.140625" bestFit="1" customWidth="1"/>
    <col min="5" max="5" width="11.5703125" bestFit="1" customWidth="1"/>
    <col min="6" max="6" width="12.85546875" bestFit="1" customWidth="1"/>
    <col min="7" max="8" width="12.140625" bestFit="1" customWidth="1"/>
    <col min="9" max="12" width="11.5703125" style="18" bestFit="1" customWidth="1"/>
    <col min="13" max="28" width="11.5703125" bestFit="1" customWidth="1"/>
    <col min="29" max="29" width="12.7109375" bestFit="1" customWidth="1"/>
    <col min="30" max="46" width="11.5703125" bestFit="1" customWidth="1"/>
    <col min="73" max="88" width="11.5703125" bestFit="1" customWidth="1"/>
  </cols>
  <sheetData>
    <row r="1" spans="1:214" s="29" customFormat="1" ht="18.75">
      <c r="A1" s="54" t="s">
        <v>68</v>
      </c>
      <c r="B1" s="41"/>
      <c r="I1" s="33"/>
      <c r="J1" s="33"/>
      <c r="K1" s="33"/>
      <c r="L1" s="33"/>
    </row>
    <row r="2" spans="1:214" s="30" customFormat="1">
      <c r="A2" s="63" t="s">
        <v>83</v>
      </c>
      <c r="B2" s="64"/>
      <c r="G2" s="1"/>
      <c r="H2" s="1"/>
      <c r="I2" s="31"/>
      <c r="J2" s="31"/>
      <c r="K2" s="31"/>
      <c r="L2" s="31"/>
      <c r="M2" s="1"/>
      <c r="N2" s="46"/>
      <c r="P2" s="65"/>
      <c r="S2" s="66"/>
      <c r="T2" s="66"/>
      <c r="U2" s="66"/>
      <c r="V2" s="66"/>
      <c r="W2" s="66"/>
      <c r="X2" s="66"/>
      <c r="Y2" s="66"/>
      <c r="Z2" s="6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W2" s="65"/>
      <c r="AZ2" s="66"/>
      <c r="BA2" s="66"/>
      <c r="BB2" s="66"/>
      <c r="BC2" s="66"/>
      <c r="BD2" s="66"/>
      <c r="BE2" s="66"/>
      <c r="BF2" s="66"/>
      <c r="BG2" s="66"/>
      <c r="BH2" s="66"/>
      <c r="BI2" s="65"/>
      <c r="BJ2" s="65"/>
      <c r="BK2" s="65"/>
      <c r="BL2" s="65"/>
      <c r="BM2" s="67"/>
      <c r="BN2" s="66"/>
      <c r="BP2" s="65"/>
      <c r="BQ2" s="65"/>
      <c r="BR2" s="65"/>
      <c r="BS2" s="68"/>
      <c r="BU2" s="66"/>
      <c r="BV2" s="3"/>
      <c r="BW2" s="65"/>
      <c r="BY2" s="65"/>
      <c r="BZ2" s="65"/>
      <c r="CA2" s="68"/>
      <c r="CC2" s="66"/>
      <c r="CD2" s="3"/>
      <c r="CE2" s="65"/>
      <c r="CG2" s="65"/>
      <c r="CH2" s="65"/>
      <c r="CI2" s="68"/>
      <c r="CK2" s="66"/>
      <c r="CL2" s="3"/>
      <c r="CM2" s="65"/>
      <c r="CO2" s="65"/>
      <c r="CQ2" s="67"/>
      <c r="DD2" s="69"/>
      <c r="DE2" s="70"/>
      <c r="DF2" s="4"/>
      <c r="DG2" s="4"/>
      <c r="DH2" s="71"/>
      <c r="DI2" s="4"/>
      <c r="DJ2" s="4"/>
      <c r="DK2" s="4"/>
      <c r="DL2" s="4"/>
      <c r="DM2" s="4"/>
      <c r="DN2" s="4"/>
      <c r="DO2" s="4"/>
      <c r="DP2" s="72"/>
      <c r="DQ2" s="66"/>
      <c r="DT2" s="64"/>
      <c r="DU2" s="4"/>
      <c r="DV2" s="4"/>
      <c r="DW2" s="4"/>
      <c r="DX2" s="4"/>
      <c r="DY2" s="4"/>
      <c r="DZ2" s="4"/>
      <c r="EB2" s="73"/>
      <c r="EG2" s="64"/>
      <c r="EP2" s="2"/>
      <c r="ER2" s="65"/>
      <c r="ET2" s="65"/>
      <c r="EV2" s="5"/>
      <c r="EW2" s="65"/>
      <c r="FA2" s="73"/>
      <c r="FE2" s="73"/>
      <c r="FJ2" s="65"/>
    </row>
    <row r="3" spans="1:214" s="30" customFormat="1">
      <c r="A3" s="74" t="s">
        <v>82</v>
      </c>
      <c r="B3" s="2"/>
      <c r="D3" s="30" t="s">
        <v>51</v>
      </c>
      <c r="F3" s="1"/>
      <c r="G3" s="1"/>
      <c r="H3" s="1"/>
      <c r="I3" s="31"/>
      <c r="J3" s="31"/>
      <c r="K3" s="31"/>
      <c r="L3" s="31"/>
      <c r="M3" s="1"/>
      <c r="N3" s="81" t="s">
        <v>0</v>
      </c>
      <c r="O3" s="65" t="s">
        <v>1</v>
      </c>
      <c r="P3" s="8" t="s">
        <v>2</v>
      </c>
      <c r="AT3" s="65" t="s">
        <v>40</v>
      </c>
      <c r="AV3" s="8" t="s">
        <v>2</v>
      </c>
      <c r="BJ3" s="30" t="s">
        <v>27</v>
      </c>
      <c r="BM3" s="2"/>
      <c r="BN3" s="30" t="s">
        <v>58</v>
      </c>
      <c r="DD3" s="4"/>
      <c r="DE3" s="4"/>
      <c r="DF3" s="4"/>
      <c r="DG3" s="4"/>
      <c r="DH3" s="6"/>
      <c r="DI3" s="4"/>
      <c r="DJ3" s="4"/>
      <c r="DK3" s="4"/>
      <c r="DL3" s="70"/>
      <c r="DM3" s="4"/>
      <c r="DN3" s="4"/>
      <c r="DO3" s="4"/>
      <c r="DT3" s="2"/>
      <c r="DU3" s="4"/>
      <c r="DV3" s="4"/>
      <c r="DW3" s="4"/>
      <c r="DX3" s="70"/>
      <c r="DY3" s="4"/>
      <c r="DZ3" s="70"/>
      <c r="EA3" s="66"/>
      <c r="EB3" s="66"/>
      <c r="EG3" s="64"/>
      <c r="EO3" s="65"/>
      <c r="EP3" s="2"/>
      <c r="EV3" s="5"/>
      <c r="EW3" s="66"/>
      <c r="FA3" s="66"/>
      <c r="FE3" s="7"/>
      <c r="FJ3" s="66"/>
      <c r="FN3" s="66"/>
      <c r="FR3" s="66"/>
      <c r="FT3" s="66"/>
      <c r="FX3" s="66"/>
      <c r="GB3" s="66"/>
      <c r="GD3" s="66"/>
      <c r="GH3" s="66"/>
      <c r="GL3" s="66"/>
      <c r="GN3" s="66"/>
      <c r="GR3" s="66"/>
      <c r="GV3" s="66"/>
      <c r="GX3" s="66"/>
      <c r="HB3" s="66"/>
      <c r="HF3" s="66"/>
    </row>
    <row r="4" spans="1:214" s="10" customFormat="1">
      <c r="A4" s="51" t="s">
        <v>79</v>
      </c>
      <c r="B4" s="12" t="s">
        <v>80</v>
      </c>
      <c r="C4" s="10" t="s">
        <v>81</v>
      </c>
      <c r="D4" s="10" t="s">
        <v>34</v>
      </c>
      <c r="E4" s="10" t="s">
        <v>35</v>
      </c>
      <c r="F4" s="11" t="s">
        <v>41</v>
      </c>
      <c r="G4" s="11" t="s">
        <v>3</v>
      </c>
      <c r="H4" s="11" t="s">
        <v>4</v>
      </c>
      <c r="I4" s="19" t="s">
        <v>5</v>
      </c>
      <c r="J4" s="19" t="s">
        <v>6</v>
      </c>
      <c r="K4" s="19" t="s">
        <v>7</v>
      </c>
      <c r="L4" s="19" t="s">
        <v>42</v>
      </c>
      <c r="M4" s="11" t="s">
        <v>49</v>
      </c>
      <c r="N4" s="35"/>
      <c r="O4" s="12" t="s">
        <v>8</v>
      </c>
      <c r="P4" s="12" t="s">
        <v>11</v>
      </c>
      <c r="Q4" s="10" t="s">
        <v>9</v>
      </c>
      <c r="R4" s="10" t="s">
        <v>18</v>
      </c>
      <c r="S4" s="10" t="s">
        <v>19</v>
      </c>
      <c r="T4" s="10" t="s">
        <v>20</v>
      </c>
      <c r="U4" s="10" t="s">
        <v>21</v>
      </c>
      <c r="V4" s="10" t="s">
        <v>22</v>
      </c>
      <c r="W4" s="10" t="s">
        <v>23</v>
      </c>
      <c r="X4" s="10" t="s">
        <v>24</v>
      </c>
      <c r="Y4" s="10" t="s">
        <v>25</v>
      </c>
      <c r="Z4" s="10" t="s">
        <v>47</v>
      </c>
      <c r="AA4" s="10" t="s">
        <v>12</v>
      </c>
      <c r="AC4" s="12" t="s">
        <v>8</v>
      </c>
      <c r="AD4" s="12" t="s">
        <v>11</v>
      </c>
      <c r="AE4" s="10" t="s">
        <v>9</v>
      </c>
      <c r="AF4" s="10" t="s">
        <v>18</v>
      </c>
      <c r="AG4" s="10" t="s">
        <v>27</v>
      </c>
      <c r="AI4" s="12" t="s">
        <v>8</v>
      </c>
      <c r="AJ4" s="12" t="s">
        <v>11</v>
      </c>
      <c r="AK4" s="10" t="s">
        <v>27</v>
      </c>
      <c r="AM4" s="12" t="s">
        <v>8</v>
      </c>
      <c r="AN4" s="12" t="s">
        <v>11</v>
      </c>
      <c r="AO4" s="10" t="s">
        <v>27</v>
      </c>
      <c r="AQ4" s="10" t="s">
        <v>27</v>
      </c>
      <c r="AR4" s="10" t="s">
        <v>43</v>
      </c>
      <c r="AS4" s="10" t="s">
        <v>44</v>
      </c>
      <c r="AV4" s="12" t="s">
        <v>8</v>
      </c>
      <c r="AW4" s="12" t="s">
        <v>11</v>
      </c>
      <c r="AX4" s="10" t="s">
        <v>9</v>
      </c>
      <c r="AY4" s="10" t="s">
        <v>18</v>
      </c>
      <c r="AZ4" s="10" t="s">
        <v>19</v>
      </c>
      <c r="BA4" s="10" t="s">
        <v>20</v>
      </c>
      <c r="BB4" s="10" t="s">
        <v>21</v>
      </c>
      <c r="BC4" s="10" t="s">
        <v>22</v>
      </c>
      <c r="BD4" s="10" t="s">
        <v>23</v>
      </c>
      <c r="BE4" s="10" t="s">
        <v>24</v>
      </c>
      <c r="BF4" s="10" t="s">
        <v>25</v>
      </c>
      <c r="BG4" s="10" t="s">
        <v>26</v>
      </c>
      <c r="BH4" s="10" t="s">
        <v>27</v>
      </c>
      <c r="BI4" s="10" t="s">
        <v>12</v>
      </c>
      <c r="BJ4" s="10" t="s">
        <v>13</v>
      </c>
      <c r="BK4" s="10" t="s">
        <v>14</v>
      </c>
      <c r="BL4" s="10" t="s">
        <v>15</v>
      </c>
      <c r="BM4" s="10" t="s">
        <v>16</v>
      </c>
      <c r="BN4" s="10" t="s">
        <v>96</v>
      </c>
      <c r="BO4" s="10" t="s">
        <v>78</v>
      </c>
      <c r="BP4" s="10" t="s">
        <v>64</v>
      </c>
      <c r="BT4" s="12"/>
      <c r="CB4" s="12"/>
      <c r="CJ4" s="12"/>
      <c r="DC4" s="13"/>
      <c r="DE4" s="14"/>
      <c r="DF4" s="14"/>
      <c r="DG4" s="14"/>
      <c r="DH4" s="14"/>
      <c r="DI4" s="15"/>
      <c r="DJ4" s="14"/>
      <c r="DK4" s="14"/>
      <c r="DL4" s="14"/>
      <c r="DM4" s="14"/>
      <c r="DN4" s="14"/>
      <c r="DO4" s="14"/>
      <c r="DP4" s="14"/>
      <c r="DU4" s="12"/>
      <c r="DV4" s="14"/>
      <c r="DW4" s="14"/>
      <c r="DX4" s="14"/>
      <c r="DY4" s="14"/>
      <c r="DZ4" s="14"/>
      <c r="EA4" s="14"/>
      <c r="EH4" s="12"/>
      <c r="EQ4" s="12"/>
      <c r="EW4" s="16"/>
    </row>
    <row r="5" spans="1:214">
      <c r="A5" s="40" t="s">
        <v>45</v>
      </c>
      <c r="B5" s="32" t="s">
        <v>39</v>
      </c>
      <c r="C5" t="s">
        <v>40</v>
      </c>
      <c r="D5">
        <v>18</v>
      </c>
      <c r="E5">
        <v>-86</v>
      </c>
      <c r="F5">
        <f xml:space="preserve"> -0.00000000000830351</f>
        <v>-8.30351E-12</v>
      </c>
      <c r="G5" s="17">
        <v>5.9172699999999999E-12</v>
      </c>
      <c r="H5" s="17">
        <v>7.2291E-13</v>
      </c>
      <c r="I5" s="33">
        <v>67</v>
      </c>
      <c r="J5" s="18">
        <f t="shared" ref="J5:J10" si="0">-G5/F5</f>
        <v>0.71262273424130274</v>
      </c>
      <c r="K5" s="33">
        <f>11/I5</f>
        <v>0.16417910447761194</v>
      </c>
      <c r="L5" s="9">
        <f t="shared" ref="L5:L10" si="1">F5*-1000000000000</f>
        <v>8.3035099999999993</v>
      </c>
      <c r="M5">
        <v>0.54834300000000002</v>
      </c>
      <c r="N5" t="s">
        <v>32</v>
      </c>
      <c r="O5">
        <v>-7.04</v>
      </c>
      <c r="P5">
        <v>-9.9700000000000006</v>
      </c>
      <c r="R5">
        <v>1.42</v>
      </c>
      <c r="S5">
        <v>1.42</v>
      </c>
      <c r="T5">
        <v>2.23</v>
      </c>
      <c r="U5">
        <v>2.11</v>
      </c>
      <c r="V5">
        <v>0.52</v>
      </c>
      <c r="W5">
        <v>23.36</v>
      </c>
      <c r="X5">
        <v>6.41</v>
      </c>
      <c r="Y5">
        <v>1.9</v>
      </c>
      <c r="Z5">
        <v>80</v>
      </c>
      <c r="AA5">
        <v>35</v>
      </c>
      <c r="AB5" t="s">
        <v>28</v>
      </c>
      <c r="AC5">
        <v>-8.77</v>
      </c>
      <c r="AD5">
        <v>-12.05</v>
      </c>
      <c r="AF5">
        <v>1.37</v>
      </c>
      <c r="AG5">
        <v>0.78</v>
      </c>
      <c r="AH5" t="s">
        <v>29</v>
      </c>
      <c r="AI5">
        <v>-12.04</v>
      </c>
      <c r="AJ5">
        <v>-2.23</v>
      </c>
      <c r="AK5">
        <v>0.08</v>
      </c>
      <c r="AL5" t="s">
        <v>30</v>
      </c>
      <c r="AM5">
        <v>2.6</v>
      </c>
      <c r="AN5">
        <v>-10.36</v>
      </c>
      <c r="AO5">
        <v>0.13</v>
      </c>
      <c r="AP5" t="s">
        <v>31</v>
      </c>
      <c r="AQ5">
        <v>0.03</v>
      </c>
      <c r="AR5">
        <f t="shared" ref="AR5" si="2">AG5+AK5</f>
        <v>0.86</v>
      </c>
      <c r="AS5">
        <f t="shared" ref="AS5" si="3">AG5+AO5</f>
        <v>0.91</v>
      </c>
      <c r="AT5" t="s">
        <v>32</v>
      </c>
      <c r="AU5" t="s">
        <v>65</v>
      </c>
      <c r="AV5">
        <v>-5.42</v>
      </c>
      <c r="AW5">
        <v>-2.4</v>
      </c>
      <c r="AY5">
        <v>0.44</v>
      </c>
      <c r="AZ5">
        <v>0.44</v>
      </c>
      <c r="BA5">
        <v>2.6</v>
      </c>
      <c r="BB5">
        <v>3.28</v>
      </c>
      <c r="BE5">
        <v>2.62</v>
      </c>
      <c r="BF5">
        <v>1.83</v>
      </c>
      <c r="BG5">
        <v>186</v>
      </c>
      <c r="BH5">
        <v>1</v>
      </c>
      <c r="BI5">
        <v>21</v>
      </c>
      <c r="BP5">
        <f>33.3391370521864/100</f>
        <v>0.33339137052186402</v>
      </c>
    </row>
    <row r="6" spans="1:214">
      <c r="A6" s="40" t="s">
        <v>46</v>
      </c>
      <c r="B6" s="32" t="s">
        <v>33</v>
      </c>
      <c r="C6" s="29" t="s">
        <v>40</v>
      </c>
      <c r="D6">
        <v>10</v>
      </c>
      <c r="E6">
        <v>-137</v>
      </c>
      <c r="F6" s="17">
        <v>-1.3631900000000001E-11</v>
      </c>
      <c r="G6" s="17">
        <v>7.64399E-12</v>
      </c>
      <c r="H6" s="17">
        <v>1.1657E-12</v>
      </c>
      <c r="I6" s="33">
        <v>43</v>
      </c>
      <c r="J6" s="18">
        <f t="shared" si="0"/>
        <v>0.56074281648192836</v>
      </c>
      <c r="K6" s="31">
        <f>4/I6</f>
        <v>9.3023255813953487E-2</v>
      </c>
      <c r="L6" s="9">
        <f t="shared" si="1"/>
        <v>13.6319</v>
      </c>
      <c r="M6">
        <v>0.90899300000000005</v>
      </c>
      <c r="N6" t="s">
        <v>32</v>
      </c>
      <c r="O6">
        <v>-11.86</v>
      </c>
      <c r="P6">
        <v>-12.54</v>
      </c>
      <c r="Q6">
        <v>-12.17</v>
      </c>
      <c r="R6">
        <v>1.03</v>
      </c>
      <c r="S6">
        <v>1.06</v>
      </c>
      <c r="T6">
        <v>1.94</v>
      </c>
      <c r="U6">
        <v>1.96</v>
      </c>
      <c r="V6">
        <v>1.36</v>
      </c>
      <c r="W6">
        <v>1.71</v>
      </c>
      <c r="X6">
        <v>5.43</v>
      </c>
      <c r="Y6">
        <v>4.55</v>
      </c>
      <c r="Z6">
        <v>63</v>
      </c>
      <c r="AA6">
        <v>31</v>
      </c>
      <c r="AB6" t="s">
        <v>28</v>
      </c>
      <c r="AC6">
        <v>-13.99</v>
      </c>
      <c r="AD6">
        <v>-13.98</v>
      </c>
      <c r="AE6">
        <v>-13.64</v>
      </c>
      <c r="AF6">
        <v>0.97</v>
      </c>
      <c r="AG6">
        <v>0.78</v>
      </c>
      <c r="AH6" t="s">
        <v>29</v>
      </c>
      <c r="AI6">
        <v>-20.37</v>
      </c>
      <c r="AJ6">
        <v>2.71</v>
      </c>
      <c r="AK6">
        <v>0.06</v>
      </c>
      <c r="AL6" t="s">
        <v>30</v>
      </c>
      <c r="AM6">
        <v>2.57</v>
      </c>
      <c r="AN6">
        <v>-14.56</v>
      </c>
      <c r="AO6">
        <v>0.08</v>
      </c>
      <c r="AP6" t="s">
        <v>31</v>
      </c>
      <c r="AQ6">
        <v>0.08</v>
      </c>
      <c r="AR6">
        <f t="shared" ref="AR6:AR8" si="4">AG6+AK6</f>
        <v>0.84000000000000008</v>
      </c>
      <c r="AS6">
        <f t="shared" ref="AS6:AS8" si="5">AG6+AO6</f>
        <v>0.86</v>
      </c>
      <c r="AT6" t="s">
        <v>32</v>
      </c>
      <c r="AU6" t="s">
        <v>53</v>
      </c>
      <c r="AV6">
        <v>-9.31</v>
      </c>
      <c r="AW6">
        <v>-3.62</v>
      </c>
      <c r="AX6">
        <v>-3.23</v>
      </c>
      <c r="AY6">
        <v>0.35</v>
      </c>
      <c r="AZ6">
        <v>0.39</v>
      </c>
      <c r="BA6">
        <v>2.83</v>
      </c>
      <c r="BB6">
        <v>3.34</v>
      </c>
      <c r="BC6">
        <v>1.06</v>
      </c>
      <c r="BD6">
        <v>2.96</v>
      </c>
      <c r="BE6">
        <v>6.05</v>
      </c>
      <c r="BF6">
        <v>2.44</v>
      </c>
      <c r="BG6">
        <v>51</v>
      </c>
      <c r="BH6">
        <v>1</v>
      </c>
      <c r="BI6">
        <v>25</v>
      </c>
      <c r="BJ6">
        <v>0.61</v>
      </c>
      <c r="BK6">
        <v>0.28999999999999998</v>
      </c>
      <c r="BL6">
        <v>0.08</v>
      </c>
      <c r="BM6">
        <v>0.02</v>
      </c>
      <c r="BP6">
        <f>67.0478983127419/100</f>
        <v>0.67047898312741905</v>
      </c>
    </row>
    <row r="7" spans="1:214">
      <c r="A7" s="40" t="s">
        <v>55</v>
      </c>
      <c r="B7" s="32" t="s">
        <v>33</v>
      </c>
      <c r="C7" s="29" t="s">
        <v>40</v>
      </c>
      <c r="D7" s="18">
        <f>14756900*0.000001</f>
        <v>14.7569</v>
      </c>
      <c r="E7" s="18">
        <f>-0.0000000000965069*1000000000000</f>
        <v>-96.506900000000002</v>
      </c>
      <c r="F7" s="17">
        <v>-1.7904099999999999E-11</v>
      </c>
      <c r="G7" s="17">
        <v>6.85786E-12</v>
      </c>
      <c r="H7" s="17">
        <v>9.5101400000000009E-13</v>
      </c>
      <c r="I7" s="33">
        <v>52</v>
      </c>
      <c r="J7" s="18">
        <f t="shared" si="0"/>
        <v>0.38303293658994308</v>
      </c>
      <c r="K7" s="31">
        <f>2/I7</f>
        <v>3.8461538461538464E-2</v>
      </c>
      <c r="L7" s="9">
        <f t="shared" si="1"/>
        <v>17.9041</v>
      </c>
      <c r="M7">
        <v>0.595503</v>
      </c>
      <c r="N7" t="s">
        <v>32</v>
      </c>
      <c r="O7">
        <v>-16.96</v>
      </c>
      <c r="P7">
        <v>-17.37</v>
      </c>
      <c r="Q7">
        <v>-16.89</v>
      </c>
      <c r="R7">
        <v>1</v>
      </c>
      <c r="S7">
        <v>1.02</v>
      </c>
      <c r="T7">
        <v>2.14</v>
      </c>
      <c r="U7">
        <v>2.14</v>
      </c>
      <c r="V7">
        <v>0.5</v>
      </c>
      <c r="W7">
        <v>0.48</v>
      </c>
      <c r="X7">
        <v>5.45</v>
      </c>
      <c r="Y7">
        <v>5.17</v>
      </c>
      <c r="Z7">
        <v>65</v>
      </c>
      <c r="AA7">
        <v>45</v>
      </c>
      <c r="AB7" t="s">
        <v>28</v>
      </c>
      <c r="AC7">
        <v>-18.28</v>
      </c>
      <c r="AD7">
        <v>-17.36</v>
      </c>
      <c r="AE7">
        <v>-16.850000000000001</v>
      </c>
      <c r="AF7">
        <v>0.92</v>
      </c>
      <c r="AG7">
        <v>0.92</v>
      </c>
      <c r="AH7" t="s">
        <v>29</v>
      </c>
      <c r="AI7">
        <v>-29.63</v>
      </c>
      <c r="AJ7">
        <v>-0.97</v>
      </c>
      <c r="AK7">
        <v>0.02</v>
      </c>
      <c r="AL7" t="s">
        <v>30</v>
      </c>
      <c r="AM7">
        <v>-0.43</v>
      </c>
      <c r="AN7">
        <v>-20.34</v>
      </c>
      <c r="AO7">
        <v>0.06</v>
      </c>
      <c r="AP7" t="s">
        <v>31</v>
      </c>
      <c r="AQ7">
        <v>0</v>
      </c>
      <c r="AR7">
        <f t="shared" si="4"/>
        <v>0.94000000000000006</v>
      </c>
      <c r="AS7">
        <f t="shared" si="5"/>
        <v>0.98</v>
      </c>
      <c r="AT7" t="s">
        <v>32</v>
      </c>
      <c r="AU7" t="s">
        <v>53</v>
      </c>
      <c r="AV7">
        <v>-11.42</v>
      </c>
      <c r="AW7">
        <v>-7.75</v>
      </c>
      <c r="AX7">
        <v>-7.19</v>
      </c>
      <c r="AY7">
        <v>0.63</v>
      </c>
      <c r="AZ7">
        <v>0.68</v>
      </c>
      <c r="BA7">
        <v>1.85</v>
      </c>
      <c r="BB7">
        <v>2.19</v>
      </c>
      <c r="BC7">
        <v>0.83</v>
      </c>
      <c r="BD7">
        <v>0.39</v>
      </c>
      <c r="BE7">
        <v>6.26</v>
      </c>
      <c r="BF7">
        <v>7.42</v>
      </c>
      <c r="BG7">
        <v>73</v>
      </c>
      <c r="BH7">
        <v>1</v>
      </c>
      <c r="BI7">
        <v>58</v>
      </c>
      <c r="BJ7">
        <v>0.88</v>
      </c>
      <c r="BK7">
        <v>7.0000000000000007E-2</v>
      </c>
      <c r="BL7">
        <v>0.05</v>
      </c>
      <c r="BM7">
        <v>0</v>
      </c>
      <c r="BP7">
        <f>72.4928564117239/100</f>
        <v>0.72492856411723905</v>
      </c>
    </row>
    <row r="8" spans="1:214">
      <c r="A8" s="40" t="s">
        <v>56</v>
      </c>
      <c r="B8" s="32" t="s">
        <v>39</v>
      </c>
      <c r="C8" s="29" t="s">
        <v>40</v>
      </c>
      <c r="D8" s="18">
        <f>19073900*0.000001</f>
        <v>19.073899999999998</v>
      </c>
      <c r="E8" s="18">
        <f>-0.000000000130401*1000000000000</f>
        <v>-130.40099999999998</v>
      </c>
      <c r="F8" s="17">
        <v>-2.9136399999999999E-11</v>
      </c>
      <c r="G8" s="17">
        <v>9.1775099999999997E-12</v>
      </c>
      <c r="H8" s="17">
        <v>1.12967E-12</v>
      </c>
      <c r="I8" s="33">
        <v>66</v>
      </c>
      <c r="J8" s="18">
        <f t="shared" si="0"/>
        <v>0.31498434947351078</v>
      </c>
      <c r="K8" s="31">
        <f>1/I8</f>
        <v>1.5151515151515152E-2</v>
      </c>
      <c r="L8" s="9">
        <f t="shared" si="1"/>
        <v>29.136399999999998</v>
      </c>
      <c r="M8">
        <v>0.223603</v>
      </c>
      <c r="N8" t="s">
        <v>32</v>
      </c>
      <c r="O8">
        <v>-26.76</v>
      </c>
      <c r="P8">
        <v>-26.44</v>
      </c>
      <c r="Q8">
        <v>-26.31</v>
      </c>
      <c r="R8">
        <v>0.98</v>
      </c>
      <c r="S8">
        <v>0.99</v>
      </c>
      <c r="T8">
        <v>2.4700000000000002</v>
      </c>
      <c r="U8">
        <v>2.4</v>
      </c>
      <c r="V8">
        <v>1.29</v>
      </c>
      <c r="W8">
        <v>1.29</v>
      </c>
      <c r="X8">
        <v>3.54</v>
      </c>
      <c r="Y8">
        <v>3.54</v>
      </c>
      <c r="Z8">
        <v>90</v>
      </c>
      <c r="AA8">
        <v>68</v>
      </c>
      <c r="AB8" t="s">
        <v>28</v>
      </c>
      <c r="AC8">
        <v>-27.85</v>
      </c>
      <c r="AD8">
        <v>-27.2</v>
      </c>
      <c r="AE8">
        <v>-27.08</v>
      </c>
      <c r="AF8">
        <v>0.97</v>
      </c>
      <c r="AG8">
        <v>0.9</v>
      </c>
      <c r="AH8" t="s">
        <v>29</v>
      </c>
      <c r="AI8">
        <v>-20.79</v>
      </c>
      <c r="AJ8">
        <v>-0.15</v>
      </c>
      <c r="AK8">
        <v>0.02</v>
      </c>
      <c r="AL8" t="s">
        <v>30</v>
      </c>
      <c r="AM8">
        <v>-1.27</v>
      </c>
      <c r="AN8">
        <v>-50.28</v>
      </c>
      <c r="AO8">
        <v>7.0000000000000007E-2</v>
      </c>
      <c r="AP8" t="s">
        <v>31</v>
      </c>
      <c r="AQ8">
        <v>0.01</v>
      </c>
      <c r="AR8">
        <f t="shared" si="4"/>
        <v>0.92</v>
      </c>
      <c r="AS8">
        <f t="shared" si="5"/>
        <v>0.97</v>
      </c>
      <c r="AT8" t="s">
        <v>32</v>
      </c>
      <c r="AU8" t="s">
        <v>53</v>
      </c>
      <c r="AV8">
        <v>-18.71</v>
      </c>
      <c r="AW8">
        <v>-11.2</v>
      </c>
      <c r="AX8">
        <v>-11.1</v>
      </c>
      <c r="AY8">
        <v>0.59</v>
      </c>
      <c r="AZ8">
        <v>0.6</v>
      </c>
      <c r="BA8">
        <v>2.34</v>
      </c>
      <c r="BB8">
        <v>2.37</v>
      </c>
      <c r="BC8">
        <v>0.73</v>
      </c>
      <c r="BD8">
        <v>0.59</v>
      </c>
      <c r="BE8">
        <v>3.66</v>
      </c>
      <c r="BF8">
        <v>3.65</v>
      </c>
      <c r="BG8">
        <v>76</v>
      </c>
      <c r="BH8">
        <v>1</v>
      </c>
      <c r="BI8">
        <v>56</v>
      </c>
      <c r="BJ8">
        <v>0.8</v>
      </c>
      <c r="BK8">
        <v>0.17</v>
      </c>
      <c r="BL8">
        <v>0.03</v>
      </c>
      <c r="BM8">
        <v>0</v>
      </c>
      <c r="BP8">
        <f>62.9377885168376/100</f>
        <v>0.62937788516837601</v>
      </c>
    </row>
    <row r="9" spans="1:214">
      <c r="A9" s="40" t="s">
        <v>52</v>
      </c>
      <c r="B9" s="32" t="s">
        <v>33</v>
      </c>
      <c r="C9" s="29" t="s">
        <v>40</v>
      </c>
      <c r="D9" s="18">
        <f>14341800*0.000001</f>
        <v>14.341799999999999</v>
      </c>
      <c r="E9" s="18">
        <f>-0.00000000009398*1000000000000</f>
        <v>-93.97999999999999</v>
      </c>
      <c r="F9" s="17">
        <v>-5.2328500000000002E-11</v>
      </c>
      <c r="G9" s="17">
        <v>1.46395E-11</v>
      </c>
      <c r="H9" s="17">
        <v>2.67279E-12</v>
      </c>
      <c r="I9" s="33">
        <v>30</v>
      </c>
      <c r="J9" s="18">
        <f t="shared" si="0"/>
        <v>0.27976150663596316</v>
      </c>
      <c r="K9" s="31">
        <v>0</v>
      </c>
      <c r="L9" s="9">
        <f t="shared" si="1"/>
        <v>52.328500000000005</v>
      </c>
      <c r="M9" s="21">
        <v>9.1860499999999998E-2</v>
      </c>
      <c r="N9" t="s">
        <v>32</v>
      </c>
      <c r="O9">
        <v>-42.94</v>
      </c>
      <c r="P9">
        <v>-41.79</v>
      </c>
      <c r="Q9">
        <v>-40.22</v>
      </c>
      <c r="R9">
        <v>0.94</v>
      </c>
      <c r="S9">
        <v>0.97</v>
      </c>
      <c r="T9">
        <v>1.63</v>
      </c>
      <c r="U9">
        <v>1.67</v>
      </c>
      <c r="V9">
        <v>0.4</v>
      </c>
      <c r="W9">
        <v>0.4</v>
      </c>
      <c r="X9">
        <v>5.93</v>
      </c>
      <c r="Y9">
        <v>5.93</v>
      </c>
      <c r="Z9">
        <v>92</v>
      </c>
      <c r="AA9">
        <v>38</v>
      </c>
      <c r="AB9" t="s">
        <v>28</v>
      </c>
      <c r="AC9">
        <v>-42.94</v>
      </c>
      <c r="AD9">
        <v>-41.79</v>
      </c>
      <c r="AE9">
        <v>-40.22</v>
      </c>
      <c r="AF9">
        <v>0.94</v>
      </c>
      <c r="AG9">
        <v>0.99</v>
      </c>
      <c r="AH9" t="s">
        <v>29</v>
      </c>
      <c r="AK9">
        <v>0</v>
      </c>
      <c r="AL9" t="s">
        <v>30</v>
      </c>
      <c r="AO9">
        <v>0.01</v>
      </c>
      <c r="AP9" t="s">
        <v>31</v>
      </c>
      <c r="AQ9">
        <v>0</v>
      </c>
      <c r="AR9">
        <f>AG9+AK9</f>
        <v>0.99</v>
      </c>
      <c r="AS9">
        <f>AG9+AO9</f>
        <v>1</v>
      </c>
      <c r="AT9" t="s">
        <v>32</v>
      </c>
      <c r="AU9" t="s">
        <v>53</v>
      </c>
      <c r="AV9">
        <v>-38.402700000000003</v>
      </c>
      <c r="AW9">
        <v>-22.128399999999999</v>
      </c>
      <c r="AX9">
        <v>-22.128399999999999</v>
      </c>
      <c r="AY9">
        <v>0.62</v>
      </c>
      <c r="AZ9">
        <v>0.62</v>
      </c>
      <c r="BA9">
        <v>1.97</v>
      </c>
      <c r="BB9">
        <v>2.16</v>
      </c>
      <c r="BC9">
        <v>0.94</v>
      </c>
      <c r="BD9">
        <v>1.1100000000000001</v>
      </c>
      <c r="BE9">
        <v>2.71</v>
      </c>
      <c r="BF9">
        <v>2.85</v>
      </c>
      <c r="BG9">
        <v>124</v>
      </c>
      <c r="BH9">
        <v>1</v>
      </c>
      <c r="BI9">
        <v>60</v>
      </c>
      <c r="BJ9">
        <v>0.93</v>
      </c>
      <c r="BK9">
        <v>0.06</v>
      </c>
      <c r="BL9">
        <v>0.02</v>
      </c>
      <c r="BM9">
        <v>0</v>
      </c>
      <c r="BP9">
        <f>94.1016255908384/100</f>
        <v>0.941016255908384</v>
      </c>
    </row>
    <row r="10" spans="1:214" s="35" customFormat="1">
      <c r="A10" s="51" t="s">
        <v>54</v>
      </c>
      <c r="B10" s="82" t="s">
        <v>39</v>
      </c>
      <c r="C10" s="35" t="s">
        <v>40</v>
      </c>
      <c r="D10" s="83">
        <v>9.8978300000000008</v>
      </c>
      <c r="E10" s="20">
        <f>-0.0000000000682516*1000000000000</f>
        <v>-68.251599999999996</v>
      </c>
      <c r="F10" s="84">
        <v>-1.34691E-11</v>
      </c>
      <c r="G10" s="84">
        <v>7.2217899999999997E-12</v>
      </c>
      <c r="H10" s="84">
        <v>8.6316899999999997E-13</v>
      </c>
      <c r="I10" s="85">
        <v>70</v>
      </c>
      <c r="J10" s="20">
        <f t="shared" si="0"/>
        <v>0.53617465160998135</v>
      </c>
      <c r="K10" s="19">
        <f>6/I10</f>
        <v>8.5714285714285715E-2</v>
      </c>
      <c r="L10" s="19">
        <f t="shared" si="1"/>
        <v>13.469100000000001</v>
      </c>
      <c r="M10" s="83">
        <v>0.61608399999999996</v>
      </c>
      <c r="N10" s="35" t="s">
        <v>32</v>
      </c>
      <c r="O10" s="35">
        <v>-10.78</v>
      </c>
      <c r="P10" s="35">
        <v>-14.04</v>
      </c>
      <c r="R10" s="35">
        <v>1.3</v>
      </c>
      <c r="S10" s="35">
        <v>1.3</v>
      </c>
      <c r="T10" s="35">
        <v>3.23</v>
      </c>
      <c r="U10" s="35">
        <v>2.76</v>
      </c>
      <c r="V10" s="35">
        <v>2.72</v>
      </c>
      <c r="W10" s="35">
        <v>2.72</v>
      </c>
      <c r="X10" s="35">
        <v>2.88</v>
      </c>
      <c r="Y10" s="35">
        <v>2.88</v>
      </c>
      <c r="Z10" s="35">
        <v>71</v>
      </c>
      <c r="AA10" s="35">
        <v>42</v>
      </c>
      <c r="AB10" s="35" t="s">
        <v>28</v>
      </c>
      <c r="AC10" s="35">
        <v>-12.27</v>
      </c>
      <c r="AD10" s="35">
        <v>-13.46</v>
      </c>
      <c r="AF10" s="35">
        <v>0.86</v>
      </c>
      <c r="AG10" s="35">
        <v>0.86</v>
      </c>
      <c r="AH10" s="35" t="s">
        <v>29</v>
      </c>
      <c r="AI10" s="35">
        <v>-17.29</v>
      </c>
      <c r="AJ10" s="35">
        <v>-0.35</v>
      </c>
      <c r="AK10" s="35">
        <v>0.06</v>
      </c>
      <c r="AL10" s="35" t="s">
        <v>30</v>
      </c>
      <c r="AM10" s="35">
        <v>-2.1</v>
      </c>
      <c r="AN10" s="35">
        <v>-22.11</v>
      </c>
      <c r="AO10" s="35">
        <v>0.08</v>
      </c>
      <c r="AP10" s="35" t="s">
        <v>31</v>
      </c>
      <c r="AQ10" s="35">
        <v>0</v>
      </c>
      <c r="AR10" s="35">
        <f>AG10+AK10</f>
        <v>0.91999999999999993</v>
      </c>
      <c r="AS10" s="35">
        <f>AG10+AO10</f>
        <v>0.94</v>
      </c>
      <c r="AT10" s="35" t="s">
        <v>32</v>
      </c>
      <c r="AU10" s="35" t="s">
        <v>53</v>
      </c>
      <c r="AV10" s="35">
        <v>-7.38</v>
      </c>
      <c r="AW10" s="35">
        <v>-4.49</v>
      </c>
      <c r="AZ10" s="35">
        <v>0.61</v>
      </c>
      <c r="BA10" s="35">
        <v>2.65</v>
      </c>
      <c r="BB10" s="35">
        <v>2.61</v>
      </c>
      <c r="BC10" s="35">
        <v>0.61</v>
      </c>
      <c r="BD10" s="35">
        <v>4.29</v>
      </c>
      <c r="BE10" s="35">
        <v>4.9800000000000004</v>
      </c>
      <c r="BF10" s="35">
        <v>1.6</v>
      </c>
      <c r="BG10" s="35">
        <v>56</v>
      </c>
      <c r="BH10" s="35">
        <v>1</v>
      </c>
      <c r="BI10" s="35">
        <v>39</v>
      </c>
      <c r="BJ10" s="35">
        <v>0.59</v>
      </c>
      <c r="BK10" s="35">
        <v>0.21</v>
      </c>
      <c r="BL10" s="35">
        <v>0.18</v>
      </c>
      <c r="BM10" s="35">
        <v>0.02</v>
      </c>
      <c r="BP10" s="35">
        <f>66.1571574139081/100</f>
        <v>0.66157157413908096</v>
      </c>
    </row>
    <row r="11" spans="1:214" s="23" customFormat="1">
      <c r="A11" s="25" t="s">
        <v>48</v>
      </c>
      <c r="B11" s="55"/>
      <c r="D11" s="86">
        <f>AVERAGE(D5:D10)</f>
        <v>14.345071666666664</v>
      </c>
      <c r="E11" s="86">
        <f>AVERAGE(E5:E10)</f>
        <v>-102.02325</v>
      </c>
      <c r="F11" s="87">
        <f>AVERAGE(F5:F10)</f>
        <v>-2.246225166666667E-11</v>
      </c>
      <c r="G11" s="57"/>
      <c r="H11" s="57"/>
      <c r="I11" s="58"/>
      <c r="J11" s="24"/>
      <c r="K11" s="59"/>
      <c r="L11" s="59"/>
      <c r="M11" s="56"/>
      <c r="BN11" s="91"/>
      <c r="BP11" s="91">
        <f>AVERAGE(BP5:BP10)</f>
        <v>0.66012743883039393</v>
      </c>
    </row>
    <row r="12" spans="1:214" s="23" customFormat="1">
      <c r="A12" s="25" t="s">
        <v>50</v>
      </c>
      <c r="B12" s="55"/>
      <c r="D12" s="88">
        <f>STDEV(D5:D10)/SQRT(D16)</f>
        <v>1.5763622472651344</v>
      </c>
      <c r="E12" s="88">
        <f>STDEV(E5:E10)/SQRT(E16)</f>
        <v>10.833686057532136</v>
      </c>
      <c r="F12" s="24">
        <f>STDEV(F5:F10)/SQRT(F16)</f>
        <v>6.6247909278710658E-12</v>
      </c>
      <c r="G12" s="57"/>
      <c r="H12" s="57"/>
      <c r="I12" s="58"/>
      <c r="J12" s="24"/>
      <c r="K12" s="59"/>
      <c r="L12" s="59"/>
      <c r="M12" s="56"/>
      <c r="BN12" s="92"/>
      <c r="BP12" s="92">
        <f>STDEV(BP5:BP10)/SQRT(BP16)</f>
        <v>7.9772373408794853E-2</v>
      </c>
    </row>
    <row r="13" spans="1:214" s="29" customFormat="1">
      <c r="A13" s="53" t="s">
        <v>36</v>
      </c>
      <c r="B13" s="32"/>
      <c r="D13" s="89">
        <f>MEDIAN(D5:D10)</f>
        <v>14.54935</v>
      </c>
      <c r="E13" s="89">
        <f>MEDIAN(E5:E10)</f>
        <v>-95.243449999999996</v>
      </c>
      <c r="F13" s="90">
        <f>MEDIAN(F5:F10)</f>
        <v>-1.5768E-11</v>
      </c>
      <c r="G13" s="36"/>
      <c r="H13" s="36"/>
      <c r="I13" s="37"/>
      <c r="J13" s="33"/>
      <c r="K13" s="31"/>
      <c r="L13" s="31"/>
      <c r="M13" s="38"/>
      <c r="BN13" s="93"/>
      <c r="BO13" s="23"/>
      <c r="BP13" s="93">
        <f>MEDIAN(BP5:BP10)</f>
        <v>0.66602527863325001</v>
      </c>
    </row>
    <row r="14" spans="1:214" s="29" customFormat="1">
      <c r="A14" s="52" t="s">
        <v>37</v>
      </c>
      <c r="B14" s="32"/>
      <c r="D14" s="88">
        <f>QUARTILE((D5:D10),3)</f>
        <v>17.189225</v>
      </c>
      <c r="E14" s="88">
        <f>QUARTILE((E5:E10),3)</f>
        <v>-87.995000000000005</v>
      </c>
      <c r="F14" s="24">
        <f>QUARTILE((F5:F10),3)</f>
        <v>-1.3509800000000001E-11</v>
      </c>
      <c r="G14" s="36"/>
      <c r="H14" s="36"/>
      <c r="I14" s="37"/>
      <c r="J14" s="33"/>
      <c r="K14" s="31"/>
      <c r="L14" s="31"/>
      <c r="M14" s="38"/>
      <c r="BN14" s="92"/>
      <c r="BO14" s="23"/>
      <c r="BP14" s="92">
        <f>QUARTILE((BP5:BP10),3)</f>
        <v>0.71131616886978399</v>
      </c>
    </row>
    <row r="15" spans="1:214" s="29" customFormat="1">
      <c r="A15" s="52" t="s">
        <v>38</v>
      </c>
      <c r="B15" s="32"/>
      <c r="D15" s="88">
        <f>QUARTILE((D5:D10),1)</f>
        <v>11.08545</v>
      </c>
      <c r="E15" s="88">
        <f>QUARTILE((E5:E10),1)</f>
        <v>-121.92747499999999</v>
      </c>
      <c r="F15" s="24">
        <f>QUARTILE((F5:F10),1)</f>
        <v>-2.6328324999999997E-11</v>
      </c>
      <c r="G15" s="36"/>
      <c r="H15" s="36"/>
      <c r="I15" s="37"/>
      <c r="J15" s="33"/>
      <c r="K15" s="31"/>
      <c r="L15" s="31"/>
      <c r="M15" s="38"/>
      <c r="BN15" s="92"/>
      <c r="BO15" s="23"/>
      <c r="BP15" s="92">
        <f>QUARTILE((BP5:BP10),1)</f>
        <v>0.63742630741105222</v>
      </c>
    </row>
    <row r="16" spans="1:214" s="23" customFormat="1">
      <c r="A16" s="25" t="s">
        <v>5</v>
      </c>
      <c r="B16" s="55"/>
      <c r="D16" s="24">
        <f>COUNT((D5:D10))</f>
        <v>6</v>
      </c>
      <c r="E16" s="24">
        <f>COUNT((E5:E10))</f>
        <v>6</v>
      </c>
      <c r="F16" s="24">
        <f>COUNT((F5:F10))</f>
        <v>6</v>
      </c>
      <c r="G16" s="57"/>
      <c r="H16" s="57"/>
      <c r="I16" s="58"/>
      <c r="J16" s="24"/>
      <c r="K16" s="59"/>
      <c r="L16" s="59"/>
      <c r="M16" s="56"/>
      <c r="BN16" s="24"/>
      <c r="BP16" s="24">
        <f>COUNT((BP5:BP10))</f>
        <v>6</v>
      </c>
    </row>
    <row r="17" spans="1:153" s="10" customFormat="1">
      <c r="A17" s="51" t="s">
        <v>79</v>
      </c>
      <c r="B17" s="12" t="s">
        <v>80</v>
      </c>
      <c r="C17" s="10" t="s">
        <v>81</v>
      </c>
      <c r="D17" s="10" t="s">
        <v>34</v>
      </c>
      <c r="E17" s="10" t="s">
        <v>35</v>
      </c>
      <c r="F17" s="11" t="s">
        <v>41</v>
      </c>
      <c r="G17" s="11" t="s">
        <v>3</v>
      </c>
      <c r="H17" s="11" t="s">
        <v>4</v>
      </c>
      <c r="I17" s="19" t="s">
        <v>5</v>
      </c>
      <c r="J17" s="19" t="s">
        <v>6</v>
      </c>
      <c r="K17" s="19" t="s">
        <v>7</v>
      </c>
      <c r="L17" s="19" t="s">
        <v>42</v>
      </c>
      <c r="M17" s="11" t="s">
        <v>49</v>
      </c>
      <c r="N17" s="35"/>
      <c r="O17" s="12" t="s">
        <v>8</v>
      </c>
      <c r="P17" s="12" t="s">
        <v>11</v>
      </c>
      <c r="Q17" s="10" t="s">
        <v>9</v>
      </c>
      <c r="R17" s="10" t="s">
        <v>18</v>
      </c>
      <c r="S17" s="10" t="s">
        <v>19</v>
      </c>
      <c r="T17" s="10" t="s">
        <v>20</v>
      </c>
      <c r="U17" s="10" t="s">
        <v>21</v>
      </c>
      <c r="V17" s="10" t="s">
        <v>22</v>
      </c>
      <c r="W17" s="10" t="s">
        <v>23</v>
      </c>
      <c r="X17" s="10" t="s">
        <v>24</v>
      </c>
      <c r="Y17" s="10" t="s">
        <v>25</v>
      </c>
      <c r="Z17" s="10" t="s">
        <v>47</v>
      </c>
      <c r="AA17" s="10" t="s">
        <v>12</v>
      </c>
      <c r="AC17" s="12" t="s">
        <v>8</v>
      </c>
      <c r="AD17" s="12" t="s">
        <v>11</v>
      </c>
      <c r="AE17" s="10" t="s">
        <v>9</v>
      </c>
      <c r="AF17" s="10" t="s">
        <v>18</v>
      </c>
      <c r="AG17" s="10" t="s">
        <v>27</v>
      </c>
      <c r="AI17" s="12" t="s">
        <v>8</v>
      </c>
      <c r="AJ17" s="12" t="s">
        <v>11</v>
      </c>
      <c r="AK17" s="10" t="s">
        <v>27</v>
      </c>
      <c r="AM17" s="12" t="s">
        <v>8</v>
      </c>
      <c r="AN17" s="12" t="s">
        <v>11</v>
      </c>
      <c r="AO17" s="10" t="s">
        <v>27</v>
      </c>
      <c r="AQ17" s="10" t="s">
        <v>27</v>
      </c>
      <c r="AR17" s="10" t="s">
        <v>43</v>
      </c>
      <c r="AS17" s="10" t="s">
        <v>44</v>
      </c>
      <c r="AV17" s="12" t="s">
        <v>8</v>
      </c>
      <c r="AW17" s="12" t="s">
        <v>11</v>
      </c>
      <c r="AX17" s="10" t="s">
        <v>9</v>
      </c>
      <c r="AY17" s="10" t="s">
        <v>18</v>
      </c>
      <c r="AZ17" s="10" t="s">
        <v>19</v>
      </c>
      <c r="BA17" s="10" t="s">
        <v>20</v>
      </c>
      <c r="BB17" s="10" t="s">
        <v>21</v>
      </c>
      <c r="BC17" s="10" t="s">
        <v>22</v>
      </c>
      <c r="BD17" s="10" t="s">
        <v>23</v>
      </c>
      <c r="BE17" s="10" t="s">
        <v>24</v>
      </c>
      <c r="BF17" s="10" t="s">
        <v>25</v>
      </c>
      <c r="BG17" s="10" t="s">
        <v>26</v>
      </c>
      <c r="BH17" s="10" t="s">
        <v>27</v>
      </c>
      <c r="BI17" s="10" t="s">
        <v>12</v>
      </c>
      <c r="BJ17" s="10" t="s">
        <v>13</v>
      </c>
      <c r="BK17" s="10" t="s">
        <v>14</v>
      </c>
      <c r="BL17" s="10" t="s">
        <v>15</v>
      </c>
      <c r="BM17" s="10" t="s">
        <v>16</v>
      </c>
      <c r="BN17" s="10" t="s">
        <v>96</v>
      </c>
      <c r="BO17" s="10" t="s">
        <v>78</v>
      </c>
      <c r="BP17" s="10" t="s">
        <v>64</v>
      </c>
      <c r="BT17" s="12"/>
      <c r="CB17" s="12"/>
      <c r="CJ17" s="12"/>
      <c r="DC17" s="13"/>
      <c r="DE17" s="14"/>
      <c r="DF17" s="14"/>
      <c r="DG17" s="14"/>
      <c r="DH17" s="14"/>
      <c r="DI17" s="15"/>
      <c r="DJ17" s="14"/>
      <c r="DK17" s="14"/>
      <c r="DL17" s="14"/>
      <c r="DM17" s="14"/>
      <c r="DN17" s="14"/>
      <c r="DO17" s="14"/>
      <c r="DP17" s="14"/>
      <c r="DU17" s="12"/>
      <c r="DV17" s="14"/>
      <c r="DW17" s="14"/>
      <c r="DX17" s="14"/>
      <c r="DY17" s="14"/>
      <c r="DZ17" s="14"/>
      <c r="EA17" s="14"/>
      <c r="EH17" s="12"/>
      <c r="EQ17" s="12"/>
      <c r="EW17" s="16"/>
    </row>
    <row r="18" spans="1:153" s="29" customFormat="1">
      <c r="A18" s="40" t="s">
        <v>57</v>
      </c>
      <c r="B18" s="32" t="s">
        <v>33</v>
      </c>
      <c r="C18" s="29" t="s">
        <v>84</v>
      </c>
      <c r="D18" s="33">
        <f>14544300*0.000001</f>
        <v>14.5443</v>
      </c>
      <c r="E18" s="33">
        <f>-0.0000000000742557*1000000000000</f>
        <v>-74.25569999999999</v>
      </c>
      <c r="F18" s="36">
        <v>-1.56571E-11</v>
      </c>
      <c r="G18" s="36">
        <v>7.2005199999999997E-12</v>
      </c>
      <c r="H18" s="36">
        <v>9.0718100000000005E-13</v>
      </c>
      <c r="I18" s="37">
        <v>63</v>
      </c>
      <c r="J18" s="33">
        <f t="shared" ref="J18:J23" si="6">-G18/F18</f>
        <v>0.45988848509621832</v>
      </c>
      <c r="K18" s="31">
        <f>5/I18</f>
        <v>7.9365079365079361E-2</v>
      </c>
      <c r="L18" s="31">
        <f t="shared" ref="L18:L23" si="7">F18*-1000000000000</f>
        <v>15.6571</v>
      </c>
      <c r="M18" s="38">
        <v>0.42204000000000003</v>
      </c>
      <c r="N18" s="29" t="s">
        <v>32</v>
      </c>
      <c r="O18" s="29">
        <v>-14.85</v>
      </c>
      <c r="P18" s="29">
        <v>-13.48</v>
      </c>
      <c r="R18" s="29">
        <v>0.91</v>
      </c>
      <c r="S18" s="29">
        <v>0.91</v>
      </c>
      <c r="T18" s="29">
        <v>3.04</v>
      </c>
      <c r="U18" s="29">
        <v>2.97</v>
      </c>
      <c r="V18" s="29">
        <v>0.95</v>
      </c>
      <c r="W18" s="29">
        <v>20.87</v>
      </c>
      <c r="X18" s="29">
        <v>5.88</v>
      </c>
      <c r="Y18" s="29">
        <v>1.98</v>
      </c>
      <c r="Z18" s="29">
        <v>10</v>
      </c>
      <c r="AA18" s="29">
        <v>7</v>
      </c>
      <c r="AB18" s="29" t="s">
        <v>28</v>
      </c>
      <c r="AC18" s="29">
        <v>-14.81</v>
      </c>
      <c r="AD18" s="29">
        <v>-13.46</v>
      </c>
      <c r="AG18" s="29">
        <v>0.91</v>
      </c>
      <c r="AH18" s="29" t="s">
        <v>29</v>
      </c>
      <c r="AK18" s="29">
        <v>0</v>
      </c>
      <c r="AL18" s="29" t="s">
        <v>30</v>
      </c>
      <c r="AO18" s="29">
        <v>0</v>
      </c>
      <c r="AP18" s="29" t="s">
        <v>31</v>
      </c>
      <c r="AQ18" s="29">
        <v>0</v>
      </c>
      <c r="AR18" s="29">
        <f t="shared" ref="AR18:AR23" si="8">AG18+AK18</f>
        <v>0.91</v>
      </c>
      <c r="AS18" s="29">
        <f t="shared" ref="AS18:AS23" si="9">AG18+AO18</f>
        <v>0.91</v>
      </c>
      <c r="AT18" s="29" t="s">
        <v>32</v>
      </c>
      <c r="AU18" s="29" t="s">
        <v>53</v>
      </c>
      <c r="AV18" s="29">
        <v>-13.16</v>
      </c>
      <c r="AW18" s="29">
        <v>-12.94</v>
      </c>
      <c r="AZ18" s="29">
        <v>0.98</v>
      </c>
      <c r="BA18" s="29">
        <v>3.05</v>
      </c>
      <c r="BB18" s="29">
        <v>3.01</v>
      </c>
      <c r="BC18" s="29">
        <v>1.1000000000000001</v>
      </c>
      <c r="BD18" s="29">
        <v>1.48</v>
      </c>
      <c r="BE18" s="29">
        <v>5.65</v>
      </c>
      <c r="BF18" s="29">
        <v>3.92</v>
      </c>
      <c r="BG18" s="29">
        <v>41</v>
      </c>
      <c r="BH18" s="29">
        <v>1</v>
      </c>
      <c r="BI18" s="29">
        <v>35</v>
      </c>
      <c r="BJ18" s="29">
        <v>0.93</v>
      </c>
      <c r="BK18" s="29">
        <v>0.02</v>
      </c>
      <c r="BL18" s="29">
        <v>0.05</v>
      </c>
      <c r="BM18" s="29">
        <v>0</v>
      </c>
      <c r="BN18" s="33"/>
      <c r="BO18" s="29">
        <v>1.09395</v>
      </c>
      <c r="BP18" s="29">
        <f>89.6805672619786/100</f>
        <v>0.89680567261978594</v>
      </c>
    </row>
    <row r="19" spans="1:153" s="29" customFormat="1">
      <c r="A19" s="40" t="s">
        <v>59</v>
      </c>
      <c r="B19" s="32" t="s">
        <v>33</v>
      </c>
      <c r="C19" s="29" t="s">
        <v>84</v>
      </c>
      <c r="D19" s="33">
        <f>12389100*0.000001</f>
        <v>12.389099999999999</v>
      </c>
      <c r="E19" s="33">
        <f>-0.0000000000182354*1000000000000</f>
        <v>-18.235400000000002</v>
      </c>
      <c r="F19" s="36">
        <v>-1.0956900000000001E-11</v>
      </c>
      <c r="G19" s="36">
        <v>5.8803600000000002E-12</v>
      </c>
      <c r="H19" s="36">
        <v>7.7212999999999996E-13</v>
      </c>
      <c r="I19" s="37">
        <v>58</v>
      </c>
      <c r="J19" s="33">
        <f t="shared" si="6"/>
        <v>0.53668099553705884</v>
      </c>
      <c r="K19" s="31">
        <f>4/I19</f>
        <v>6.8965517241379309E-2</v>
      </c>
      <c r="L19" s="31">
        <f t="shared" si="7"/>
        <v>10.956900000000001</v>
      </c>
      <c r="M19" s="38">
        <v>0.60333999999999999</v>
      </c>
      <c r="N19" s="29" t="s">
        <v>32</v>
      </c>
      <c r="O19" s="29">
        <v>-10.14</v>
      </c>
      <c r="P19" s="29">
        <v>-5.43</v>
      </c>
      <c r="R19" s="29">
        <v>0.54</v>
      </c>
      <c r="S19" s="29">
        <v>0.54</v>
      </c>
      <c r="T19" s="29">
        <v>2.2000000000000002</v>
      </c>
      <c r="U19" s="29">
        <v>2.2999999999999998</v>
      </c>
      <c r="V19" s="29">
        <v>0.28000000000000003</v>
      </c>
      <c r="W19" s="29">
        <v>8.9600000000000009</v>
      </c>
      <c r="X19" s="29">
        <v>15.17</v>
      </c>
      <c r="Y19" s="29">
        <v>1.86</v>
      </c>
      <c r="Z19" s="29">
        <v>11</v>
      </c>
      <c r="AA19" s="29">
        <v>5</v>
      </c>
      <c r="AB19" s="29" t="s">
        <v>28</v>
      </c>
      <c r="AC19" s="29">
        <v>-10.1</v>
      </c>
      <c r="AD19" s="29">
        <v>-5.36</v>
      </c>
      <c r="AG19" s="29">
        <v>0.53</v>
      </c>
      <c r="AH19" s="29" t="s">
        <v>29</v>
      </c>
      <c r="AK19" s="29">
        <v>0.27</v>
      </c>
      <c r="AL19" s="29" t="s">
        <v>30</v>
      </c>
      <c r="AO19" s="29">
        <v>0</v>
      </c>
      <c r="AP19" s="29" t="s">
        <v>31</v>
      </c>
      <c r="AQ19" s="29">
        <v>0</v>
      </c>
      <c r="AR19" s="29">
        <f t="shared" si="8"/>
        <v>0.8</v>
      </c>
      <c r="AS19" s="29">
        <f t="shared" si="9"/>
        <v>0.53</v>
      </c>
      <c r="AT19" s="29" t="s">
        <v>32</v>
      </c>
      <c r="AU19" s="29" t="s">
        <v>53</v>
      </c>
      <c r="AV19" s="29">
        <v>-5.36</v>
      </c>
      <c r="AW19" s="29">
        <v>-1.46</v>
      </c>
      <c r="AZ19" s="29">
        <v>0.27</v>
      </c>
      <c r="BA19" s="29">
        <v>2.12</v>
      </c>
      <c r="BB19" s="29">
        <v>2.15</v>
      </c>
      <c r="BC19" s="29">
        <v>0.57999999999999996</v>
      </c>
      <c r="BD19" s="29">
        <v>0.71</v>
      </c>
      <c r="BE19" s="29">
        <v>3.1</v>
      </c>
      <c r="BF19" s="29">
        <v>3.42</v>
      </c>
      <c r="BG19" s="29">
        <v>40</v>
      </c>
      <c r="BH19" s="29">
        <v>1</v>
      </c>
      <c r="BI19" s="29">
        <v>24</v>
      </c>
      <c r="BJ19" s="29">
        <v>0.53</v>
      </c>
      <c r="BK19" s="29">
        <v>0.25</v>
      </c>
      <c r="BL19" s="29">
        <v>0.08</v>
      </c>
      <c r="BM19" s="29">
        <v>0.15</v>
      </c>
      <c r="BN19" s="33"/>
      <c r="BO19" s="29">
        <v>0.99513399999999996</v>
      </c>
      <c r="BP19" s="29">
        <f>66.1662656985821/100</f>
        <v>0.66166265698582094</v>
      </c>
    </row>
    <row r="20" spans="1:153" s="29" customFormat="1">
      <c r="A20" s="40" t="s">
        <v>60</v>
      </c>
      <c r="B20" s="32" t="s">
        <v>33</v>
      </c>
      <c r="C20" s="29" t="s">
        <v>84</v>
      </c>
      <c r="D20" s="38">
        <v>18.356100000000001</v>
      </c>
      <c r="E20" s="33">
        <f>-0.000000000128987*1000000000000</f>
        <v>-128.98700000000002</v>
      </c>
      <c r="F20" s="36">
        <v>-5.4374400000000002E-11</v>
      </c>
      <c r="G20" s="36">
        <v>1.7255400000000001E-11</v>
      </c>
      <c r="H20" s="36">
        <v>2.8758999999999999E-12</v>
      </c>
      <c r="I20" s="37">
        <v>36</v>
      </c>
      <c r="J20" s="33">
        <f t="shared" si="6"/>
        <v>0.3173441913841808</v>
      </c>
      <c r="K20" s="31">
        <v>0</v>
      </c>
      <c r="L20" s="31">
        <f t="shared" si="7"/>
        <v>54.374400000000001</v>
      </c>
      <c r="M20" s="38">
        <v>0.198186</v>
      </c>
      <c r="N20" s="29" t="s">
        <v>32</v>
      </c>
      <c r="O20" s="29">
        <v>-45.7</v>
      </c>
      <c r="P20" s="29">
        <v>-47.29</v>
      </c>
      <c r="Q20" s="29">
        <v>-44.41</v>
      </c>
      <c r="R20" s="29">
        <v>0.97</v>
      </c>
      <c r="S20" s="29">
        <v>1.03</v>
      </c>
      <c r="T20" s="29">
        <v>2.4300000000000002</v>
      </c>
      <c r="U20" s="29">
        <v>2.25</v>
      </c>
      <c r="V20" s="29">
        <v>1.45</v>
      </c>
      <c r="W20" s="29">
        <v>1.22</v>
      </c>
      <c r="X20" s="29">
        <v>6.59</v>
      </c>
      <c r="Y20" s="29">
        <v>6.41</v>
      </c>
      <c r="Z20" s="29">
        <v>11</v>
      </c>
      <c r="AA20" s="29">
        <v>8</v>
      </c>
      <c r="AB20" s="29" t="s">
        <v>28</v>
      </c>
      <c r="AC20" s="29">
        <v>-45.7</v>
      </c>
      <c r="AD20" s="29">
        <v>-47.29</v>
      </c>
      <c r="AE20" s="29">
        <v>-44.41</v>
      </c>
      <c r="AF20" s="29">
        <v>0.97</v>
      </c>
      <c r="AG20" s="29">
        <v>1</v>
      </c>
      <c r="AH20" s="29" t="s">
        <v>29</v>
      </c>
      <c r="AK20" s="29">
        <v>0</v>
      </c>
      <c r="AL20" s="29" t="s">
        <v>30</v>
      </c>
      <c r="AO20" s="29">
        <v>0</v>
      </c>
      <c r="AP20" s="29" t="s">
        <v>31</v>
      </c>
      <c r="AQ20" s="29">
        <v>0</v>
      </c>
      <c r="AR20" s="29">
        <f t="shared" si="8"/>
        <v>1</v>
      </c>
      <c r="AS20" s="29">
        <f t="shared" si="9"/>
        <v>1</v>
      </c>
      <c r="AT20" s="29" t="s">
        <v>32</v>
      </c>
      <c r="AU20" s="29" t="s">
        <v>53</v>
      </c>
      <c r="AV20" s="29">
        <v>-72.92</v>
      </c>
      <c r="AW20" s="29">
        <v>-48.5</v>
      </c>
      <c r="AX20" s="29">
        <v>-45.59</v>
      </c>
      <c r="AY20" s="29">
        <v>0.63</v>
      </c>
      <c r="AZ20" s="29">
        <v>0.67</v>
      </c>
      <c r="BA20" s="29">
        <v>2.27</v>
      </c>
      <c r="BB20" s="29">
        <v>2.21</v>
      </c>
      <c r="BC20" s="29">
        <v>1.07</v>
      </c>
      <c r="BD20" s="29">
        <v>1.06</v>
      </c>
      <c r="BE20" s="29">
        <v>5.89</v>
      </c>
      <c r="BF20" s="29">
        <v>6.34</v>
      </c>
      <c r="BG20" s="29">
        <v>57</v>
      </c>
      <c r="BH20" s="29">
        <v>1</v>
      </c>
      <c r="BI20" s="29">
        <v>53</v>
      </c>
      <c r="BJ20" s="29">
        <v>1</v>
      </c>
      <c r="BK20" s="29">
        <v>0</v>
      </c>
      <c r="BL20" s="29">
        <v>0</v>
      </c>
      <c r="BM20" s="29">
        <v>0</v>
      </c>
      <c r="BN20" s="33"/>
      <c r="BO20" s="29">
        <v>1.25135</v>
      </c>
      <c r="BP20" s="29">
        <f>144.955878719067/100</f>
        <v>1.4495587871906699</v>
      </c>
    </row>
    <row r="21" spans="1:153" s="29" customFormat="1">
      <c r="A21" s="40" t="s">
        <v>61</v>
      </c>
      <c r="B21" s="32" t="s">
        <v>39</v>
      </c>
      <c r="C21" s="29" t="s">
        <v>84</v>
      </c>
      <c r="D21" s="38">
        <f>20620500*0.000001</f>
        <v>20.6205</v>
      </c>
      <c r="E21" s="33">
        <f>-0.0000000000947786*1000000000000</f>
        <v>-94.778599999999997</v>
      </c>
      <c r="F21" s="36">
        <v>-1.12716E-11</v>
      </c>
      <c r="G21" s="36">
        <v>8.2888499999999998E-12</v>
      </c>
      <c r="H21" s="36">
        <v>1.0700899999999999E-12</v>
      </c>
      <c r="I21" s="37">
        <v>60</v>
      </c>
      <c r="J21" s="33">
        <f t="shared" si="6"/>
        <v>0.73537474715213458</v>
      </c>
      <c r="K21" s="31">
        <f>9/60</f>
        <v>0.15</v>
      </c>
      <c r="L21" s="31">
        <f t="shared" si="7"/>
        <v>11.271599999999999</v>
      </c>
      <c r="M21" s="38">
        <v>0.67110899999999996</v>
      </c>
      <c r="N21" s="29" t="s">
        <v>32</v>
      </c>
      <c r="O21" s="29">
        <v>-13.38</v>
      </c>
      <c r="P21" s="29">
        <v>-15.76</v>
      </c>
      <c r="Q21" s="29">
        <v>-15.55</v>
      </c>
      <c r="R21" s="29">
        <v>1.1599999999999999</v>
      </c>
      <c r="S21" s="29">
        <v>1.18</v>
      </c>
      <c r="T21" s="29">
        <v>3.35</v>
      </c>
      <c r="U21" s="29">
        <v>3.2</v>
      </c>
      <c r="V21" s="29">
        <v>2.04</v>
      </c>
      <c r="W21" s="29">
        <v>1.71</v>
      </c>
      <c r="X21" s="29">
        <v>4.41</v>
      </c>
      <c r="Y21" s="29">
        <v>5.87</v>
      </c>
      <c r="Z21" s="29">
        <v>22</v>
      </c>
      <c r="AA21" s="29">
        <v>17</v>
      </c>
      <c r="AB21" s="29" t="s">
        <v>28</v>
      </c>
      <c r="AC21" s="29">
        <v>-13.99</v>
      </c>
      <c r="AD21" s="29">
        <v>-16.79</v>
      </c>
      <c r="AE21" s="29">
        <v>-16.45</v>
      </c>
      <c r="AF21" s="29">
        <v>1.18</v>
      </c>
      <c r="AG21" s="29">
        <v>0.82</v>
      </c>
      <c r="AH21" s="29" t="s">
        <v>29</v>
      </c>
      <c r="AI21" s="29">
        <v>-30.59</v>
      </c>
      <c r="AJ21" s="29">
        <v>9.3699999999999992</v>
      </c>
      <c r="AK21" s="29">
        <v>0.09</v>
      </c>
      <c r="AL21" s="29" t="s">
        <v>30</v>
      </c>
      <c r="AM21" s="29">
        <v>1.75</v>
      </c>
      <c r="AN21" s="29">
        <v>-18.64</v>
      </c>
      <c r="AO21" s="29">
        <v>0.09</v>
      </c>
      <c r="AP21" s="29" t="s">
        <v>31</v>
      </c>
      <c r="AQ21" s="29">
        <v>0</v>
      </c>
      <c r="AR21" s="29">
        <f t="shared" si="8"/>
        <v>0.90999999999999992</v>
      </c>
      <c r="AS21" s="29">
        <f t="shared" si="9"/>
        <v>0.90999999999999992</v>
      </c>
      <c r="AT21" s="29" t="s">
        <v>32</v>
      </c>
      <c r="AU21" s="29" t="s">
        <v>53</v>
      </c>
      <c r="AV21" s="29">
        <v>-9.2200000000000006</v>
      </c>
      <c r="AW21" s="29">
        <v>-12.7</v>
      </c>
      <c r="AX21" s="29">
        <v>-12.24</v>
      </c>
      <c r="AY21" s="29">
        <v>1.33</v>
      </c>
      <c r="AZ21" s="29">
        <v>1.38</v>
      </c>
      <c r="BA21" s="29">
        <v>3.53</v>
      </c>
      <c r="BB21" s="29">
        <v>3.21</v>
      </c>
      <c r="BC21" s="29">
        <v>0.86</v>
      </c>
      <c r="BD21" s="29">
        <v>2.4900000000000002</v>
      </c>
      <c r="BE21" s="29">
        <v>6.49</v>
      </c>
      <c r="BF21" s="29">
        <v>4.0999999999999996</v>
      </c>
      <c r="BG21" s="29">
        <v>47</v>
      </c>
      <c r="BH21" s="29">
        <v>1</v>
      </c>
      <c r="BI21" s="29">
        <v>44</v>
      </c>
      <c r="BJ21" s="29">
        <v>0.85</v>
      </c>
      <c r="BK21" s="29">
        <v>0.04</v>
      </c>
      <c r="BL21" s="29">
        <v>0.11</v>
      </c>
      <c r="BM21" s="29">
        <v>0</v>
      </c>
      <c r="BN21" s="33"/>
      <c r="BO21" s="29">
        <v>1.42567</v>
      </c>
      <c r="BP21" s="29">
        <f>74.6694211802289/100</f>
        <v>0.7466942118022889</v>
      </c>
    </row>
    <row r="22" spans="1:153" s="29" customFormat="1">
      <c r="A22" s="40" t="s">
        <v>62</v>
      </c>
      <c r="B22" s="32" t="s">
        <v>33</v>
      </c>
      <c r="C22" s="29" t="s">
        <v>84</v>
      </c>
      <c r="D22" s="38">
        <f>15649500*0.000001</f>
        <v>15.6495</v>
      </c>
      <c r="E22" s="33">
        <f>-0.00000000000886225*1000000000000</f>
        <v>-8.8622500000000013</v>
      </c>
      <c r="F22" s="36">
        <v>-2.5675100000000001E-11</v>
      </c>
      <c r="G22" s="36">
        <v>1.5668599999999999E-11</v>
      </c>
      <c r="H22" s="36">
        <v>2.5759E-12</v>
      </c>
      <c r="I22" s="37">
        <v>37</v>
      </c>
      <c r="J22" s="33">
        <f t="shared" si="6"/>
        <v>0.61026441961277655</v>
      </c>
      <c r="K22" s="31">
        <f>1/37</f>
        <v>2.7027027027027029E-2</v>
      </c>
      <c r="L22" s="31">
        <f t="shared" si="7"/>
        <v>25.6751</v>
      </c>
      <c r="M22" s="38">
        <v>0.54500300000000002</v>
      </c>
      <c r="N22" s="29" t="s">
        <v>32</v>
      </c>
      <c r="O22" s="29">
        <v>-19.88</v>
      </c>
      <c r="P22" s="29">
        <v>-31.72</v>
      </c>
      <c r="Q22" s="29">
        <v>-31.22</v>
      </c>
      <c r="R22" s="29">
        <v>1.57</v>
      </c>
      <c r="S22" s="29">
        <v>1.59</v>
      </c>
      <c r="T22" s="29">
        <v>2.31</v>
      </c>
      <c r="U22" s="29">
        <v>2.2000000000000002</v>
      </c>
      <c r="V22" s="29">
        <v>1.05</v>
      </c>
      <c r="W22" s="29">
        <v>1.1299999999999999</v>
      </c>
      <c r="X22" s="29">
        <v>5.1100000000000003</v>
      </c>
      <c r="Y22" s="29">
        <v>4.6500000000000004</v>
      </c>
      <c r="Z22" s="29">
        <v>22</v>
      </c>
      <c r="AA22" s="29">
        <v>18</v>
      </c>
      <c r="AB22" s="29" t="s">
        <v>28</v>
      </c>
      <c r="AC22" s="29">
        <v>-21.84</v>
      </c>
      <c r="AD22" s="29">
        <v>-33.15</v>
      </c>
      <c r="AE22" s="29">
        <v>-32.75</v>
      </c>
      <c r="AF22" s="29">
        <v>1.5</v>
      </c>
      <c r="AG22" s="29">
        <v>0.82</v>
      </c>
      <c r="AH22" s="29" t="s">
        <v>29</v>
      </c>
      <c r="AI22" s="29">
        <v>-29.31</v>
      </c>
      <c r="AJ22" s="29">
        <v>-2.19</v>
      </c>
      <c r="AK22" s="29">
        <v>0.09</v>
      </c>
      <c r="AL22" s="29" t="s">
        <v>30</v>
      </c>
      <c r="AM22" s="29">
        <v>-1.19</v>
      </c>
      <c r="AN22" s="29">
        <v>-53.25</v>
      </c>
      <c r="AO22" s="29">
        <v>0.09</v>
      </c>
      <c r="AP22" s="29" t="s">
        <v>31</v>
      </c>
      <c r="AQ22" s="29">
        <v>0</v>
      </c>
      <c r="AR22" s="29">
        <f t="shared" si="8"/>
        <v>0.90999999999999992</v>
      </c>
      <c r="AS22" s="29">
        <f t="shared" si="9"/>
        <v>0.90999999999999992</v>
      </c>
      <c r="AT22" s="29" t="s">
        <v>32</v>
      </c>
      <c r="AU22" s="29" t="s">
        <v>53</v>
      </c>
      <c r="AV22" s="29">
        <v>-41.46</v>
      </c>
      <c r="AW22" s="29">
        <v>-34.33</v>
      </c>
      <c r="AX22" s="29">
        <v>-33.74</v>
      </c>
      <c r="AY22" s="29">
        <v>0.81</v>
      </c>
      <c r="AZ22" s="29">
        <v>0.83</v>
      </c>
      <c r="BA22" s="29">
        <v>2.2599999999999998</v>
      </c>
      <c r="BB22" s="29">
        <v>2.2000000000000002</v>
      </c>
      <c r="BC22" s="29">
        <v>1.44</v>
      </c>
      <c r="BD22" s="29">
        <v>1.39</v>
      </c>
      <c r="BE22" s="29">
        <v>4.38</v>
      </c>
      <c r="BF22" s="29">
        <v>4.37</v>
      </c>
      <c r="BG22" s="29">
        <v>41</v>
      </c>
      <c r="BH22" s="29">
        <v>1</v>
      </c>
      <c r="BI22" s="29">
        <v>39</v>
      </c>
      <c r="BJ22" s="29">
        <v>0.98</v>
      </c>
      <c r="BK22" s="29">
        <v>0</v>
      </c>
      <c r="BL22" s="29">
        <v>0.02</v>
      </c>
      <c r="BM22" s="29">
        <v>0</v>
      </c>
      <c r="BN22" s="33"/>
      <c r="BO22" s="29">
        <v>1.43506</v>
      </c>
      <c r="BP22" s="29">
        <f>120.096044767616/100</f>
        <v>1.2009604476761599</v>
      </c>
    </row>
    <row r="23" spans="1:153" s="35" customFormat="1">
      <c r="A23" s="51" t="s">
        <v>63</v>
      </c>
      <c r="B23" s="82" t="s">
        <v>33</v>
      </c>
      <c r="C23" s="35" t="s">
        <v>84</v>
      </c>
      <c r="D23" s="83">
        <f>24582200*0.000001</f>
        <v>24.5822</v>
      </c>
      <c r="E23" s="20">
        <f>-0.000000000149988*1000000000000</f>
        <v>-149.988</v>
      </c>
      <c r="F23" s="84">
        <v>-1.8655400000000001E-11</v>
      </c>
      <c r="G23" s="84">
        <v>1.0236100000000001E-11</v>
      </c>
      <c r="H23" s="84">
        <v>1.1819700000000001E-12</v>
      </c>
      <c r="I23" s="85">
        <v>75</v>
      </c>
      <c r="J23" s="20">
        <f t="shared" si="6"/>
        <v>0.54869367582576634</v>
      </c>
      <c r="K23" s="19">
        <f>6/75</f>
        <v>0.08</v>
      </c>
      <c r="L23" s="19">
        <f t="shared" si="7"/>
        <v>18.6554</v>
      </c>
      <c r="M23" s="83">
        <v>0.83325300000000002</v>
      </c>
      <c r="N23" s="35" t="s">
        <v>32</v>
      </c>
      <c r="O23" s="35">
        <v>-18.45</v>
      </c>
      <c r="P23" s="35">
        <v>-15.52</v>
      </c>
      <c r="Q23" s="35">
        <v>-15.05</v>
      </c>
      <c r="R23" s="35">
        <v>0.82</v>
      </c>
      <c r="S23" s="35">
        <v>0.84</v>
      </c>
      <c r="T23" s="35">
        <v>2.74</v>
      </c>
      <c r="U23" s="35">
        <v>2.68</v>
      </c>
      <c r="V23" s="35">
        <v>1.03</v>
      </c>
      <c r="W23" s="35">
        <v>1.03</v>
      </c>
      <c r="X23" s="35">
        <v>5.16</v>
      </c>
      <c r="Y23" s="35">
        <v>5.16</v>
      </c>
      <c r="Z23" s="35">
        <v>21</v>
      </c>
      <c r="AA23" s="35">
        <v>19</v>
      </c>
      <c r="AB23" s="35" t="s">
        <v>28</v>
      </c>
      <c r="AC23" s="35">
        <v>-21.56</v>
      </c>
      <c r="AD23" s="35">
        <v>-14.18</v>
      </c>
      <c r="AE23" s="35">
        <v>-13.66</v>
      </c>
      <c r="AF23" s="35">
        <v>0.63</v>
      </c>
      <c r="AG23" s="35">
        <v>0.76</v>
      </c>
      <c r="AH23" s="35" t="s">
        <v>29</v>
      </c>
      <c r="AI23" s="35">
        <v>-28.38</v>
      </c>
      <c r="AJ23" s="35">
        <v>-1.28</v>
      </c>
      <c r="AK23" s="35">
        <v>0.1</v>
      </c>
      <c r="AL23" s="35" t="s">
        <v>30</v>
      </c>
      <c r="AM23" s="35">
        <v>0.44</v>
      </c>
      <c r="AN23" s="35">
        <v>-29.53</v>
      </c>
      <c r="AO23" s="35">
        <v>0.14000000000000001</v>
      </c>
      <c r="AP23" s="35" t="s">
        <v>31</v>
      </c>
      <c r="AQ23" s="35">
        <v>0</v>
      </c>
      <c r="AR23" s="35">
        <f t="shared" si="8"/>
        <v>0.86</v>
      </c>
      <c r="AS23" s="35">
        <f t="shared" si="9"/>
        <v>0.9</v>
      </c>
      <c r="AT23" s="35" t="s">
        <v>32</v>
      </c>
      <c r="AU23" s="35" t="s">
        <v>53</v>
      </c>
      <c r="AV23" s="35">
        <v>-15.37</v>
      </c>
      <c r="AW23" s="35">
        <v>-10.3</v>
      </c>
      <c r="AY23" s="35">
        <v>0.67</v>
      </c>
      <c r="AZ23" s="35">
        <v>0.67</v>
      </c>
      <c r="BA23" s="35">
        <v>2.59</v>
      </c>
      <c r="BB23" s="35">
        <v>2.6</v>
      </c>
      <c r="BC23" s="35">
        <v>1.42</v>
      </c>
      <c r="BD23" s="35">
        <v>1.41</v>
      </c>
      <c r="BE23" s="35">
        <v>3.58</v>
      </c>
      <c r="BF23" s="35">
        <v>3.58</v>
      </c>
      <c r="BG23" s="35">
        <v>43</v>
      </c>
      <c r="BH23" s="35">
        <v>1</v>
      </c>
      <c r="BI23" s="35">
        <v>33</v>
      </c>
      <c r="BJ23" s="35">
        <v>0.88</v>
      </c>
      <c r="BK23" s="35">
        <v>7.0000000000000007E-2</v>
      </c>
      <c r="BL23" s="35">
        <v>0.05</v>
      </c>
      <c r="BM23" s="35">
        <v>0</v>
      </c>
      <c r="BN23" s="20"/>
      <c r="BO23" s="35">
        <v>0.97191300000000003</v>
      </c>
      <c r="BP23" s="35">
        <f>115.130694127326/100</f>
        <v>1.1513069412732599</v>
      </c>
    </row>
    <row r="24" spans="1:153">
      <c r="A24" s="25" t="s">
        <v>48</v>
      </c>
      <c r="D24" s="86">
        <f>AVERAGE(D18:D23)</f>
        <v>17.690283333333333</v>
      </c>
      <c r="E24" s="86">
        <f>AVERAGE(E18:E23)</f>
        <v>-79.184491666666673</v>
      </c>
      <c r="F24" s="87">
        <f>AVERAGE(F18:F23)</f>
        <v>-2.2765083333333331E-11</v>
      </c>
      <c r="K24" s="34"/>
      <c r="M24" s="34"/>
      <c r="R24" s="34"/>
      <c r="T24" s="34"/>
      <c r="V24" s="34"/>
      <c r="X24" s="34"/>
      <c r="AE24" s="34"/>
      <c r="AF24" s="34"/>
      <c r="AW24" s="1"/>
      <c r="AX24" s="1"/>
      <c r="BE24" s="1"/>
      <c r="BF24" s="1"/>
      <c r="BH24" s="1"/>
      <c r="BN24" s="91"/>
      <c r="BP24" s="91">
        <f>AVERAGE(BP18:BP23)</f>
        <v>1.0178314529246644</v>
      </c>
    </row>
    <row r="25" spans="1:153">
      <c r="A25" s="25" t="s">
        <v>50</v>
      </c>
      <c r="D25" s="88">
        <f>STDEV(D18:D23)/SQRT(D29)</f>
        <v>1.8137672523262496</v>
      </c>
      <c r="E25" s="88">
        <f>STDEV(E18:E23)/SQRT(E29)</f>
        <v>23.395801103775074</v>
      </c>
      <c r="F25" s="24">
        <f>STDEV(F18:F23)/SQRT(F29)</f>
        <v>6.6996601258778626E-12</v>
      </c>
      <c r="K25" s="34"/>
      <c r="M25" s="34"/>
      <c r="R25" s="34"/>
      <c r="T25" s="34"/>
      <c r="V25" s="34"/>
      <c r="X25" s="34"/>
      <c r="AE25" s="34"/>
      <c r="AF25" s="34"/>
      <c r="AW25" s="34"/>
      <c r="AX25" s="34"/>
      <c r="BE25" s="34"/>
      <c r="BF25" s="34"/>
      <c r="BH25" s="34"/>
      <c r="BN25" s="92"/>
      <c r="BP25" s="92">
        <f>STDEV(BP18:BP23)/SQRT(BP29)</f>
        <v>0.12284940375427197</v>
      </c>
    </row>
    <row r="26" spans="1:153" s="8" customFormat="1">
      <c r="A26" s="53" t="s">
        <v>36</v>
      </c>
      <c r="B26" s="42"/>
      <c r="D26" s="89">
        <f>MEDIAN(D18:D23)</f>
        <v>17.002800000000001</v>
      </c>
      <c r="E26" s="89">
        <f>MEDIAN(E18:E23)</f>
        <v>-84.517149999999987</v>
      </c>
      <c r="F26" s="90">
        <f>MEDIAN(F18:F23)</f>
        <v>-1.7156250000000002E-11</v>
      </c>
      <c r="I26" s="39"/>
      <c r="J26" s="39"/>
      <c r="K26" s="28"/>
      <c r="L26" s="39"/>
      <c r="M26" s="28"/>
      <c r="R26" s="28"/>
      <c r="T26" s="28"/>
      <c r="V26" s="28"/>
      <c r="X26" s="28"/>
      <c r="AE26" s="28"/>
      <c r="AF26" s="28"/>
      <c r="AW26" s="28"/>
      <c r="AX26" s="28"/>
      <c r="BE26" s="28"/>
      <c r="BF26" s="28"/>
      <c r="BH26" s="28"/>
      <c r="BN26" s="93"/>
      <c r="BP26" s="93">
        <f>MEDIAN(BP18:BP23)</f>
        <v>1.0240563069465229</v>
      </c>
    </row>
    <row r="27" spans="1:153">
      <c r="A27" s="52" t="s">
        <v>37</v>
      </c>
      <c r="D27" s="88">
        <f>QUARTILE((D18:D23),3)</f>
        <v>20.054400000000001</v>
      </c>
      <c r="E27" s="88">
        <f>QUARTILE((E18:E23),3)</f>
        <v>-32.240474999999996</v>
      </c>
      <c r="F27" s="24">
        <f>QUARTILE((F18:F23),3)</f>
        <v>-1.2367974999999999E-11</v>
      </c>
      <c r="K27" s="34"/>
      <c r="M27" s="34"/>
      <c r="R27" s="34"/>
      <c r="T27" s="34"/>
      <c r="V27" s="34"/>
      <c r="X27" s="34"/>
      <c r="AE27" s="34"/>
      <c r="AF27" s="34"/>
      <c r="AW27" s="1"/>
      <c r="AX27" s="1"/>
      <c r="AY27" s="30"/>
      <c r="AZ27" s="30"/>
      <c r="BA27" s="30"/>
      <c r="BB27" s="30"/>
      <c r="BC27" s="30"/>
      <c r="BD27" s="30"/>
      <c r="BE27" s="1"/>
      <c r="BF27" s="1"/>
      <c r="BG27" s="30"/>
      <c r="BH27" s="1"/>
      <c r="BN27" s="92"/>
      <c r="BP27" s="92">
        <f>QUARTILE((BP18:BP23),3)</f>
        <v>1.1885470710754349</v>
      </c>
    </row>
    <row r="28" spans="1:153">
      <c r="A28" s="52" t="s">
        <v>38</v>
      </c>
      <c r="D28" s="88">
        <f>QUARTILE((D18:D23),1)</f>
        <v>14.820599999999999</v>
      </c>
      <c r="E28" s="88">
        <f>QUARTILE((E18:E23),1)</f>
        <v>-120.43490000000001</v>
      </c>
      <c r="F28" s="24">
        <f>QUARTILE((F18:F23),1)</f>
        <v>-2.3920175000000001E-11</v>
      </c>
      <c r="K28" s="34"/>
      <c r="M28" s="34"/>
      <c r="R28" s="34"/>
      <c r="T28" s="34"/>
      <c r="V28" s="34"/>
      <c r="X28" s="34"/>
      <c r="AE28" s="34"/>
      <c r="AF28" s="34"/>
      <c r="AW28" s="1"/>
      <c r="AX28" s="1"/>
      <c r="AY28" s="30"/>
      <c r="AZ28" s="30"/>
      <c r="BA28" s="30"/>
      <c r="BB28" s="30"/>
      <c r="BC28" s="30"/>
      <c r="BD28" s="30"/>
      <c r="BE28" s="1"/>
      <c r="BF28" s="1"/>
      <c r="BG28" s="30"/>
      <c r="BH28" s="1"/>
      <c r="BN28" s="92"/>
      <c r="BP28" s="92">
        <f>QUARTILE((BP18:BP23),1)</f>
        <v>0.78422207700666313</v>
      </c>
    </row>
    <row r="29" spans="1:153">
      <c r="A29" s="52" t="s">
        <v>5</v>
      </c>
      <c r="D29" s="24">
        <f>COUNT((D18:D23))</f>
        <v>6</v>
      </c>
      <c r="E29" s="24">
        <f>COUNT((E18:E23))</f>
        <v>6</v>
      </c>
      <c r="F29" s="24">
        <f>COUNT((F18:F23))</f>
        <v>6</v>
      </c>
      <c r="G29" s="23"/>
      <c r="K29" s="33"/>
      <c r="M29" s="33"/>
      <c r="R29" s="33"/>
      <c r="T29" s="33"/>
      <c r="V29" s="33"/>
      <c r="X29" s="33"/>
      <c r="AE29" s="33"/>
      <c r="AF29" s="33"/>
      <c r="AW29" s="31"/>
      <c r="AX29" s="31"/>
      <c r="AY29" s="30"/>
      <c r="AZ29" s="30"/>
      <c r="BA29" s="30"/>
      <c r="BB29" s="30"/>
      <c r="BC29" s="30"/>
      <c r="BD29" s="30"/>
      <c r="BE29" s="31"/>
      <c r="BF29" s="31"/>
      <c r="BG29" s="30"/>
      <c r="BH29" s="31"/>
      <c r="BN29" s="24"/>
      <c r="BP29" s="24">
        <f>COUNT((BP18:BP23))</f>
        <v>6</v>
      </c>
    </row>
    <row r="30" spans="1:153" s="29" customFormat="1">
      <c r="A30" s="52"/>
      <c r="B30" s="41"/>
      <c r="D30" s="33"/>
      <c r="E30" s="33"/>
      <c r="F30" s="33"/>
      <c r="I30" s="33"/>
      <c r="J30" s="33"/>
      <c r="K30" s="33"/>
      <c r="L30" s="33"/>
      <c r="M30" s="33"/>
      <c r="R30" s="33"/>
      <c r="T30" s="33"/>
      <c r="V30" s="33"/>
      <c r="X30" s="33"/>
      <c r="AE30" s="33"/>
      <c r="AF30" s="33"/>
      <c r="AW30" s="31"/>
      <c r="AX30" s="31"/>
      <c r="AY30" s="30"/>
      <c r="AZ30" s="30"/>
      <c r="BA30" s="30"/>
      <c r="BB30" s="30"/>
      <c r="BC30" s="30"/>
      <c r="BD30" s="30"/>
      <c r="BE30" s="31"/>
      <c r="BF30" s="31"/>
      <c r="BG30" s="30"/>
      <c r="BH30" s="31"/>
    </row>
    <row r="31" spans="1:153" s="29" customFormat="1">
      <c r="A31" s="52"/>
      <c r="B31" s="41"/>
      <c r="D31" s="33"/>
      <c r="E31" s="33"/>
      <c r="F31" s="33"/>
      <c r="I31" s="33"/>
      <c r="J31" s="33"/>
      <c r="K31" s="33"/>
      <c r="L31" s="33"/>
      <c r="M31" s="33"/>
      <c r="R31" s="33"/>
      <c r="T31" s="33"/>
      <c r="V31" s="33"/>
      <c r="X31" s="33"/>
      <c r="AE31" s="33"/>
      <c r="AF31" s="33"/>
      <c r="AW31" s="31"/>
      <c r="AX31" s="31"/>
      <c r="AY31" s="30"/>
      <c r="AZ31" s="30"/>
      <c r="BA31" s="30"/>
      <c r="BB31" s="30"/>
      <c r="BC31" s="30"/>
      <c r="BD31" s="30"/>
      <c r="BE31" s="31"/>
      <c r="BF31" s="31"/>
      <c r="BG31" s="30"/>
      <c r="BH31" s="31"/>
    </row>
    <row r="32" spans="1:153" s="29" customFormat="1">
      <c r="B32" s="41"/>
      <c r="I32" s="33"/>
      <c r="J32" s="33"/>
      <c r="K32" s="33"/>
      <c r="L32" s="33"/>
      <c r="M32" s="33"/>
      <c r="R32" s="33"/>
      <c r="T32" s="33"/>
      <c r="AE32" s="33"/>
      <c r="AF32" s="33"/>
      <c r="AW32" s="31"/>
      <c r="AX32" s="31"/>
      <c r="AY32" s="30"/>
      <c r="AZ32" s="30"/>
      <c r="BA32" s="30"/>
      <c r="BB32" s="30"/>
      <c r="BC32" s="30"/>
      <c r="BD32" s="30"/>
      <c r="BE32" s="31"/>
      <c r="BF32" s="31"/>
      <c r="BG32" s="30"/>
      <c r="BH32" s="31"/>
    </row>
    <row r="33" spans="1:86" ht="18.75">
      <c r="A33" s="54" t="s">
        <v>66</v>
      </c>
      <c r="AP33" s="23"/>
      <c r="AQ33" s="23"/>
      <c r="AR33" s="23"/>
      <c r="AS33" s="23"/>
    </row>
    <row r="34" spans="1:86" s="30" customFormat="1">
      <c r="A34" s="63" t="s">
        <v>83</v>
      </c>
      <c r="G34" s="1"/>
      <c r="H34" s="1"/>
      <c r="AF34" s="75"/>
      <c r="AP34" s="7"/>
      <c r="AQ34" s="7"/>
      <c r="AR34" s="7"/>
      <c r="AS34" s="7"/>
    </row>
    <row r="35" spans="1:86" s="30" customFormat="1">
      <c r="A35" s="65" t="s">
        <v>17</v>
      </c>
      <c r="C35" s="7"/>
      <c r="D35" s="7"/>
      <c r="E35" s="7"/>
      <c r="F35" s="7"/>
      <c r="G35" s="60"/>
      <c r="H35" s="76"/>
      <c r="I35" s="7"/>
      <c r="J35" s="7"/>
      <c r="K35" s="7"/>
      <c r="L35" s="7"/>
      <c r="M35" s="7"/>
      <c r="N35" s="81" t="s">
        <v>0</v>
      </c>
      <c r="O35" s="65" t="s">
        <v>1</v>
      </c>
      <c r="P35" s="8" t="s">
        <v>2</v>
      </c>
      <c r="Q35" s="7"/>
      <c r="R35" s="7"/>
      <c r="S35" s="7"/>
      <c r="T35" s="7"/>
      <c r="U35" s="66"/>
      <c r="Y35" s="77"/>
      <c r="Z35" s="77"/>
      <c r="AA35" s="77"/>
      <c r="AB35" s="77"/>
      <c r="AC35" s="77"/>
      <c r="AD35" s="77"/>
      <c r="AF35" s="21"/>
      <c r="AI35" s="8" t="s">
        <v>40</v>
      </c>
      <c r="AJ35" s="8" t="s">
        <v>2</v>
      </c>
      <c r="AN35" s="75"/>
      <c r="AP35" s="7"/>
      <c r="AQ35" s="7"/>
      <c r="AR35" s="78"/>
      <c r="AS35" s="78"/>
      <c r="AX35" s="30" t="s">
        <v>58</v>
      </c>
    </row>
    <row r="36" spans="1:86" s="10" customFormat="1">
      <c r="A36" s="51" t="s">
        <v>79</v>
      </c>
      <c r="B36" s="12" t="s">
        <v>80</v>
      </c>
      <c r="C36" s="10" t="s">
        <v>81</v>
      </c>
      <c r="D36" s="10" t="s">
        <v>34</v>
      </c>
      <c r="E36" s="10" t="s">
        <v>85</v>
      </c>
      <c r="F36" s="10" t="s">
        <v>86</v>
      </c>
      <c r="G36" s="11" t="s">
        <v>67</v>
      </c>
      <c r="H36" s="11" t="s">
        <v>3</v>
      </c>
      <c r="I36" s="11" t="s">
        <v>4</v>
      </c>
      <c r="J36" s="10" t="s">
        <v>5</v>
      </c>
      <c r="K36" s="10" t="s">
        <v>6</v>
      </c>
      <c r="L36" s="11" t="s">
        <v>7</v>
      </c>
      <c r="M36" s="11" t="s">
        <v>89</v>
      </c>
      <c r="N36" s="7"/>
      <c r="O36" s="12" t="s">
        <v>8</v>
      </c>
      <c r="P36" s="10" t="s">
        <v>11</v>
      </c>
      <c r="Q36" s="10" t="s">
        <v>10</v>
      </c>
      <c r="R36" s="12" t="s">
        <v>90</v>
      </c>
      <c r="S36" s="10" t="s">
        <v>91</v>
      </c>
      <c r="T36" s="95" t="s">
        <v>92</v>
      </c>
      <c r="U36" s="95" t="s">
        <v>93</v>
      </c>
      <c r="V36" s="10" t="s">
        <v>94</v>
      </c>
      <c r="W36" s="10" t="s">
        <v>95</v>
      </c>
      <c r="X36" s="10" t="s">
        <v>12</v>
      </c>
      <c r="Y36" s="10" t="s">
        <v>13</v>
      </c>
      <c r="Z36" s="10" t="s">
        <v>14</v>
      </c>
      <c r="AA36" s="10" t="s">
        <v>15</v>
      </c>
      <c r="AB36" s="10" t="s">
        <v>16</v>
      </c>
      <c r="AC36" s="10" t="s">
        <v>8</v>
      </c>
      <c r="AD36" s="10" t="s">
        <v>8</v>
      </c>
      <c r="AE36" s="10" t="s">
        <v>8</v>
      </c>
      <c r="AF36" s="10" t="s">
        <v>96</v>
      </c>
      <c r="AG36" s="10" t="s">
        <v>10</v>
      </c>
      <c r="AH36" s="10" t="s">
        <v>97</v>
      </c>
      <c r="AI36" s="29" t="s">
        <v>53</v>
      </c>
      <c r="AJ36" s="12" t="s">
        <v>8</v>
      </c>
      <c r="AK36" s="10" t="s">
        <v>11</v>
      </c>
      <c r="AL36" s="10" t="s">
        <v>10</v>
      </c>
      <c r="AM36" s="12" t="s">
        <v>90</v>
      </c>
      <c r="AN36" s="10" t="s">
        <v>91</v>
      </c>
      <c r="AO36" s="95" t="s">
        <v>92</v>
      </c>
      <c r="AP36" s="95" t="s">
        <v>93</v>
      </c>
      <c r="AQ36" s="10" t="s">
        <v>94</v>
      </c>
      <c r="AR36" s="10" t="s">
        <v>95</v>
      </c>
      <c r="AS36" s="10" t="s">
        <v>12</v>
      </c>
      <c r="AT36" s="10" t="s">
        <v>13</v>
      </c>
      <c r="AU36" s="10" t="s">
        <v>14</v>
      </c>
      <c r="AV36" s="10" t="s">
        <v>15</v>
      </c>
      <c r="AW36" s="10" t="s">
        <v>16</v>
      </c>
      <c r="AX36" s="10" t="s">
        <v>96</v>
      </c>
      <c r="AY36" s="10" t="s">
        <v>64</v>
      </c>
      <c r="BA36" s="14"/>
      <c r="BF36" s="12"/>
      <c r="BG36" s="14"/>
      <c r="BH36" s="14"/>
      <c r="BI36" s="14"/>
      <c r="BJ36" s="14"/>
      <c r="BK36" s="14"/>
      <c r="BL36" s="14"/>
      <c r="BS36" s="12"/>
      <c r="CB36" s="12"/>
      <c r="CH36" s="16"/>
    </row>
    <row r="37" spans="1:86" s="30" customFormat="1">
      <c r="A37" s="30" t="s">
        <v>69</v>
      </c>
      <c r="B37" s="30" t="s">
        <v>87</v>
      </c>
      <c r="C37" s="29" t="s">
        <v>40</v>
      </c>
      <c r="D37" s="30">
        <v>28</v>
      </c>
      <c r="F37" s="30">
        <v>126</v>
      </c>
      <c r="G37" s="1">
        <f xml:space="preserve"> -0.0000000000191567*1000000000000</f>
        <v>-19.156700000000001</v>
      </c>
      <c r="H37" s="1">
        <f xml:space="preserve"> 0.00000000000510549*1000000000000</f>
        <v>5.1054899999999996</v>
      </c>
      <c r="I37" s="1">
        <f xml:space="preserve"> 0.000000000000670384*1000000000000</f>
        <v>0.67038399999999998</v>
      </c>
      <c r="J37" s="30">
        <v>58</v>
      </c>
      <c r="K37" s="94">
        <f t="shared" ref="K37:K41" si="10">H37/-G37</f>
        <v>0.26651197753266476</v>
      </c>
      <c r="L37" s="1">
        <v>0</v>
      </c>
      <c r="M37" s="30">
        <f>Z37+AB37</f>
        <v>0.02</v>
      </c>
      <c r="N37" s="107" t="s">
        <v>32</v>
      </c>
      <c r="O37" s="30">
        <v>-18.559999999999999</v>
      </c>
      <c r="P37" s="30">
        <v>-14.39</v>
      </c>
      <c r="Q37" s="30">
        <v>0.83</v>
      </c>
      <c r="R37" s="30">
        <v>1.37</v>
      </c>
      <c r="S37" s="30">
        <v>1.55</v>
      </c>
      <c r="T37" s="30">
        <v>0.93</v>
      </c>
      <c r="U37" s="30">
        <v>1.2</v>
      </c>
      <c r="V37" s="30">
        <v>6.75</v>
      </c>
      <c r="W37" s="30">
        <v>5.75</v>
      </c>
      <c r="X37" s="30">
        <v>31</v>
      </c>
      <c r="Y37" s="30">
        <v>0.98</v>
      </c>
      <c r="Z37" s="30">
        <v>0.02</v>
      </c>
      <c r="AA37" s="30">
        <v>0</v>
      </c>
      <c r="AB37" s="30">
        <v>0</v>
      </c>
      <c r="AC37" s="1">
        <f>G37</f>
        <v>-19.156700000000001</v>
      </c>
      <c r="AD37" s="1">
        <f>-0.0000000000186836*1000000000000</f>
        <v>-18.683600000000002</v>
      </c>
      <c r="AE37" s="1">
        <f>-0.0000000000141268*1000000000000</f>
        <v>-14.126799999999999</v>
      </c>
      <c r="AF37" s="1">
        <f>AE37/G37</f>
        <v>0.73743390041082224</v>
      </c>
      <c r="AG37" s="94">
        <f>(-0.00000000000827896*1000000000000)/AE37</f>
        <v>0.58604637993034514</v>
      </c>
      <c r="AH37" s="1">
        <f>AG37/Q37</f>
        <v>0.70607997581969295</v>
      </c>
      <c r="AI37" s="107" t="s">
        <v>32</v>
      </c>
      <c r="AJ37" s="30">
        <v>-16.21</v>
      </c>
      <c r="AK37" s="30">
        <v>-9.2200000000000006</v>
      </c>
      <c r="AL37" s="30">
        <v>0.56999999999999995</v>
      </c>
      <c r="AM37" s="30">
        <v>1.37</v>
      </c>
      <c r="AN37" s="30">
        <v>1.5</v>
      </c>
      <c r="AO37" s="30">
        <v>1.19</v>
      </c>
      <c r="AP37" s="30">
        <v>1.51</v>
      </c>
      <c r="AQ37" s="30">
        <v>6.53</v>
      </c>
      <c r="AR37" s="30">
        <v>5.41</v>
      </c>
      <c r="AS37" s="30">
        <v>245</v>
      </c>
      <c r="AT37" s="30">
        <v>0.93</v>
      </c>
      <c r="AU37" s="30">
        <v>0.06</v>
      </c>
      <c r="AV37" s="30">
        <v>0.01</v>
      </c>
      <c r="AW37" s="30">
        <v>0</v>
      </c>
      <c r="AX37" s="1">
        <f>AY37/100</f>
        <v>0.909035619625992</v>
      </c>
      <c r="AY37" s="4">
        <v>90.903561962599198</v>
      </c>
      <c r="AZ37" s="4"/>
      <c r="BA37" s="4"/>
      <c r="BF37" s="2"/>
      <c r="BG37" s="4"/>
      <c r="BH37" s="4"/>
      <c r="BI37" s="4"/>
      <c r="BJ37" s="4"/>
      <c r="BK37" s="4"/>
      <c r="BL37" s="4"/>
    </row>
    <row r="38" spans="1:86" s="30" customFormat="1">
      <c r="A38" s="30" t="s">
        <v>70</v>
      </c>
      <c r="B38" s="30" t="s">
        <v>88</v>
      </c>
      <c r="C38" s="29" t="s">
        <v>40</v>
      </c>
      <c r="D38" s="30">
        <v>13</v>
      </c>
      <c r="F38" s="30">
        <v>175</v>
      </c>
      <c r="G38" s="1">
        <f>-0.00000000000598179*1000000000000</f>
        <v>-5.9817900000000002</v>
      </c>
      <c r="H38" s="1">
        <f xml:space="preserve"> 0.00000000000399944*1000000000000</f>
        <v>3.9994399999999999</v>
      </c>
      <c r="I38" s="1">
        <f xml:space="preserve"> 0.00000000000050793*1000000000000</f>
        <v>0.50792999999999999</v>
      </c>
      <c r="J38" s="30">
        <v>62</v>
      </c>
      <c r="K38" s="94">
        <f t="shared" si="10"/>
        <v>0.66860254204845038</v>
      </c>
      <c r="L38" s="1">
        <f>12/J38</f>
        <v>0.19354838709677419</v>
      </c>
      <c r="M38" s="30">
        <f>Z38+AB38</f>
        <v>0.25</v>
      </c>
      <c r="N38" s="23" t="s">
        <v>32</v>
      </c>
      <c r="O38" s="30">
        <v>-5.62</v>
      </c>
      <c r="P38" s="30">
        <v>-3.03</v>
      </c>
      <c r="Q38" s="30">
        <v>0.54</v>
      </c>
      <c r="R38" s="30">
        <v>2.35</v>
      </c>
      <c r="S38" s="30">
        <v>2.2400000000000002</v>
      </c>
      <c r="T38" s="30">
        <v>0.62</v>
      </c>
      <c r="U38" s="30">
        <v>2.0099999999999998</v>
      </c>
      <c r="V38" s="30">
        <v>3.89</v>
      </c>
      <c r="W38" s="30">
        <v>3.21</v>
      </c>
      <c r="X38" s="30">
        <v>52</v>
      </c>
      <c r="Y38" s="30">
        <v>0.63</v>
      </c>
      <c r="Z38" s="30">
        <v>0.21</v>
      </c>
      <c r="AA38" s="30">
        <v>0.12</v>
      </c>
      <c r="AB38" s="30">
        <v>0.04</v>
      </c>
      <c r="AC38" s="1">
        <f>G38</f>
        <v>-5.9817900000000002</v>
      </c>
      <c r="AD38" s="1">
        <f>-0.00000000000360016*1000000000000</f>
        <v>-3.6001599999999998</v>
      </c>
      <c r="AE38" s="1">
        <f xml:space="preserve"> -0.00000000000371714*1000000000000</f>
        <v>-3.7171399999999997</v>
      </c>
      <c r="AF38" s="1">
        <f>AE38/G38</f>
        <v>0.62140931059097693</v>
      </c>
      <c r="AG38" s="94">
        <f>( -0.00000000000236859*1000000000000)/AE38</f>
        <v>0.63720763813039072</v>
      </c>
      <c r="AH38" s="1">
        <f>AG38/Q38</f>
        <v>1.1800141446859087</v>
      </c>
      <c r="AI38" s="23" t="s">
        <v>32</v>
      </c>
      <c r="AJ38" s="30">
        <v>-3.42</v>
      </c>
      <c r="AK38" s="30">
        <v>-2.16</v>
      </c>
      <c r="AL38" s="30">
        <v>0.63</v>
      </c>
      <c r="AM38" s="30">
        <v>2.17</v>
      </c>
      <c r="AN38" s="30">
        <v>2.2000000000000002</v>
      </c>
      <c r="AO38" s="30">
        <v>1.95</v>
      </c>
      <c r="AP38" s="30">
        <v>0.3</v>
      </c>
      <c r="AQ38" s="30">
        <v>2.2200000000000002</v>
      </c>
      <c r="AR38" s="30">
        <v>8.4499999999999993</v>
      </c>
      <c r="AS38" s="30">
        <v>94</v>
      </c>
      <c r="AT38" s="30">
        <v>0.38</v>
      </c>
      <c r="AU38" s="30">
        <v>0.28999999999999998</v>
      </c>
      <c r="AV38" s="30">
        <v>0.15</v>
      </c>
      <c r="AW38" s="30">
        <v>0.18</v>
      </c>
      <c r="AX38" s="1">
        <f t="shared" ref="AX38:AX41" si="11">AY38/100</f>
        <v>0.6906237532036209</v>
      </c>
      <c r="AY38" s="4">
        <v>69.062375320362094</v>
      </c>
      <c r="AZ38" s="4"/>
      <c r="BA38" s="4"/>
      <c r="BF38" s="2"/>
      <c r="BG38" s="4"/>
      <c r="BH38" s="4"/>
      <c r="BI38" s="4"/>
      <c r="BJ38" s="4"/>
      <c r="BK38" s="4"/>
      <c r="BL38" s="4"/>
    </row>
    <row r="39" spans="1:86" s="30" customFormat="1">
      <c r="A39" s="30" t="s">
        <v>71</v>
      </c>
      <c r="B39" s="30" t="s">
        <v>88</v>
      </c>
      <c r="C39" s="23" t="s">
        <v>40</v>
      </c>
      <c r="D39" s="30">
        <v>24</v>
      </c>
      <c r="E39" s="30">
        <v>132</v>
      </c>
      <c r="F39" s="30">
        <v>147</v>
      </c>
      <c r="G39" s="1">
        <f xml:space="preserve"> -0.000000000010348*1000000000000</f>
        <v>-10.348000000000001</v>
      </c>
      <c r="H39" s="1">
        <f xml:space="preserve"> 0.00000000000384474*1000000000000</f>
        <v>3.8447399999999998</v>
      </c>
      <c r="I39" s="1">
        <f xml:space="preserve"> 0.000000000000509248*1000000000000</f>
        <v>0.50924800000000003</v>
      </c>
      <c r="J39" s="30">
        <v>57</v>
      </c>
      <c r="K39" s="94">
        <f t="shared" si="10"/>
        <v>0.37154425976034011</v>
      </c>
      <c r="L39" s="1">
        <v>0</v>
      </c>
      <c r="M39" s="30">
        <f>Z39+AB39</f>
        <v>0.03</v>
      </c>
      <c r="N39" s="23" t="s">
        <v>32</v>
      </c>
      <c r="O39" s="30">
        <v>-9.02</v>
      </c>
      <c r="P39" s="30">
        <v>-8.44</v>
      </c>
      <c r="Q39" s="30">
        <v>0.94</v>
      </c>
      <c r="R39" s="30">
        <v>2.17</v>
      </c>
      <c r="S39" s="30">
        <v>2.0099999999999998</v>
      </c>
      <c r="T39" s="30">
        <v>1.66</v>
      </c>
      <c r="U39" s="30">
        <v>1.2</v>
      </c>
      <c r="V39" s="30">
        <v>5.51</v>
      </c>
      <c r="W39" s="30">
        <v>8.4700000000000006</v>
      </c>
      <c r="X39" s="30">
        <v>41</v>
      </c>
      <c r="Y39" s="30">
        <v>0.94</v>
      </c>
      <c r="Z39" s="30">
        <v>0.03</v>
      </c>
      <c r="AA39" s="30">
        <v>0.03</v>
      </c>
      <c r="AB39" s="30">
        <v>0</v>
      </c>
      <c r="AC39" s="1">
        <f>G39</f>
        <v>-10.348000000000001</v>
      </c>
      <c r="AD39" s="1">
        <f>-0.0000000000107591*1000000000000</f>
        <v>-10.7591</v>
      </c>
      <c r="AE39" s="1">
        <f>-0.0000000000119438*1000000000000</f>
        <v>-11.9438</v>
      </c>
      <c r="AF39" s="1">
        <f>AE39/G39</f>
        <v>1.1542133745651333</v>
      </c>
      <c r="AG39" s="94">
        <f>(-0.00000000000541768*1000000000000)/AE39</f>
        <v>0.45359768247961285</v>
      </c>
      <c r="AH39" s="1">
        <f>AG39/Q39</f>
        <v>0.48255072604214133</v>
      </c>
      <c r="AI39" s="23" t="s">
        <v>32</v>
      </c>
      <c r="AJ39" s="30">
        <v>-11.1</v>
      </c>
      <c r="AK39" s="30">
        <v>-4.75</v>
      </c>
      <c r="AL39" s="30">
        <v>0.43</v>
      </c>
      <c r="AM39" s="30">
        <v>2.02</v>
      </c>
      <c r="AN39" s="30">
        <v>2.09</v>
      </c>
      <c r="AO39" s="30">
        <v>0.93</v>
      </c>
      <c r="AP39" s="30">
        <v>0.92</v>
      </c>
      <c r="AQ39" s="30">
        <v>7.33</v>
      </c>
      <c r="AR39" s="30">
        <v>6.65</v>
      </c>
      <c r="AS39" s="30">
        <v>259</v>
      </c>
      <c r="AT39" s="30">
        <v>0.86</v>
      </c>
      <c r="AU39" s="30">
        <v>0.12</v>
      </c>
      <c r="AV39" s="30">
        <v>0.01</v>
      </c>
      <c r="AW39" s="30">
        <v>0</v>
      </c>
      <c r="AX39" s="1">
        <f t="shared" si="11"/>
        <v>1.09058560590401</v>
      </c>
      <c r="AY39" s="4">
        <v>109.058560590401</v>
      </c>
      <c r="AZ39" s="4"/>
      <c r="BA39" s="4"/>
      <c r="BF39" s="2"/>
      <c r="BG39" s="4"/>
      <c r="BH39" s="4"/>
      <c r="BI39" s="4"/>
      <c r="BJ39" s="4"/>
      <c r="BK39" s="4"/>
      <c r="BL39" s="4"/>
    </row>
    <row r="40" spans="1:86" s="30" customFormat="1">
      <c r="A40" s="30" t="s">
        <v>72</v>
      </c>
      <c r="B40" s="30" t="s">
        <v>88</v>
      </c>
      <c r="C40" s="29" t="s">
        <v>40</v>
      </c>
      <c r="D40" s="30">
        <v>17</v>
      </c>
      <c r="E40" s="30">
        <v>238</v>
      </c>
      <c r="F40" s="30">
        <v>250</v>
      </c>
      <c r="G40" s="1">
        <f xml:space="preserve"> -0.0000000000111164*1000000000000</f>
        <v>-11.116400000000001</v>
      </c>
      <c r="H40" s="1">
        <f xml:space="preserve"> 0.00000000000446707*1000000000000</f>
        <v>4.4670700000000005</v>
      </c>
      <c r="I40" s="1">
        <f xml:space="preserve"> 0.000000000000576696*1000000000000</f>
        <v>0.57669599999999999</v>
      </c>
      <c r="J40" s="30">
        <v>60</v>
      </c>
      <c r="K40" s="94">
        <f t="shared" si="10"/>
        <v>0.40184502176963766</v>
      </c>
      <c r="L40" s="1">
        <f>1/J40</f>
        <v>1.6666666666666666E-2</v>
      </c>
      <c r="M40" s="30">
        <f>Z40+AB40</f>
        <v>0.03</v>
      </c>
      <c r="N40" s="23" t="s">
        <v>32</v>
      </c>
      <c r="O40" s="30">
        <v>-9.23</v>
      </c>
      <c r="P40" s="30">
        <v>-10.08</v>
      </c>
      <c r="Q40" s="30">
        <v>1.0900000000000001</v>
      </c>
      <c r="R40" s="30">
        <v>2.21</v>
      </c>
      <c r="S40" s="30">
        <v>2.09</v>
      </c>
      <c r="T40" s="30">
        <v>0.8</v>
      </c>
      <c r="U40" s="30">
        <v>0.78</v>
      </c>
      <c r="V40" s="30">
        <v>4.9400000000000004</v>
      </c>
      <c r="W40" s="30">
        <v>5.04</v>
      </c>
      <c r="X40" s="30">
        <v>23</v>
      </c>
      <c r="Y40" s="30">
        <v>0.95</v>
      </c>
      <c r="Z40" s="30">
        <v>0.03</v>
      </c>
      <c r="AA40" s="30">
        <v>0.03</v>
      </c>
      <c r="AB40" s="30">
        <v>0</v>
      </c>
      <c r="AC40" s="1">
        <f>G40</f>
        <v>-11.116400000000001</v>
      </c>
      <c r="AD40" s="1">
        <f xml:space="preserve"> -0.00000000000957347*1000000000000</f>
        <v>-9.5734700000000004</v>
      </c>
      <c r="AE40" s="1">
        <f xml:space="preserve"> -0.0000000000108956*1000000000000</f>
        <v>-10.8956</v>
      </c>
      <c r="AF40" s="1">
        <f>AE40/G40</f>
        <v>0.98013745457162382</v>
      </c>
      <c r="AG40" s="45">
        <f>( -0.00000000000947536*1000000000000)/AE40</f>
        <v>0.86965013399904534</v>
      </c>
      <c r="AH40" s="1">
        <f>AG40/Q40</f>
        <v>0.79784415963215161</v>
      </c>
      <c r="AI40" s="23" t="s">
        <v>32</v>
      </c>
      <c r="AJ40" s="30">
        <v>-9.7899999999999991</v>
      </c>
      <c r="AK40" s="30">
        <v>-10.58</v>
      </c>
      <c r="AL40" s="30">
        <v>1.08</v>
      </c>
      <c r="AM40" s="30">
        <v>2.2000000000000002</v>
      </c>
      <c r="AN40" s="30">
        <v>2.17</v>
      </c>
      <c r="AO40" s="30">
        <v>0.9</v>
      </c>
      <c r="AP40" s="30">
        <v>0.9</v>
      </c>
      <c r="AQ40" s="30">
        <v>4.9400000000000004</v>
      </c>
      <c r="AR40" s="30">
        <v>4.9400000000000004</v>
      </c>
      <c r="AS40" s="30">
        <v>79</v>
      </c>
      <c r="AT40" s="30">
        <v>0.96</v>
      </c>
      <c r="AU40" s="30">
        <v>0.02</v>
      </c>
      <c r="AV40" s="30">
        <v>0.01</v>
      </c>
      <c r="AW40" s="30">
        <v>0</v>
      </c>
      <c r="AX40" s="1">
        <f t="shared" si="11"/>
        <v>1.10112658890163</v>
      </c>
      <c r="AY40" s="4">
        <v>110.112658890163</v>
      </c>
      <c r="AZ40" s="4"/>
      <c r="BA40" s="4"/>
      <c r="BF40" s="2"/>
      <c r="BG40" s="4"/>
      <c r="BH40" s="4"/>
      <c r="BI40" s="4"/>
      <c r="BJ40" s="4"/>
      <c r="BK40" s="4"/>
      <c r="BL40" s="4"/>
    </row>
    <row r="41" spans="1:86" s="10" customFormat="1">
      <c r="A41" s="10" t="s">
        <v>73</v>
      </c>
      <c r="B41" s="10" t="s">
        <v>87</v>
      </c>
      <c r="C41" s="35" t="s">
        <v>40</v>
      </c>
      <c r="D41" s="10">
        <v>21</v>
      </c>
      <c r="E41" s="10">
        <v>151</v>
      </c>
      <c r="F41" s="10">
        <v>71</v>
      </c>
      <c r="G41" s="11">
        <f>-0.0000000000348953*1000000000000</f>
        <v>-34.895299999999999</v>
      </c>
      <c r="H41" s="11">
        <f xml:space="preserve"> 0.0000000000157108*1000000000000</f>
        <v>15.710799999999999</v>
      </c>
      <c r="I41" s="11">
        <f xml:space="preserve"> 0.00000000000211845*1000000000000</f>
        <v>2.1184500000000002</v>
      </c>
      <c r="J41" s="10">
        <v>55</v>
      </c>
      <c r="K41" s="100">
        <f t="shared" si="10"/>
        <v>0.45022682137709086</v>
      </c>
      <c r="L41" s="11">
        <f>2/J41</f>
        <v>3.6363636363636362E-2</v>
      </c>
      <c r="M41" s="10">
        <f>Z41+AB41</f>
        <v>0.03</v>
      </c>
      <c r="N41" s="35" t="s">
        <v>32</v>
      </c>
      <c r="O41" s="10">
        <v>-32.729999999999997</v>
      </c>
      <c r="P41" s="10">
        <v>-26.79</v>
      </c>
      <c r="Q41" s="10">
        <v>0.82</v>
      </c>
      <c r="R41" s="10">
        <v>2.4</v>
      </c>
      <c r="S41" s="10">
        <v>2.5099999999999998</v>
      </c>
      <c r="T41" s="10">
        <v>0.83</v>
      </c>
      <c r="U41" s="10">
        <v>0.75</v>
      </c>
      <c r="V41" s="10">
        <v>2.5099999999999998</v>
      </c>
      <c r="W41" s="10">
        <v>2.29</v>
      </c>
      <c r="X41" s="10">
        <v>27</v>
      </c>
      <c r="Y41" s="10">
        <v>0.91</v>
      </c>
      <c r="Z41" s="10">
        <v>0.03</v>
      </c>
      <c r="AA41" s="10">
        <v>0.06</v>
      </c>
      <c r="AB41" s="10">
        <v>0</v>
      </c>
      <c r="AC41" s="11">
        <f>G41</f>
        <v>-34.895299999999999</v>
      </c>
      <c r="AD41" s="11">
        <f xml:space="preserve"> -0.0000000000254935*1000000000000</f>
        <v>-25.493500000000001</v>
      </c>
      <c r="AE41" s="101">
        <f xml:space="preserve"> -0.000000000032811*1000000000000</f>
        <v>-32.811</v>
      </c>
      <c r="AF41" s="11">
        <f>AE41/G41</f>
        <v>0.94026989308015696</v>
      </c>
      <c r="AG41" s="11">
        <f>(-0.0000000000173576*1000000000000)/AE41</f>
        <v>0.52901770747615118</v>
      </c>
      <c r="AH41" s="11">
        <f>AG41/Q41</f>
        <v>0.64514354570262344</v>
      </c>
      <c r="AI41" s="35" t="s">
        <v>32</v>
      </c>
      <c r="AJ41" s="10">
        <v>-28.74</v>
      </c>
      <c r="AK41" s="10">
        <v>-19.510000000000002</v>
      </c>
      <c r="AL41" s="10">
        <v>0.68</v>
      </c>
      <c r="AM41" s="10">
        <v>1.77</v>
      </c>
      <c r="AN41" s="10">
        <v>1.75</v>
      </c>
      <c r="AO41" s="10">
        <v>0.44</v>
      </c>
      <c r="AP41" s="10">
        <v>0.45</v>
      </c>
      <c r="AQ41" s="10">
        <v>2.0099999999999998</v>
      </c>
      <c r="AR41" s="10">
        <v>1.81</v>
      </c>
      <c r="AS41" s="10">
        <v>169</v>
      </c>
      <c r="AT41" s="10">
        <v>0.92</v>
      </c>
      <c r="AU41" s="10">
        <v>0.06</v>
      </c>
      <c r="AV41" s="10">
        <v>0.02</v>
      </c>
      <c r="AW41" s="10">
        <v>0</v>
      </c>
      <c r="AX41" s="1">
        <f t="shared" si="11"/>
        <v>1.0392985617635799</v>
      </c>
      <c r="AY41" s="14">
        <v>103.929856176358</v>
      </c>
      <c r="AZ41" s="14"/>
      <c r="BA41" s="14"/>
      <c r="BF41" s="12"/>
      <c r="BG41" s="14"/>
      <c r="BH41" s="14"/>
      <c r="BI41" s="14"/>
      <c r="BJ41" s="14"/>
      <c r="BK41" s="14"/>
      <c r="BL41" s="14"/>
    </row>
    <row r="42" spans="1:86" s="7" customFormat="1">
      <c r="A42" s="25" t="s">
        <v>48</v>
      </c>
      <c r="C42" s="23"/>
      <c r="G42" s="60"/>
      <c r="H42" s="60"/>
      <c r="I42" s="60"/>
      <c r="K42" s="45"/>
      <c r="L42" s="60"/>
      <c r="AC42" s="60"/>
      <c r="AD42" s="60"/>
      <c r="AE42" s="97"/>
      <c r="AF42" s="60"/>
      <c r="AG42" s="60"/>
      <c r="AH42" s="60"/>
      <c r="AX42" s="91">
        <f>AVERAGE(AX37:AX41)</f>
        <v>0.96613402587976649</v>
      </c>
      <c r="AY42" s="98"/>
      <c r="AZ42" s="98"/>
      <c r="BA42" s="98"/>
      <c r="BF42" s="99"/>
      <c r="BG42" s="98"/>
      <c r="BH42" s="98"/>
      <c r="BI42" s="98"/>
      <c r="BJ42" s="98"/>
      <c r="BK42" s="98"/>
      <c r="BL42" s="98"/>
    </row>
    <row r="43" spans="1:86" s="7" customFormat="1">
      <c r="A43" s="25" t="s">
        <v>50</v>
      </c>
      <c r="C43" s="23"/>
      <c r="G43" s="60"/>
      <c r="H43" s="60"/>
      <c r="I43" s="60"/>
      <c r="K43" s="45"/>
      <c r="L43" s="60"/>
      <c r="AC43" s="60"/>
      <c r="AD43" s="60"/>
      <c r="AE43" s="97"/>
      <c r="AF43" s="60"/>
      <c r="AG43" s="60"/>
      <c r="AH43" s="60"/>
      <c r="AX43" s="92">
        <f>STDEV(AX37:AX41)/SQRT(AX47)</f>
        <v>7.6886401755980771E-2</v>
      </c>
      <c r="AY43" s="98"/>
      <c r="AZ43" s="98"/>
      <c r="BA43" s="98"/>
      <c r="BF43" s="99"/>
      <c r="BG43" s="98"/>
      <c r="BH43" s="98"/>
      <c r="BI43" s="98"/>
      <c r="BJ43" s="98"/>
      <c r="BK43" s="98"/>
      <c r="BL43" s="98"/>
    </row>
    <row r="44" spans="1:86" s="7" customFormat="1">
      <c r="A44" s="53" t="s">
        <v>36</v>
      </c>
      <c r="C44" s="23"/>
      <c r="G44" s="60"/>
      <c r="H44" s="60"/>
      <c r="I44" s="60"/>
      <c r="K44" s="45"/>
      <c r="L44" s="60"/>
      <c r="AC44" s="60"/>
      <c r="AD44" s="60"/>
      <c r="AE44" s="97"/>
      <c r="AF44" s="60"/>
      <c r="AG44" s="60"/>
      <c r="AH44" s="60"/>
      <c r="AX44" s="93">
        <f>MEDIAN(AX37:AX41)</f>
        <v>1.0392985617635799</v>
      </c>
      <c r="AY44" s="98"/>
      <c r="AZ44" s="98"/>
      <c r="BA44" s="98"/>
      <c r="BF44" s="99"/>
      <c r="BG44" s="98"/>
      <c r="BH44" s="98"/>
      <c r="BI44" s="98"/>
      <c r="BJ44" s="98"/>
      <c r="BK44" s="98"/>
      <c r="BL44" s="98"/>
    </row>
    <row r="45" spans="1:86" s="7" customFormat="1">
      <c r="A45" s="52" t="s">
        <v>37</v>
      </c>
      <c r="C45" s="23"/>
      <c r="G45" s="60"/>
      <c r="H45" s="60"/>
      <c r="I45" s="60"/>
      <c r="K45" s="45"/>
      <c r="L45" s="60"/>
      <c r="AC45" s="60"/>
      <c r="AD45" s="60"/>
      <c r="AE45" s="97"/>
      <c r="AF45" s="60"/>
      <c r="AG45" s="60"/>
      <c r="AH45" s="60"/>
      <c r="AX45" s="92">
        <f>_xlfn.QUARTILE.EXC((AX37:AX41),3)</f>
        <v>1.09585609740282</v>
      </c>
      <c r="AY45" s="98"/>
      <c r="AZ45" s="98"/>
      <c r="BA45" s="98"/>
      <c r="BF45" s="99"/>
      <c r="BG45" s="98"/>
      <c r="BH45" s="98"/>
      <c r="BI45" s="98"/>
      <c r="BJ45" s="98"/>
      <c r="BK45" s="98"/>
      <c r="BL45" s="98"/>
    </row>
    <row r="46" spans="1:86" s="7" customFormat="1">
      <c r="A46" s="52" t="s">
        <v>38</v>
      </c>
      <c r="C46" s="23"/>
      <c r="G46" s="60"/>
      <c r="H46" s="60"/>
      <c r="I46" s="60"/>
      <c r="K46" s="45"/>
      <c r="L46" s="60"/>
      <c r="AC46" s="60"/>
      <c r="AD46" s="60"/>
      <c r="AE46" s="97"/>
      <c r="AF46" s="60"/>
      <c r="AG46" s="60"/>
      <c r="AH46" s="60"/>
      <c r="AX46" s="92">
        <f>_xlfn.QUARTILE.EXC((AX37:AX41),1)</f>
        <v>0.79982968641480645</v>
      </c>
      <c r="AY46" s="98"/>
      <c r="AZ46" s="98"/>
      <c r="BA46" s="98"/>
      <c r="BF46" s="99"/>
      <c r="BG46" s="98"/>
      <c r="BH46" s="98"/>
      <c r="BI46" s="98"/>
      <c r="BJ46" s="98"/>
      <c r="BK46" s="98"/>
      <c r="BL46" s="98"/>
    </row>
    <row r="47" spans="1:86" s="30" customFormat="1">
      <c r="A47" s="52" t="s">
        <v>5</v>
      </c>
      <c r="B47" s="7"/>
      <c r="C47" s="7"/>
      <c r="D47" s="7"/>
      <c r="E47" s="7"/>
      <c r="F47" s="7"/>
      <c r="G47" s="60"/>
      <c r="H47" s="7"/>
      <c r="I47" s="60"/>
      <c r="J47" s="7"/>
      <c r="K47" s="7"/>
      <c r="L47" s="7"/>
      <c r="M47" s="79"/>
      <c r="N47" s="7"/>
      <c r="O47" s="79"/>
      <c r="P47" s="79"/>
      <c r="Q47" s="7"/>
      <c r="R47" s="7"/>
      <c r="S47" s="44"/>
      <c r="T47" s="96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9"/>
      <c r="AH47" s="79"/>
      <c r="AI47" s="7"/>
      <c r="AJ47" s="61"/>
      <c r="AK47" s="61"/>
      <c r="AL47" s="61"/>
      <c r="AM47" s="61"/>
      <c r="AN47" s="61"/>
      <c r="AO47" s="61"/>
      <c r="AP47" s="61"/>
      <c r="AR47" s="7"/>
      <c r="AS47" s="43"/>
      <c r="AT47" s="7"/>
      <c r="AU47" s="7"/>
      <c r="AX47" s="24">
        <f>COUNT((AX37:AX41))</f>
        <v>5</v>
      </c>
    </row>
    <row r="48" spans="1:86" s="10" customFormat="1">
      <c r="A48" s="51" t="s">
        <v>79</v>
      </c>
      <c r="B48" s="12" t="s">
        <v>80</v>
      </c>
      <c r="C48" s="10" t="s">
        <v>81</v>
      </c>
      <c r="D48" s="10" t="s">
        <v>34</v>
      </c>
      <c r="E48" s="10" t="s">
        <v>85</v>
      </c>
      <c r="F48" s="10" t="s">
        <v>86</v>
      </c>
      <c r="G48" s="11" t="s">
        <v>67</v>
      </c>
      <c r="H48" s="11" t="s">
        <v>3</v>
      </c>
      <c r="I48" s="11" t="s">
        <v>4</v>
      </c>
      <c r="J48" s="10" t="s">
        <v>5</v>
      </c>
      <c r="K48" s="10" t="s">
        <v>6</v>
      </c>
      <c r="L48" s="11" t="s">
        <v>7</v>
      </c>
      <c r="M48" s="11" t="s">
        <v>89</v>
      </c>
      <c r="N48" s="7"/>
      <c r="O48" s="12" t="s">
        <v>8</v>
      </c>
      <c r="P48" s="10" t="s">
        <v>11</v>
      </c>
      <c r="Q48" s="10" t="s">
        <v>10</v>
      </c>
      <c r="R48" s="12" t="s">
        <v>90</v>
      </c>
      <c r="S48" s="10" t="s">
        <v>91</v>
      </c>
      <c r="T48" s="95" t="s">
        <v>92</v>
      </c>
      <c r="U48" s="95" t="s">
        <v>93</v>
      </c>
      <c r="V48" s="10" t="s">
        <v>94</v>
      </c>
      <c r="W48" s="10" t="s">
        <v>95</v>
      </c>
      <c r="X48" s="10" t="s">
        <v>12</v>
      </c>
      <c r="Y48" s="10" t="s">
        <v>13</v>
      </c>
      <c r="Z48" s="10" t="s">
        <v>14</v>
      </c>
      <c r="AA48" s="10" t="s">
        <v>15</v>
      </c>
      <c r="AB48" s="10" t="s">
        <v>16</v>
      </c>
      <c r="AC48" s="10" t="s">
        <v>8</v>
      </c>
      <c r="AD48" s="10" t="s">
        <v>8</v>
      </c>
      <c r="AE48" s="10" t="s">
        <v>8</v>
      </c>
      <c r="AF48" s="10" t="s">
        <v>96</v>
      </c>
      <c r="AG48" s="10" t="s">
        <v>10</v>
      </c>
      <c r="AH48" s="10" t="s">
        <v>97</v>
      </c>
      <c r="AI48" s="29" t="s">
        <v>53</v>
      </c>
      <c r="AJ48" s="12" t="s">
        <v>8</v>
      </c>
      <c r="AK48" s="10" t="s">
        <v>11</v>
      </c>
      <c r="AL48" s="10" t="s">
        <v>10</v>
      </c>
      <c r="AM48" s="12" t="s">
        <v>90</v>
      </c>
      <c r="AN48" s="10" t="s">
        <v>91</v>
      </c>
      <c r="AO48" s="95" t="s">
        <v>92</v>
      </c>
      <c r="AP48" s="95" t="s">
        <v>93</v>
      </c>
      <c r="AQ48" s="10" t="s">
        <v>94</v>
      </c>
      <c r="AR48" s="10" t="s">
        <v>95</v>
      </c>
      <c r="AS48" s="10" t="s">
        <v>12</v>
      </c>
      <c r="AT48" s="10" t="s">
        <v>13</v>
      </c>
      <c r="AU48" s="10" t="s">
        <v>14</v>
      </c>
      <c r="AV48" s="10" t="s">
        <v>15</v>
      </c>
      <c r="AW48" s="10" t="s">
        <v>16</v>
      </c>
      <c r="AX48" s="10" t="s">
        <v>96</v>
      </c>
      <c r="AY48" s="10" t="s">
        <v>64</v>
      </c>
      <c r="BB48" s="12"/>
      <c r="BE48" s="12"/>
      <c r="BG48" s="95"/>
      <c r="BH48" s="95"/>
      <c r="BS48" s="12"/>
      <c r="CB48" s="12"/>
      <c r="CH48" s="16"/>
    </row>
    <row r="49" spans="1:87" s="30" customFormat="1">
      <c r="A49" s="30" t="s">
        <v>74</v>
      </c>
      <c r="B49" s="30" t="s">
        <v>88</v>
      </c>
      <c r="C49" s="29" t="s">
        <v>102</v>
      </c>
      <c r="D49" s="30">
        <v>29</v>
      </c>
      <c r="E49" s="30">
        <v>138</v>
      </c>
      <c r="F49" s="30">
        <v>72</v>
      </c>
      <c r="G49" s="1">
        <f>-0.0000000000442349*1000000000000</f>
        <v>-44.234899999999996</v>
      </c>
      <c r="H49" s="1">
        <f xml:space="preserve"> 0.0000000000362359*1000000000000</f>
        <v>36.235900000000001</v>
      </c>
      <c r="I49" s="1">
        <f xml:space="preserve"> 0.00000000000512453*1000000000000</f>
        <v>5.12453</v>
      </c>
      <c r="J49" s="30">
        <v>50</v>
      </c>
      <c r="K49" s="49">
        <f t="shared" ref="K49:K52" si="12">H49/-G49</f>
        <v>0.81916993143422967</v>
      </c>
      <c r="L49" s="1">
        <f>AA49+AB49</f>
        <v>0.29000000000000004</v>
      </c>
      <c r="M49" s="30">
        <f>Z49+AB49</f>
        <v>0.02</v>
      </c>
      <c r="N49" s="107" t="s">
        <v>32</v>
      </c>
      <c r="O49" s="30">
        <v>-41.26</v>
      </c>
      <c r="P49" s="30">
        <v>-41.27</v>
      </c>
      <c r="Q49" s="30">
        <v>1</v>
      </c>
      <c r="R49" s="30">
        <v>2.23</v>
      </c>
      <c r="S49" s="30">
        <v>1.49</v>
      </c>
      <c r="T49" s="30">
        <v>0.43</v>
      </c>
      <c r="U49" s="30">
        <v>0.64</v>
      </c>
      <c r="V49" s="30">
        <v>1.48</v>
      </c>
      <c r="W49" s="30">
        <v>1.39</v>
      </c>
      <c r="X49" s="30">
        <v>23</v>
      </c>
      <c r="Y49" s="30">
        <v>0.72</v>
      </c>
      <c r="Z49" s="30">
        <v>0</v>
      </c>
      <c r="AA49" s="30">
        <v>0.27</v>
      </c>
      <c r="AB49" s="30">
        <v>0.02</v>
      </c>
      <c r="AC49" s="1">
        <f>G49</f>
        <v>-44.234899999999996</v>
      </c>
      <c r="AD49" s="49">
        <f>-0.0000000000119942*1000000000000</f>
        <v>-11.994199999999999</v>
      </c>
      <c r="AE49" s="30">
        <f>-0.0000000000112816</f>
        <v>-1.12816E-11</v>
      </c>
      <c r="AF49" s="1">
        <f t="shared" ref="AF49:AF52" si="13">AD49/AC49</f>
        <v>0.27114789453576249</v>
      </c>
      <c r="AG49" s="1">
        <f>(-0.0000000000103178*1000000000000)/AD49</f>
        <v>0.86023244568207968</v>
      </c>
      <c r="AH49" s="1">
        <f>AG49/Q49</f>
        <v>0.86023244568207968</v>
      </c>
      <c r="AI49" s="107" t="s">
        <v>32</v>
      </c>
      <c r="AJ49" s="30">
        <v>-15.65</v>
      </c>
      <c r="AK49" s="30">
        <v>-15.14</v>
      </c>
      <c r="AL49" s="30">
        <v>0.97</v>
      </c>
      <c r="AM49" s="30">
        <v>1.63</v>
      </c>
      <c r="AN49" s="30">
        <v>1.52</v>
      </c>
      <c r="AO49" s="30">
        <v>0.43</v>
      </c>
      <c r="AP49" s="30">
        <v>1.5</v>
      </c>
      <c r="AQ49" s="30">
        <v>1.34</v>
      </c>
      <c r="AR49" s="30">
        <v>0.75</v>
      </c>
      <c r="AS49" s="30">
        <v>90</v>
      </c>
      <c r="AT49" s="30">
        <v>0.33</v>
      </c>
      <c r="AU49" s="30">
        <v>0.24</v>
      </c>
      <c r="AV49" s="30">
        <v>0.26</v>
      </c>
      <c r="AW49" s="30">
        <v>0.17</v>
      </c>
      <c r="AX49" s="1">
        <f>AY49/100</f>
        <v>0.27342017831403703</v>
      </c>
      <c r="AY49" s="4">
        <v>27.342017831403702</v>
      </c>
    </row>
    <row r="50" spans="1:87" s="30" customFormat="1">
      <c r="A50" s="30" t="s">
        <v>75</v>
      </c>
      <c r="B50" s="30" t="s">
        <v>88</v>
      </c>
      <c r="C50" s="29" t="s">
        <v>102</v>
      </c>
      <c r="D50" s="30">
        <v>19</v>
      </c>
      <c r="E50" s="30">
        <v>237</v>
      </c>
      <c r="F50" s="30">
        <v>230</v>
      </c>
      <c r="G50" s="1">
        <f xml:space="preserve"> -0.0000000000318873*1000000000000</f>
        <v>-31.8873</v>
      </c>
      <c r="H50" s="1">
        <f xml:space="preserve"> 0.00000000000705161*1000000000000</f>
        <v>7.0516099999999993</v>
      </c>
      <c r="I50" s="1">
        <f xml:space="preserve"> 0.000000000000968613*1000000000000</f>
        <v>0.96861299999999995</v>
      </c>
      <c r="J50" s="30">
        <v>53</v>
      </c>
      <c r="K50" s="49">
        <f t="shared" si="12"/>
        <v>0.2211416457335679</v>
      </c>
      <c r="L50" s="1">
        <v>0</v>
      </c>
      <c r="M50" s="30">
        <f>Z50+AB50</f>
        <v>0</v>
      </c>
      <c r="N50" s="23" t="s">
        <v>32</v>
      </c>
      <c r="O50" s="30">
        <v>-32.049999999999997</v>
      </c>
      <c r="P50" s="30">
        <v>-22.13</v>
      </c>
      <c r="Q50" s="30">
        <v>0.69</v>
      </c>
      <c r="R50" s="30">
        <v>1.48</v>
      </c>
      <c r="S50" s="30">
        <v>0.86</v>
      </c>
      <c r="T50" s="30">
        <v>0.62</v>
      </c>
      <c r="U50" s="30">
        <v>2.23</v>
      </c>
      <c r="V50" s="30">
        <v>3.86</v>
      </c>
      <c r="W50" s="30">
        <v>2.12</v>
      </c>
      <c r="X50" s="30">
        <v>35</v>
      </c>
      <c r="Y50" s="30">
        <v>1</v>
      </c>
      <c r="Z50" s="30">
        <v>0</v>
      </c>
      <c r="AA50" s="30">
        <v>0</v>
      </c>
      <c r="AB50" s="30">
        <v>0</v>
      </c>
      <c r="AC50" s="1">
        <f>G50</f>
        <v>-31.8873</v>
      </c>
      <c r="AD50" s="1">
        <f>-0.00000000000539577*1000000000000</f>
        <v>-5.3957699999999997</v>
      </c>
      <c r="AF50" s="1">
        <f t="shared" si="13"/>
        <v>0.16921376221881437</v>
      </c>
      <c r="AG50" s="1">
        <f>( -0.00000000000547952*1000000000000)/AD50</f>
        <v>1.0155214177031266</v>
      </c>
      <c r="AH50" s="1">
        <f>AG50/Q50</f>
        <v>1.4717701705842416</v>
      </c>
      <c r="AI50" s="23" t="s">
        <v>32</v>
      </c>
      <c r="AJ50" s="30">
        <v>-10.28</v>
      </c>
      <c r="AK50" s="30">
        <v>-5.53</v>
      </c>
      <c r="AL50" s="30">
        <v>0.54</v>
      </c>
      <c r="AM50" s="30">
        <v>1.66</v>
      </c>
      <c r="AN50" s="30">
        <v>1.76</v>
      </c>
      <c r="AO50" s="30">
        <v>0.69</v>
      </c>
      <c r="AP50" s="30">
        <v>0.7</v>
      </c>
      <c r="AQ50" s="30">
        <v>3.83</v>
      </c>
      <c r="AR50" s="30">
        <v>3.75</v>
      </c>
      <c r="AS50" s="30">
        <v>24</v>
      </c>
      <c r="AT50" s="30">
        <v>0.61</v>
      </c>
      <c r="AU50" s="30">
        <v>0.17</v>
      </c>
      <c r="AV50" s="30">
        <v>0.13</v>
      </c>
      <c r="AW50" s="30">
        <v>0.1</v>
      </c>
      <c r="AX50" s="1">
        <f t="shared" ref="AX50:AX52" si="14">AY50/100</f>
        <v>0.19243865077514499</v>
      </c>
      <c r="AY50" s="4">
        <v>19.243865077514499</v>
      </c>
      <c r="AZ50" s="1"/>
      <c r="BA50" s="1"/>
    </row>
    <row r="51" spans="1:87" s="30" customFormat="1">
      <c r="A51" s="30" t="s">
        <v>76</v>
      </c>
      <c r="B51" s="30" t="s">
        <v>88</v>
      </c>
      <c r="C51" s="29" t="s">
        <v>102</v>
      </c>
      <c r="D51" s="30">
        <v>24</v>
      </c>
      <c r="E51" s="30">
        <v>154</v>
      </c>
      <c r="F51" s="30">
        <v>173</v>
      </c>
      <c r="G51" s="1">
        <f xml:space="preserve"> -0.0000000000863036*1000000000000</f>
        <v>-86.303600000000003</v>
      </c>
      <c r="H51" s="1">
        <f xml:space="preserve"> 0.00000000000736476*1000000000000</f>
        <v>7.3647600000000004</v>
      </c>
      <c r="I51" s="1">
        <f>0.000000000000975486*1000000000000</f>
        <v>0.97548600000000008</v>
      </c>
      <c r="J51" s="30">
        <v>57</v>
      </c>
      <c r="K51" s="49">
        <f t="shared" si="12"/>
        <v>8.5335490060669539E-2</v>
      </c>
      <c r="L51" s="1">
        <v>0</v>
      </c>
      <c r="M51" s="30">
        <f>Z51+AB51</f>
        <v>0</v>
      </c>
      <c r="N51" s="23" t="s">
        <v>32</v>
      </c>
      <c r="O51" s="30">
        <v>-83.82</v>
      </c>
      <c r="P51" s="30">
        <v>-49.93</v>
      </c>
      <c r="Q51" s="30">
        <v>0.6</v>
      </c>
      <c r="R51" s="30">
        <v>1.89</v>
      </c>
      <c r="S51" s="30">
        <v>1.91</v>
      </c>
      <c r="T51" s="30">
        <v>1.21</v>
      </c>
      <c r="U51" s="30">
        <v>1.03</v>
      </c>
      <c r="V51" s="30">
        <v>4.2</v>
      </c>
      <c r="W51" s="30">
        <v>4.4800000000000004</v>
      </c>
      <c r="X51" s="30">
        <v>52</v>
      </c>
      <c r="Y51" s="30">
        <v>0.98</v>
      </c>
      <c r="Z51" s="30">
        <v>0</v>
      </c>
      <c r="AA51" s="30">
        <v>0.02</v>
      </c>
      <c r="AB51" s="30">
        <v>0</v>
      </c>
      <c r="AC51" s="1">
        <f>G51</f>
        <v>-86.303600000000003</v>
      </c>
      <c r="AD51" s="1">
        <f>-0.00000000000950063*1000000000000</f>
        <v>-9.5006299999999992</v>
      </c>
      <c r="AF51" s="1">
        <f t="shared" si="13"/>
        <v>0.11008382037365763</v>
      </c>
      <c r="AG51" s="1">
        <f>(-0.0000000000106475*1000000000000)/AD51</f>
        <v>1.1207151525740924</v>
      </c>
      <c r="AH51" s="1">
        <f>AG51/Q51</f>
        <v>1.8678585876234874</v>
      </c>
      <c r="AI51" s="23" t="s">
        <v>32</v>
      </c>
      <c r="AJ51" s="30">
        <v>-36.4</v>
      </c>
      <c r="AK51" s="30">
        <v>-24.28</v>
      </c>
      <c r="AL51" s="30">
        <v>0.67</v>
      </c>
      <c r="AM51" s="30">
        <v>1.86</v>
      </c>
      <c r="AN51" s="30">
        <v>1.84</v>
      </c>
      <c r="AO51" s="30">
        <v>0.93</v>
      </c>
      <c r="AP51" s="30">
        <v>0.91</v>
      </c>
      <c r="AQ51" s="30">
        <v>4.25</v>
      </c>
      <c r="AR51" s="30">
        <v>4.3</v>
      </c>
      <c r="AS51" s="30">
        <v>45</v>
      </c>
      <c r="AT51" s="30">
        <v>0.87</v>
      </c>
      <c r="AU51" s="30">
        <v>7.0000000000000007E-2</v>
      </c>
      <c r="AV51" s="30">
        <v>0.05</v>
      </c>
      <c r="AW51" s="30">
        <v>0</v>
      </c>
      <c r="AX51" s="1">
        <f t="shared" si="14"/>
        <v>0.115697601268908</v>
      </c>
      <c r="AY51" s="4">
        <v>11.569760126890801</v>
      </c>
      <c r="AZ51" s="4"/>
      <c r="BA51" s="4"/>
      <c r="BF51" s="2"/>
      <c r="BG51" s="4"/>
      <c r="BH51" s="4"/>
      <c r="BI51" s="4"/>
      <c r="BJ51" s="4"/>
      <c r="BK51" s="4"/>
      <c r="BL51" s="4"/>
    </row>
    <row r="52" spans="1:87" s="10" customFormat="1">
      <c r="A52" s="10" t="s">
        <v>77</v>
      </c>
      <c r="B52" s="10" t="s">
        <v>88</v>
      </c>
      <c r="C52" s="35" t="s">
        <v>102</v>
      </c>
      <c r="D52" s="10">
        <v>31</v>
      </c>
      <c r="E52" s="10">
        <v>113</v>
      </c>
      <c r="F52" s="10">
        <v>112</v>
      </c>
      <c r="G52" s="11">
        <f xml:space="preserve"> -0.00000000000651611*1000000000000</f>
        <v>-6.5161099999999994</v>
      </c>
      <c r="H52" s="11">
        <f xml:space="preserve"> 0.00000000000268157*1000000000000</f>
        <v>2.6815699999999998</v>
      </c>
      <c r="I52" s="11">
        <f xml:space="preserve"> 0.000000000000375495*1000000000000</f>
        <v>0.37549500000000002</v>
      </c>
      <c r="J52" s="10">
        <v>51</v>
      </c>
      <c r="K52" s="50">
        <f t="shared" si="12"/>
        <v>0.41152927129836669</v>
      </c>
      <c r="L52" s="11">
        <f>2/J52</f>
        <v>3.9215686274509803E-2</v>
      </c>
      <c r="M52" s="10">
        <f>Z52+AB52</f>
        <v>0.13</v>
      </c>
      <c r="N52" s="35" t="s">
        <v>32</v>
      </c>
      <c r="O52" s="10">
        <v>-5.74</v>
      </c>
      <c r="P52" s="10">
        <v>-4.6100000000000003</v>
      </c>
      <c r="Q52" s="10">
        <v>0.8</v>
      </c>
      <c r="R52" s="10">
        <v>2.83</v>
      </c>
      <c r="S52" s="10">
        <v>2.76</v>
      </c>
      <c r="T52" s="10">
        <v>1.5</v>
      </c>
      <c r="U52" s="10">
        <v>5.7</v>
      </c>
      <c r="V52" s="10">
        <v>5.35</v>
      </c>
      <c r="W52" s="10">
        <v>3.88</v>
      </c>
      <c r="X52" s="10">
        <v>39</v>
      </c>
      <c r="Y52" s="10">
        <v>0.79</v>
      </c>
      <c r="Z52" s="10">
        <v>0.13</v>
      </c>
      <c r="AA52" s="10">
        <v>7.0000000000000007E-2</v>
      </c>
      <c r="AB52" s="10">
        <v>0</v>
      </c>
      <c r="AC52" s="11">
        <f xml:space="preserve"> -0.00000000000701588*1000000000000</f>
        <v>-7.0158800000000001</v>
      </c>
      <c r="AD52" s="50">
        <f xml:space="preserve"> -0.00000000000245342*1000000000000</f>
        <v>-2.4534199999999999</v>
      </c>
      <c r="AE52" s="102">
        <f xml:space="preserve"> -0.000000000000926523*1000000000000</f>
        <v>-0.9265230000000001</v>
      </c>
      <c r="AF52" s="11">
        <f t="shared" si="13"/>
        <v>0.34969526274679724</v>
      </c>
      <c r="AG52" s="50">
        <f>(-0.00000000000270247*1000000000000)/AD52</f>
        <v>1.1015113596530557</v>
      </c>
      <c r="AH52" s="50">
        <f>AG52/Q52</f>
        <v>1.3768891995663195</v>
      </c>
      <c r="AI52" s="35" t="s">
        <v>32</v>
      </c>
      <c r="AJ52" s="22">
        <v>-3.91</v>
      </c>
      <c r="AK52" s="22">
        <v>-2.71</v>
      </c>
      <c r="AL52" s="22">
        <v>0.69</v>
      </c>
      <c r="AM52" s="22">
        <v>2.67</v>
      </c>
      <c r="AN52" s="22">
        <v>2.78</v>
      </c>
      <c r="AO52" s="22">
        <v>1.33</v>
      </c>
      <c r="AP52" s="22">
        <v>1.18</v>
      </c>
      <c r="AQ52" s="22">
        <v>6.38</v>
      </c>
      <c r="AR52" s="22">
        <v>8.14</v>
      </c>
      <c r="AS52" s="22">
        <v>42</v>
      </c>
      <c r="AT52" s="22">
        <v>0.49</v>
      </c>
      <c r="AU52" s="10">
        <v>0.14000000000000001</v>
      </c>
      <c r="AV52" s="10">
        <v>0.21</v>
      </c>
      <c r="AW52" s="10">
        <v>0.16</v>
      </c>
      <c r="AX52" s="1">
        <f t="shared" si="14"/>
        <v>0.44688634571441499</v>
      </c>
      <c r="AY52" s="14">
        <v>44.688634571441497</v>
      </c>
      <c r="AZ52" s="14"/>
      <c r="BA52" s="14"/>
      <c r="BF52" s="12"/>
      <c r="BG52" s="14"/>
      <c r="BH52" s="14"/>
      <c r="BI52" s="14"/>
      <c r="BJ52" s="14"/>
      <c r="BK52" s="14"/>
      <c r="BL52" s="14"/>
    </row>
    <row r="53" spans="1:87" s="7" customFormat="1">
      <c r="A53" s="25" t="s">
        <v>48</v>
      </c>
      <c r="C53" s="23"/>
      <c r="G53" s="60"/>
      <c r="H53" s="60"/>
      <c r="I53" s="60"/>
      <c r="K53" s="47"/>
      <c r="L53" s="60"/>
      <c r="AC53" s="60"/>
      <c r="AD53" s="47"/>
      <c r="AE53" s="43"/>
      <c r="AF53" s="60"/>
      <c r="AG53" s="47"/>
      <c r="AH53" s="47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X53" s="91">
        <f>AVERAGE(AX49:AX52)</f>
        <v>0.25711069401812625</v>
      </c>
      <c r="AY53" s="98"/>
      <c r="AZ53" s="98"/>
      <c r="BA53" s="98"/>
      <c r="BF53" s="99"/>
      <c r="BG53" s="98"/>
      <c r="BH53" s="98"/>
      <c r="BI53" s="98"/>
      <c r="BJ53" s="98"/>
      <c r="BK53" s="98"/>
      <c r="BL53" s="98"/>
    </row>
    <row r="54" spans="1:87" s="7" customFormat="1">
      <c r="A54" s="25" t="s">
        <v>50</v>
      </c>
      <c r="C54" s="23"/>
      <c r="G54" s="60"/>
      <c r="H54" s="60"/>
      <c r="I54" s="60"/>
      <c r="K54" s="47"/>
      <c r="L54" s="60"/>
      <c r="AC54" s="60"/>
      <c r="AD54" s="47"/>
      <c r="AE54" s="43"/>
      <c r="AF54" s="60"/>
      <c r="AG54" s="47"/>
      <c r="AH54" s="47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X54" s="92">
        <f>STDEV(AX49:AX52)/SQRT(AX58)</f>
        <v>7.0981765987746651E-2</v>
      </c>
      <c r="AY54" s="98"/>
      <c r="AZ54" s="98"/>
      <c r="BA54" s="98"/>
      <c r="BF54" s="99"/>
      <c r="BG54" s="98"/>
      <c r="BH54" s="98"/>
      <c r="BI54" s="98"/>
      <c r="BJ54" s="98"/>
      <c r="BK54" s="98"/>
      <c r="BL54" s="98"/>
    </row>
    <row r="55" spans="1:87" s="7" customFormat="1">
      <c r="A55" s="53" t="s">
        <v>36</v>
      </c>
      <c r="C55" s="23"/>
      <c r="G55" s="60"/>
      <c r="H55" s="60"/>
      <c r="I55" s="60"/>
      <c r="K55" s="47"/>
      <c r="L55" s="60"/>
      <c r="AC55" s="60"/>
      <c r="AD55" s="47"/>
      <c r="AE55" s="43"/>
      <c r="AF55" s="60"/>
      <c r="AG55" s="47"/>
      <c r="AH55" s="47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X55" s="93">
        <f>MEDIAN(AX49:AX52)</f>
        <v>0.23292941454459101</v>
      </c>
      <c r="AY55" s="98"/>
      <c r="AZ55" s="98"/>
      <c r="BA55" s="98"/>
      <c r="BF55" s="99"/>
      <c r="BG55" s="98"/>
      <c r="BH55" s="98"/>
      <c r="BI55" s="98"/>
      <c r="BJ55" s="98"/>
      <c r="BK55" s="98"/>
      <c r="BL55" s="98"/>
    </row>
    <row r="56" spans="1:87" s="7" customFormat="1">
      <c r="A56" s="52" t="s">
        <v>37</v>
      </c>
      <c r="C56" s="23"/>
      <c r="G56" s="60"/>
      <c r="H56" s="60"/>
      <c r="I56" s="60"/>
      <c r="K56" s="47"/>
      <c r="L56" s="60"/>
      <c r="AC56" s="60"/>
      <c r="AD56" s="47"/>
      <c r="AE56" s="43"/>
      <c r="AF56" s="60"/>
      <c r="AG56" s="47"/>
      <c r="AH56" s="47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X56" s="92">
        <f>_xlfn.QUARTILE.EXC((AX49:AX52),3)</f>
        <v>0.40351980386432051</v>
      </c>
      <c r="AY56" s="98"/>
      <c r="AZ56" s="98"/>
      <c r="BA56" s="98"/>
      <c r="BF56" s="99"/>
      <c r="BG56" s="98"/>
      <c r="BH56" s="98"/>
      <c r="BI56" s="98"/>
      <c r="BJ56" s="98"/>
      <c r="BK56" s="98"/>
      <c r="BL56" s="98"/>
    </row>
    <row r="57" spans="1:87" s="7" customFormat="1">
      <c r="A57" s="52" t="s">
        <v>38</v>
      </c>
      <c r="C57" s="23"/>
      <c r="G57" s="60"/>
      <c r="H57" s="60"/>
      <c r="I57" s="60"/>
      <c r="K57" s="47"/>
      <c r="L57" s="60"/>
      <c r="AC57" s="60"/>
      <c r="AD57" s="47"/>
      <c r="AE57" s="43"/>
      <c r="AF57" s="60"/>
      <c r="AG57" s="47"/>
      <c r="AH57" s="47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X57" s="92">
        <f>_xlfn.QUARTILE.EXC((AX49:AX52),1)</f>
        <v>0.13488286364546725</v>
      </c>
      <c r="AY57" s="98"/>
      <c r="AZ57" s="98"/>
      <c r="BA57" s="98"/>
      <c r="BF57" s="99"/>
      <c r="BG57" s="98"/>
      <c r="BH57" s="98"/>
      <c r="BI57" s="98"/>
      <c r="BJ57" s="98"/>
      <c r="BK57" s="98"/>
      <c r="BL57" s="98"/>
    </row>
    <row r="58" spans="1:87" s="30" customFormat="1">
      <c r="A58" s="52" t="s">
        <v>5</v>
      </c>
      <c r="D58" s="66"/>
      <c r="G58" s="1"/>
      <c r="I58" s="1"/>
      <c r="M58" s="79"/>
      <c r="N58" s="7"/>
      <c r="O58" s="79"/>
      <c r="P58" s="79"/>
      <c r="AG58" s="79"/>
      <c r="AH58" s="79"/>
      <c r="AI58" s="7"/>
      <c r="AK58" s="26"/>
      <c r="AL58" s="26"/>
      <c r="AM58" s="26"/>
      <c r="AN58" s="26"/>
      <c r="AO58" s="26"/>
      <c r="AP58" s="26"/>
      <c r="AR58" s="7"/>
      <c r="AS58" s="80"/>
      <c r="AT58" s="7"/>
      <c r="AU58" s="7"/>
      <c r="AX58" s="24">
        <f>COUNT((AX49:AX52))</f>
        <v>4</v>
      </c>
    </row>
    <row r="59" spans="1:87" s="10" customFormat="1">
      <c r="A59" s="51" t="s">
        <v>79</v>
      </c>
      <c r="B59" s="12" t="s">
        <v>80</v>
      </c>
      <c r="C59" s="10" t="s">
        <v>81</v>
      </c>
      <c r="D59" s="10" t="s">
        <v>34</v>
      </c>
      <c r="E59" s="10" t="s">
        <v>85</v>
      </c>
      <c r="F59" s="10" t="s">
        <v>86</v>
      </c>
      <c r="G59" s="11" t="s">
        <v>67</v>
      </c>
      <c r="H59" s="11" t="s">
        <v>3</v>
      </c>
      <c r="I59" s="11" t="s">
        <v>4</v>
      </c>
      <c r="J59" s="10" t="s">
        <v>5</v>
      </c>
      <c r="K59" s="10" t="s">
        <v>6</v>
      </c>
      <c r="L59" s="11" t="s">
        <v>7</v>
      </c>
      <c r="M59" s="11" t="s">
        <v>89</v>
      </c>
      <c r="N59" s="7"/>
      <c r="O59" s="12" t="s">
        <v>8</v>
      </c>
      <c r="P59" s="10" t="s">
        <v>11</v>
      </c>
      <c r="Q59" s="10" t="s">
        <v>10</v>
      </c>
      <c r="R59" s="12" t="s">
        <v>90</v>
      </c>
      <c r="S59" s="10" t="s">
        <v>91</v>
      </c>
      <c r="T59" s="95" t="s">
        <v>92</v>
      </c>
      <c r="U59" s="95" t="s">
        <v>93</v>
      </c>
      <c r="V59" s="10" t="s">
        <v>94</v>
      </c>
      <c r="W59" s="10" t="s">
        <v>95</v>
      </c>
      <c r="X59" s="10" t="s">
        <v>12</v>
      </c>
      <c r="Y59" s="10" t="s">
        <v>13</v>
      </c>
      <c r="Z59" s="10" t="s">
        <v>14</v>
      </c>
      <c r="AA59" s="10" t="s">
        <v>15</v>
      </c>
      <c r="AB59" s="10" t="s">
        <v>16</v>
      </c>
      <c r="AC59" s="10" t="s">
        <v>8</v>
      </c>
      <c r="AD59" s="10" t="s">
        <v>8</v>
      </c>
      <c r="AE59" s="10" t="s">
        <v>8</v>
      </c>
      <c r="AF59" s="10" t="s">
        <v>96</v>
      </c>
      <c r="AG59" s="10" t="s">
        <v>10</v>
      </c>
      <c r="AH59" s="10" t="s">
        <v>97</v>
      </c>
      <c r="AI59" s="29" t="s">
        <v>53</v>
      </c>
      <c r="AJ59" s="12" t="s">
        <v>8</v>
      </c>
      <c r="AK59" s="10" t="s">
        <v>11</v>
      </c>
      <c r="AL59" s="10" t="s">
        <v>10</v>
      </c>
      <c r="AM59" s="12" t="s">
        <v>90</v>
      </c>
      <c r="AN59" s="10" t="s">
        <v>91</v>
      </c>
      <c r="AO59" s="95" t="s">
        <v>92</v>
      </c>
      <c r="AP59" s="95" t="s">
        <v>93</v>
      </c>
      <c r="AQ59" s="10" t="s">
        <v>94</v>
      </c>
      <c r="AR59" s="10" t="s">
        <v>95</v>
      </c>
      <c r="AS59" s="10" t="s">
        <v>12</v>
      </c>
      <c r="AT59" s="10" t="s">
        <v>13</v>
      </c>
      <c r="AU59" s="10" t="s">
        <v>14</v>
      </c>
      <c r="AV59" s="10" t="s">
        <v>15</v>
      </c>
      <c r="AW59" s="10" t="s">
        <v>16</v>
      </c>
      <c r="AX59" s="10" t="s">
        <v>96</v>
      </c>
      <c r="AY59" s="10" t="s">
        <v>64</v>
      </c>
      <c r="AZ59" s="105"/>
      <c r="BA59" s="105"/>
      <c r="BQ59" s="14"/>
      <c r="BR59" s="14"/>
      <c r="BT59" s="12"/>
      <c r="CC59" s="12"/>
      <c r="CI59" s="16"/>
    </row>
    <row r="60" spans="1:87" s="30" customFormat="1">
      <c r="A60" s="30" t="s">
        <v>98</v>
      </c>
      <c r="B60" s="30" t="s">
        <v>88</v>
      </c>
      <c r="C60" s="29" t="s">
        <v>84</v>
      </c>
      <c r="D60" s="30">
        <v>20</v>
      </c>
      <c r="E60" s="30">
        <v>52</v>
      </c>
      <c r="F60" s="30">
        <v>42</v>
      </c>
      <c r="G60" s="1">
        <f xml:space="preserve"> -0.0000000000266028*1000000000000</f>
        <v>-26.602800000000002</v>
      </c>
      <c r="H60" s="1">
        <f xml:space="preserve"> 0.00000000000439524*1000000000000</f>
        <v>4.3952400000000003</v>
      </c>
      <c r="I60" s="1">
        <f xml:space="preserve"> 0.000000000000670268*1000000000000</f>
        <v>0.67026799999999997</v>
      </c>
      <c r="J60" s="30">
        <v>43</v>
      </c>
      <c r="K60" s="1">
        <f t="shared" ref="K60:K63" si="15">H60/-G60</f>
        <v>0.165217195182462</v>
      </c>
      <c r="L60" s="1">
        <v>0</v>
      </c>
      <c r="M60" s="30">
        <f>Z60+AB60</f>
        <v>0</v>
      </c>
      <c r="N60" s="107" t="s">
        <v>32</v>
      </c>
      <c r="O60" s="31">
        <v>-21.42</v>
      </c>
      <c r="P60" s="30">
        <v>-26.31</v>
      </c>
      <c r="Q60" s="30">
        <v>1.23</v>
      </c>
      <c r="R60" s="61">
        <v>0.56999999999999995</v>
      </c>
      <c r="S60" s="61">
        <v>0.53</v>
      </c>
      <c r="T60" s="30">
        <v>0.47</v>
      </c>
      <c r="U60" s="30">
        <v>0.56999999999999995</v>
      </c>
      <c r="V60" s="30">
        <v>0.61</v>
      </c>
      <c r="W60" s="30">
        <v>0.52</v>
      </c>
      <c r="X60" s="30">
        <v>29</v>
      </c>
      <c r="Y60" s="30">
        <v>1</v>
      </c>
      <c r="Z60" s="30">
        <v>0</v>
      </c>
      <c r="AA60" s="30">
        <v>0</v>
      </c>
      <c r="AB60" s="30">
        <v>0</v>
      </c>
      <c r="AC60" s="1">
        <f>-0.0000000000276309*1000000000000</f>
        <v>-27.630899999999997</v>
      </c>
      <c r="AD60" s="46">
        <f>-0.0000000000342669*1000000000000</f>
        <v>-34.2669</v>
      </c>
      <c r="AE60" s="46">
        <f>-0.0000000000303758*1000000000000</f>
        <v>-30.375800000000002</v>
      </c>
      <c r="AF60" s="1">
        <f>AE60/AC60</f>
        <v>1.0993416790622095</v>
      </c>
      <c r="AG60" s="1">
        <f>(-0.0000000000299884*1000000000000)/AE60</f>
        <v>0.98724642643156713</v>
      </c>
      <c r="AH60" s="1">
        <f>AG60/Q60</f>
        <v>0.80263937108257488</v>
      </c>
      <c r="AI60" s="107" t="s">
        <v>32</v>
      </c>
      <c r="AJ60" s="31">
        <v>-31.51</v>
      </c>
      <c r="AK60" s="30">
        <v>-32.11</v>
      </c>
      <c r="AL60" s="61">
        <v>1.02</v>
      </c>
      <c r="AM60" s="61">
        <v>0.33</v>
      </c>
      <c r="AN60" s="61">
        <v>0.32</v>
      </c>
      <c r="AO60" s="61">
        <v>0.13</v>
      </c>
      <c r="AP60" s="61">
        <v>0.13</v>
      </c>
      <c r="AQ60" s="61">
        <v>0.67</v>
      </c>
      <c r="AR60" s="61">
        <v>0.67</v>
      </c>
      <c r="AS60" s="30">
        <v>182</v>
      </c>
      <c r="AT60" s="30">
        <v>1</v>
      </c>
      <c r="AU60" s="30">
        <v>0</v>
      </c>
      <c r="AV60" s="30">
        <v>0</v>
      </c>
      <c r="AW60" s="30">
        <v>0</v>
      </c>
      <c r="AX60" s="1">
        <f>AY60/100</f>
        <v>1.37294650161444</v>
      </c>
      <c r="AY60" s="1">
        <v>137.294650161444</v>
      </c>
      <c r="AZ60" s="1"/>
      <c r="BA60" s="1"/>
      <c r="BB60" s="1"/>
      <c r="BC60" s="1"/>
      <c r="BD60" s="1"/>
      <c r="BE60" s="48"/>
      <c r="BF60" s="48"/>
      <c r="BG60" s="48"/>
      <c r="BH60" s="48"/>
      <c r="BI60" s="48"/>
      <c r="BJ60" s="48"/>
      <c r="BQ60" s="4"/>
      <c r="BR60" s="4"/>
      <c r="BT60" s="2"/>
      <c r="CC60" s="2"/>
      <c r="CI60" s="5"/>
    </row>
    <row r="61" spans="1:87" s="30" customFormat="1">
      <c r="A61" s="30" t="s">
        <v>99</v>
      </c>
      <c r="B61" s="30" t="s">
        <v>88</v>
      </c>
      <c r="C61" s="29" t="s">
        <v>84</v>
      </c>
      <c r="D61" s="30">
        <v>14</v>
      </c>
      <c r="E61" s="30">
        <v>166</v>
      </c>
      <c r="F61" s="30">
        <v>164</v>
      </c>
      <c r="G61" s="1">
        <f xml:space="preserve"> -0.0000000000489836*1000000000000</f>
        <v>-48.983599999999996</v>
      </c>
      <c r="H61" s="1">
        <f xml:space="preserve"> 0.00000000000711015*1000000000000</f>
        <v>7.11015</v>
      </c>
      <c r="I61" s="1">
        <f xml:space="preserve"> 0.000000000000888768*1000000000000</f>
        <v>0.888768</v>
      </c>
      <c r="J61" s="30">
        <v>63</v>
      </c>
      <c r="K61" s="1">
        <f t="shared" si="15"/>
        <v>0.14515368409018531</v>
      </c>
      <c r="L61" s="1">
        <v>0</v>
      </c>
      <c r="M61" s="30">
        <f t="shared" ref="M61:M63" si="16">Z61+AB61</f>
        <v>0</v>
      </c>
      <c r="N61" s="23" t="s">
        <v>32</v>
      </c>
      <c r="O61" s="31">
        <v>-49.22</v>
      </c>
      <c r="P61" s="30">
        <v>-31.55</v>
      </c>
      <c r="Q61" s="30">
        <v>0.64</v>
      </c>
      <c r="R61" s="61">
        <v>1.89</v>
      </c>
      <c r="S61" s="61">
        <v>1.69</v>
      </c>
      <c r="T61" s="30">
        <v>1.08</v>
      </c>
      <c r="U61" s="30">
        <v>1.31</v>
      </c>
      <c r="V61" s="30">
        <v>4.09</v>
      </c>
      <c r="W61" s="30">
        <v>3.27</v>
      </c>
      <c r="X61" s="30">
        <v>49</v>
      </c>
      <c r="Y61" s="30">
        <v>1</v>
      </c>
      <c r="Z61" s="30">
        <v>0</v>
      </c>
      <c r="AA61" s="30">
        <v>0</v>
      </c>
      <c r="AB61" s="30">
        <v>0</v>
      </c>
      <c r="AC61" s="1">
        <f>-0.0000000000489836*1000000000000</f>
        <v>-48.983599999999996</v>
      </c>
      <c r="AD61" s="1">
        <f>-0.0000000000435394*1000000000000</f>
        <v>-43.539400000000001</v>
      </c>
      <c r="AE61" s="1">
        <f>-0.0000000000355486*1000000000000</f>
        <v>-35.5486</v>
      </c>
      <c r="AF61" s="1">
        <f>AE61/AC61</f>
        <v>0.72572452820944156</v>
      </c>
      <c r="AG61" s="1">
        <f>(-0.0000000000196507*1000000000000)/AD61</f>
        <v>0.45133143773226092</v>
      </c>
      <c r="AH61" s="1">
        <f>AG61/Q61</f>
        <v>0.70520537145665763</v>
      </c>
      <c r="AI61" s="23" t="s">
        <v>32</v>
      </c>
      <c r="AJ61" s="31">
        <v>-43.48</v>
      </c>
      <c r="AK61" s="30">
        <v>-26.91</v>
      </c>
      <c r="AL61" s="103">
        <v>0.62</v>
      </c>
      <c r="AM61" s="61">
        <v>1.62</v>
      </c>
      <c r="AN61" s="61">
        <v>1.68</v>
      </c>
      <c r="AO61" s="61">
        <v>0.97</v>
      </c>
      <c r="AP61" s="61">
        <v>0.87</v>
      </c>
      <c r="AQ61" s="61">
        <v>4.0199999999999996</v>
      </c>
      <c r="AR61" s="61">
        <v>4.38</v>
      </c>
      <c r="AS61" s="30">
        <v>322</v>
      </c>
      <c r="AT61" s="30">
        <v>1</v>
      </c>
      <c r="AU61" s="30">
        <v>0</v>
      </c>
      <c r="AV61" s="30">
        <v>0</v>
      </c>
      <c r="AW61" s="30">
        <v>0</v>
      </c>
      <c r="AX61" s="1">
        <f t="shared" ref="AX61:AX63" si="17">AY61/100</f>
        <v>1.0581638616742302</v>
      </c>
      <c r="AY61" s="1">
        <v>105.816386167423</v>
      </c>
      <c r="AZ61" s="1"/>
      <c r="BA61" s="1"/>
      <c r="BB61" s="1"/>
      <c r="BC61" s="1"/>
      <c r="BE61" s="48"/>
      <c r="BF61" s="48"/>
      <c r="BG61" s="48"/>
      <c r="BH61" s="48"/>
      <c r="BI61" s="48"/>
      <c r="BJ61" s="48"/>
      <c r="BQ61" s="4"/>
      <c r="BR61" s="4"/>
      <c r="BT61" s="2"/>
      <c r="CC61" s="2"/>
      <c r="CI61" s="5"/>
    </row>
    <row r="62" spans="1:87" s="30" customFormat="1">
      <c r="A62" s="30" t="s">
        <v>100</v>
      </c>
      <c r="B62" s="30" t="s">
        <v>88</v>
      </c>
      <c r="C62" s="29" t="s">
        <v>84</v>
      </c>
      <c r="D62" s="30">
        <v>20</v>
      </c>
      <c r="E62" s="30">
        <v>165</v>
      </c>
      <c r="F62" s="30">
        <v>139</v>
      </c>
      <c r="G62" s="1">
        <f>-0.000000000018118*1000000000000</f>
        <v>-18.117999999999999</v>
      </c>
      <c r="H62" s="1">
        <f xml:space="preserve"> 0.0000000000074164*1000000000000</f>
        <v>7.4163999999999994</v>
      </c>
      <c r="I62" s="1">
        <f xml:space="preserve"> 0.000000000000949572*1000000000000</f>
        <v>0.94957199999999986</v>
      </c>
      <c r="J62" s="30">
        <v>61</v>
      </c>
      <c r="K62" s="1">
        <f t="shared" si="15"/>
        <v>0.40933877911469257</v>
      </c>
      <c r="L62" s="1">
        <v>0</v>
      </c>
      <c r="M62" s="30">
        <f t="shared" si="16"/>
        <v>0</v>
      </c>
      <c r="N62" s="23" t="s">
        <v>32</v>
      </c>
      <c r="O62" s="31">
        <v>-17.329999999999998</v>
      </c>
      <c r="P62" s="30">
        <v>-16.149999999999999</v>
      </c>
      <c r="Q62" s="61">
        <v>0.93</v>
      </c>
      <c r="R62" s="61">
        <v>2.12</v>
      </c>
      <c r="S62" s="61">
        <v>1.88</v>
      </c>
      <c r="T62" s="30">
        <v>0.87</v>
      </c>
      <c r="U62" s="30">
        <v>0.91</v>
      </c>
      <c r="V62" s="30">
        <v>3.71</v>
      </c>
      <c r="W62" s="30">
        <v>3.86</v>
      </c>
      <c r="X62" s="30">
        <v>28</v>
      </c>
      <c r="Y62" s="30">
        <v>1</v>
      </c>
      <c r="Z62" s="30">
        <v>0</v>
      </c>
      <c r="AA62" s="30">
        <v>0</v>
      </c>
      <c r="AB62" s="30">
        <v>0</v>
      </c>
      <c r="AC62" s="1">
        <f>-0.0000000000190619*1000000000000</f>
        <v>-19.061900000000001</v>
      </c>
      <c r="AD62" s="1">
        <f>-0.0000000000191493*1000000000000</f>
        <v>-19.1493</v>
      </c>
      <c r="AE62" s="1"/>
      <c r="AF62" s="1"/>
      <c r="AG62" s="1"/>
      <c r="AH62" s="1"/>
      <c r="AI62" s="23" t="s">
        <v>32</v>
      </c>
      <c r="AJ62" s="31">
        <v>-18.059999999999999</v>
      </c>
      <c r="AK62" s="30">
        <v>-13.72</v>
      </c>
      <c r="AL62" s="61">
        <v>0.76</v>
      </c>
      <c r="AM62" s="61">
        <v>1.85</v>
      </c>
      <c r="AN62" s="61">
        <v>1.87</v>
      </c>
      <c r="AO62" s="61">
        <v>0.68</v>
      </c>
      <c r="AP62" s="61">
        <v>0.88</v>
      </c>
      <c r="AQ62" s="61">
        <v>4.1100000000000003</v>
      </c>
      <c r="AR62" s="61">
        <v>3.69</v>
      </c>
      <c r="AS62" s="30">
        <v>101</v>
      </c>
      <c r="AT62" s="30">
        <v>0.98</v>
      </c>
      <c r="AU62" s="30">
        <v>0.02</v>
      </c>
      <c r="AV62" s="30">
        <v>0</v>
      </c>
      <c r="AW62" s="30">
        <v>0</v>
      </c>
      <c r="AX62" s="1">
        <f t="shared" si="17"/>
        <v>1.1020909846696301</v>
      </c>
      <c r="AY62" s="1">
        <v>110.209098466963</v>
      </c>
      <c r="AZ62" s="1"/>
      <c r="BA62" s="1"/>
      <c r="BB62" s="1"/>
      <c r="BC62" s="1"/>
      <c r="BD62" s="1"/>
      <c r="BE62" s="48"/>
      <c r="BF62" s="48"/>
      <c r="BG62" s="27"/>
      <c r="BH62" s="48"/>
      <c r="BI62" s="48"/>
      <c r="BM62" s="4"/>
      <c r="BN62" s="4"/>
      <c r="BO62" s="4"/>
      <c r="BQ62" s="4"/>
      <c r="BR62" s="4"/>
      <c r="CC62" s="2"/>
      <c r="CI62" s="5"/>
    </row>
    <row r="63" spans="1:87" s="10" customFormat="1">
      <c r="A63" s="10" t="s">
        <v>101</v>
      </c>
      <c r="B63" s="10" t="s">
        <v>88</v>
      </c>
      <c r="C63" s="35" t="s">
        <v>84</v>
      </c>
      <c r="D63" s="10">
        <v>17</v>
      </c>
      <c r="E63" s="10">
        <v>151</v>
      </c>
      <c r="F63" s="10">
        <v>193</v>
      </c>
      <c r="G63" s="11">
        <f xml:space="preserve"> -0.0000000000131108*1000000000000</f>
        <v>-13.110800000000001</v>
      </c>
      <c r="H63" s="11">
        <f xml:space="preserve"> 0.0000000000038662*1000000000000</f>
        <v>3.8661999999999996</v>
      </c>
      <c r="I63" s="11">
        <f xml:space="preserve"> 0.00000000000051209*1000000000000</f>
        <v>0.51209000000000005</v>
      </c>
      <c r="J63" s="10">
        <v>57</v>
      </c>
      <c r="K63" s="11">
        <f t="shared" si="15"/>
        <v>0.29488665832748567</v>
      </c>
      <c r="L63" s="11">
        <v>0</v>
      </c>
      <c r="M63" s="10">
        <f t="shared" si="16"/>
        <v>0</v>
      </c>
      <c r="N63" s="35" t="s">
        <v>32</v>
      </c>
      <c r="O63" s="19">
        <v>-11.65</v>
      </c>
      <c r="P63" s="10">
        <v>-10.68</v>
      </c>
      <c r="Q63" s="106">
        <v>0.92</v>
      </c>
      <c r="R63" s="10">
        <v>1.75</v>
      </c>
      <c r="S63" s="10">
        <v>1.66</v>
      </c>
      <c r="T63" s="10">
        <v>1.19</v>
      </c>
      <c r="U63" s="10">
        <v>1.56</v>
      </c>
      <c r="V63" s="10">
        <v>5.26</v>
      </c>
      <c r="W63" s="10">
        <v>3.62</v>
      </c>
      <c r="X63" s="10">
        <v>18</v>
      </c>
      <c r="Y63" s="10">
        <v>1</v>
      </c>
      <c r="Z63" s="10">
        <v>0</v>
      </c>
      <c r="AA63" s="10">
        <v>0</v>
      </c>
      <c r="AB63" s="10">
        <v>0</v>
      </c>
      <c r="AC63" s="11">
        <f>G63</f>
        <v>-13.110800000000001</v>
      </c>
      <c r="AD63" s="11">
        <f>-0.0000000000090358*1000000000000</f>
        <v>-9.0358000000000001</v>
      </c>
      <c r="AE63" s="11"/>
      <c r="AF63" s="11"/>
      <c r="AG63" s="11"/>
      <c r="AH63" s="11"/>
      <c r="AI63" s="35" t="s">
        <v>32</v>
      </c>
      <c r="AJ63" s="19">
        <v>-10.99</v>
      </c>
      <c r="AK63" s="19">
        <v>-8.24</v>
      </c>
      <c r="AL63" s="106">
        <v>0.75</v>
      </c>
      <c r="AM63" s="106">
        <v>1.68</v>
      </c>
      <c r="AN63" s="106">
        <v>1.68</v>
      </c>
      <c r="AO63" s="106">
        <v>0.84</v>
      </c>
      <c r="AP63" s="106">
        <v>0.55000000000000004</v>
      </c>
      <c r="AQ63" s="106">
        <v>5.19</v>
      </c>
      <c r="AR63" s="106">
        <v>7.68</v>
      </c>
      <c r="AS63" s="10">
        <v>53</v>
      </c>
      <c r="AT63" s="10">
        <v>0.88</v>
      </c>
      <c r="AU63" s="10">
        <v>0.11</v>
      </c>
      <c r="AV63" s="10">
        <v>0.01</v>
      </c>
      <c r="AW63" s="10">
        <v>0</v>
      </c>
      <c r="AX63" s="1">
        <f t="shared" si="17"/>
        <v>0.78922822748205801</v>
      </c>
      <c r="AY63" s="11">
        <v>78.922822748205803</v>
      </c>
      <c r="AZ63" s="11"/>
      <c r="BA63" s="11"/>
      <c r="BB63" s="11"/>
      <c r="BC63" s="11"/>
      <c r="BD63" s="11"/>
      <c r="BE63" s="62"/>
      <c r="BF63" s="62"/>
      <c r="BG63" s="104"/>
      <c r="BH63" s="62"/>
      <c r="BI63" s="62"/>
      <c r="BM63" s="14"/>
      <c r="BN63" s="14"/>
      <c r="BO63" s="14"/>
      <c r="CC63" s="12"/>
      <c r="CI63" s="16"/>
    </row>
    <row r="64" spans="1:87" s="30" customFormat="1">
      <c r="A64" s="25" t="s">
        <v>48</v>
      </c>
      <c r="D64" s="66"/>
      <c r="G64" s="1"/>
      <c r="I64" s="1"/>
      <c r="M64" s="79"/>
      <c r="N64" s="7"/>
      <c r="O64" s="79"/>
      <c r="P64" s="79"/>
      <c r="AG64" s="79"/>
      <c r="AH64" s="79"/>
      <c r="AJ64" s="26"/>
      <c r="AK64" s="26"/>
      <c r="AL64" s="26"/>
      <c r="AM64" s="26"/>
      <c r="AN64" s="26"/>
      <c r="AO64" s="26"/>
      <c r="AQ64" s="7"/>
      <c r="AR64" s="80"/>
      <c r="AS64" s="7"/>
      <c r="AT64" s="7"/>
      <c r="AX64" s="91">
        <f>AVERAGE(AX60:AX63)</f>
        <v>1.0806073938600895</v>
      </c>
    </row>
    <row r="65" spans="1:50">
      <c r="A65" s="25" t="s">
        <v>50</v>
      </c>
      <c r="AX65" s="92">
        <f>STDEV(AX60:AX63)/SQRT(AX69)</f>
        <v>0.11948822443125791</v>
      </c>
    </row>
    <row r="66" spans="1:50">
      <c r="A66" s="53" t="s">
        <v>36</v>
      </c>
      <c r="AX66" s="93">
        <f>MEDIAN(AX60:AX63)</f>
        <v>1.08012742317193</v>
      </c>
    </row>
    <row r="67" spans="1:50">
      <c r="A67" s="52" t="s">
        <v>37</v>
      </c>
      <c r="AX67" s="92">
        <f>_xlfn.QUARTILE.EXC((AX60:AX63),3)</f>
        <v>1.3052326223782376</v>
      </c>
    </row>
    <row r="68" spans="1:50">
      <c r="A68" s="52" t="s">
        <v>38</v>
      </c>
      <c r="AX68" s="92">
        <f>_xlfn.QUARTILE.EXC((AX60:AX63),1)</f>
        <v>0.85646213603010102</v>
      </c>
    </row>
    <row r="69" spans="1:50">
      <c r="A69" s="52" t="s">
        <v>5</v>
      </c>
      <c r="AX69" s="24">
        <f>COUNT((AX60:AX63))</f>
        <v>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UKL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Bornschein</dc:creator>
  <cp:lastModifiedBy>Bornschein</cp:lastModifiedBy>
  <dcterms:created xsi:type="dcterms:W3CDTF">2021-11-02T15:30:09Z</dcterms:created>
  <dcterms:modified xsi:type="dcterms:W3CDTF">2026-09-21T10:51:38Z</dcterms:modified>
</cp:coreProperties>
</file>