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90" windowWidth="22680" windowHeight="17595"/>
  </bookViews>
  <sheets>
    <sheet name="data" sheetId="1" r:id="rId1"/>
  </sheets>
  <calcPr calcId="145621" iterateDelta="1E-4"/>
</workbook>
</file>

<file path=xl/calcChain.xml><?xml version="1.0" encoding="utf-8"?>
<calcChain xmlns="http://schemas.openxmlformats.org/spreadsheetml/2006/main">
  <c r="BN42" i="1" l="1"/>
  <c r="BO42" i="1"/>
  <c r="BO43" i="1"/>
  <c r="BN44" i="1"/>
  <c r="BO44" i="1"/>
  <c r="BN45" i="1"/>
  <c r="BO45" i="1"/>
  <c r="BN46" i="1"/>
  <c r="BO46" i="1"/>
  <c r="BM46" i="1"/>
  <c r="BM45" i="1"/>
  <c r="BM44" i="1"/>
  <c r="BM42" i="1"/>
  <c r="BN47" i="1"/>
  <c r="BN43" i="1" s="1"/>
  <c r="BO47" i="1"/>
  <c r="BM47" i="1"/>
  <c r="BM43" i="1" s="1"/>
  <c r="BL33" i="1"/>
  <c r="BL32" i="1"/>
  <c r="BL31" i="1"/>
  <c r="BL34" i="1"/>
  <c r="BL30" i="1"/>
  <c r="BL29" i="1"/>
  <c r="AV28" i="1"/>
  <c r="AN28" i="1"/>
  <c r="AF28" i="1"/>
  <c r="L28" i="1"/>
  <c r="K28" i="1"/>
  <c r="H28" i="1"/>
  <c r="G28" i="1"/>
  <c r="F28" i="1"/>
  <c r="AV25" i="1"/>
  <c r="AN25" i="1"/>
  <c r="L25" i="1"/>
  <c r="J25" i="1"/>
  <c r="BO29" i="1"/>
  <c r="BO31" i="1"/>
  <c r="BO32" i="1"/>
  <c r="BO33" i="1"/>
  <c r="BO34" i="1"/>
  <c r="BO30" i="1" s="1"/>
  <c r="BN33" i="1"/>
  <c r="BN32" i="1"/>
  <c r="BN31" i="1"/>
  <c r="BN29" i="1"/>
  <c r="BM29" i="1"/>
  <c r="BM31" i="1"/>
  <c r="BM32" i="1"/>
  <c r="BM33" i="1"/>
  <c r="BM34" i="1"/>
  <c r="BM30" i="1" s="1"/>
  <c r="BN34" i="1"/>
  <c r="BN30" i="1" s="1"/>
  <c r="BX41" i="1"/>
  <c r="BD41" i="1"/>
  <c r="AV41" i="1"/>
  <c r="AN41" i="1"/>
  <c r="AF41" i="1"/>
  <c r="L41" i="1"/>
  <c r="H41" i="1"/>
  <c r="G41" i="1"/>
  <c r="F41" i="1"/>
  <c r="BD40" i="1"/>
  <c r="AV40" i="1"/>
  <c r="AN40" i="1"/>
  <c r="L40" i="1"/>
  <c r="H40" i="1"/>
  <c r="G40" i="1"/>
  <c r="F40" i="1"/>
  <c r="BX39" i="1"/>
  <c r="BD39" i="1"/>
  <c r="AV39" i="1"/>
  <c r="AN39" i="1"/>
  <c r="L39" i="1"/>
  <c r="H39" i="1"/>
  <c r="G39" i="1"/>
  <c r="F39" i="1"/>
  <c r="BX38" i="1"/>
  <c r="BD38" i="1"/>
  <c r="AV38" i="1"/>
  <c r="AN38" i="1"/>
  <c r="L38" i="1"/>
  <c r="H38" i="1"/>
  <c r="G38" i="1"/>
  <c r="F38" i="1"/>
  <c r="BX37" i="1"/>
  <c r="AV37" i="1"/>
  <c r="AN37" i="1"/>
  <c r="AF37" i="1"/>
  <c r="L37" i="1"/>
  <c r="H37" i="1"/>
  <c r="G37" i="1"/>
  <c r="F37" i="1"/>
  <c r="AF22" i="1"/>
  <c r="AN22" i="1"/>
  <c r="BX27" i="1"/>
  <c r="AV27" i="1"/>
  <c r="AN27" i="1"/>
  <c r="L27" i="1"/>
  <c r="K27" i="1"/>
  <c r="H27" i="1"/>
  <c r="G27" i="1"/>
  <c r="F27" i="1"/>
  <c r="BX26" i="1"/>
  <c r="AV26" i="1"/>
  <c r="AN26" i="1"/>
  <c r="L26" i="1"/>
  <c r="H26" i="1"/>
  <c r="G26" i="1"/>
  <c r="F26" i="1"/>
  <c r="BX24" i="1"/>
  <c r="AV24" i="1"/>
  <c r="AN24" i="1"/>
  <c r="L24" i="1"/>
  <c r="G24" i="1"/>
  <c r="F24" i="1"/>
  <c r="BX23" i="1"/>
  <c r="AV23" i="1"/>
  <c r="AN23" i="1"/>
  <c r="AF23" i="1"/>
  <c r="L23" i="1"/>
  <c r="H23" i="1"/>
  <c r="G23" i="1"/>
  <c r="F23" i="1"/>
  <c r="BX22" i="1"/>
  <c r="AV22" i="1"/>
  <c r="L22" i="1"/>
  <c r="H22" i="1"/>
  <c r="G22" i="1"/>
  <c r="F22" i="1"/>
  <c r="BK15" i="1"/>
  <c r="BK14" i="1"/>
  <c r="BK13" i="1"/>
  <c r="BK12" i="1"/>
  <c r="BK11" i="1"/>
  <c r="BK10" i="1"/>
  <c r="CB14" i="1"/>
  <c r="CB13" i="1"/>
  <c r="BR12" i="1"/>
  <c r="BR14" i="1"/>
  <c r="BR13" i="1"/>
  <c r="CB15" i="1"/>
  <c r="CB11" i="1" s="1"/>
  <c r="BR15" i="1"/>
  <c r="BR11" i="1" s="1"/>
  <c r="CB12" i="1"/>
  <c r="CB10" i="1"/>
  <c r="BR10" i="1"/>
  <c r="BY9" i="1"/>
  <c r="BQ9" i="1"/>
  <c r="AR9" i="1"/>
  <c r="AQ9" i="1"/>
  <c r="AG9" i="1"/>
  <c r="AF9" i="1"/>
  <c r="L9" i="1"/>
  <c r="J9" i="1"/>
  <c r="E9" i="1"/>
  <c r="D9" i="1"/>
  <c r="BQ8" i="1"/>
  <c r="AR8" i="1"/>
  <c r="AQ8" i="1"/>
  <c r="AG8" i="1"/>
  <c r="AF8" i="1"/>
  <c r="L8" i="1"/>
  <c r="K8" i="1"/>
  <c r="J8" i="1"/>
  <c r="H8" i="1"/>
  <c r="E8" i="1"/>
  <c r="D8" i="1"/>
  <c r="BQ7" i="1"/>
  <c r="AR7" i="1"/>
  <c r="AQ7" i="1"/>
  <c r="AG7" i="1"/>
  <c r="AF7" i="1"/>
  <c r="L7" i="1"/>
  <c r="K7" i="1"/>
  <c r="J7" i="1"/>
  <c r="H7" i="1"/>
  <c r="E7" i="1"/>
  <c r="D7" i="1"/>
  <c r="BQ6" i="1"/>
  <c r="AR6" i="1"/>
  <c r="AQ6" i="1"/>
  <c r="AG6" i="1"/>
  <c r="AF6" i="1"/>
  <c r="L6" i="1"/>
  <c r="K6" i="1"/>
  <c r="J6" i="1"/>
  <c r="H6" i="1"/>
  <c r="E6" i="1"/>
  <c r="D6" i="1"/>
  <c r="BQ5" i="1"/>
  <c r="AR5" i="1"/>
  <c r="AQ5" i="1"/>
  <c r="AG5" i="1"/>
  <c r="AF5" i="1"/>
  <c r="L5" i="1"/>
  <c r="K5" i="1"/>
  <c r="J5" i="1"/>
  <c r="H5" i="1"/>
  <c r="E5" i="1"/>
  <c r="D5" i="1"/>
  <c r="J28" i="1" l="1"/>
  <c r="J38" i="1"/>
  <c r="J37" i="1"/>
  <c r="J41" i="1"/>
  <c r="J39" i="1"/>
  <c r="J40" i="1"/>
  <c r="BQ13" i="1"/>
  <c r="J23" i="1"/>
  <c r="J24" i="1"/>
  <c r="J27" i="1"/>
  <c r="J26" i="1"/>
  <c r="BQ15" i="1"/>
  <c r="BQ11" i="1" s="1"/>
  <c r="BQ14" i="1"/>
  <c r="J22" i="1"/>
  <c r="BQ10" i="1"/>
  <c r="BQ12" i="1"/>
</calcChain>
</file>

<file path=xl/sharedStrings.xml><?xml version="1.0" encoding="utf-8"?>
<sst xmlns="http://schemas.openxmlformats.org/spreadsheetml/2006/main" count="351" uniqueCount="128">
  <si>
    <t>Paired Pulses</t>
  </si>
  <si>
    <t>Ca 2 mM</t>
  </si>
  <si>
    <t>50 Hz</t>
  </si>
  <si>
    <t>SD (pA)</t>
  </si>
  <si>
    <t>SEM (pA)</t>
  </si>
  <si>
    <t>n</t>
  </si>
  <si>
    <t>CV</t>
  </si>
  <si>
    <t>Failure rate</t>
  </si>
  <si>
    <t>A1</t>
  </si>
  <si>
    <t>R2</t>
  </si>
  <si>
    <t>PPR</t>
  </si>
  <si>
    <t>A2</t>
  </si>
  <si>
    <t>n2Avg</t>
  </si>
  <si>
    <t>1_1</t>
  </si>
  <si>
    <t>1_0</t>
  </si>
  <si>
    <t>0_1</t>
  </si>
  <si>
    <t>0_0</t>
  </si>
  <si>
    <t>P21-24</t>
  </si>
  <si>
    <t>Del1</t>
  </si>
  <si>
    <t>Del2</t>
  </si>
  <si>
    <t>tauR1</t>
  </si>
  <si>
    <t>tauR2</t>
  </si>
  <si>
    <t>tauD1</t>
  </si>
  <si>
    <t>tauD2</t>
  </si>
  <si>
    <t>Avg_x_x</t>
  </si>
  <si>
    <t>m</t>
  </si>
  <si>
    <t>Rs (MOhm)</t>
  </si>
  <si>
    <t>Ileak (pA)</t>
  </si>
  <si>
    <t>MD</t>
  </si>
  <si>
    <t>IQR+</t>
  </si>
  <si>
    <t>IQR-</t>
  </si>
  <si>
    <t>w</t>
  </si>
  <si>
    <t>1st Amplitude (pA)</t>
  </si>
  <si>
    <t>Frac 1_x</t>
  </si>
  <si>
    <t>Frac x_1</t>
  </si>
  <si>
    <t>n_total</t>
  </si>
  <si>
    <t>SD</t>
  </si>
  <si>
    <t>MPFA</t>
  </si>
  <si>
    <t>Mean</t>
  </si>
  <si>
    <t>SD(Delay)</t>
  </si>
  <si>
    <t>SEM</t>
  </si>
  <si>
    <t>Baseline</t>
  </si>
  <si>
    <t>250612_P25</t>
  </si>
  <si>
    <t>240313p1_P24</t>
  </si>
  <si>
    <t>240313p2_P24</t>
  </si>
  <si>
    <t>240807p2_P23</t>
  </si>
  <si>
    <t>240807p3_P23</t>
  </si>
  <si>
    <t>S1</t>
  </si>
  <si>
    <t>Amplitude (pA)</t>
  </si>
  <si>
    <t>PFC</t>
  </si>
  <si>
    <t>160504_P21_p1</t>
  </si>
  <si>
    <t>160504_P21_p2</t>
  </si>
  <si>
    <t>160510_P24</t>
  </si>
  <si>
    <t>160511_P23</t>
  </si>
  <si>
    <t>160524_P23</t>
  </si>
  <si>
    <t>160530_P22</t>
  </si>
  <si>
    <t>160616_P21</t>
  </si>
  <si>
    <t>160622_P21_gDGG</t>
  </si>
  <si>
    <t>160623_P22_gDGG</t>
  </si>
  <si>
    <t>160707_P21_gDGG_p1</t>
  </si>
  <si>
    <t>160707_P21_gDGG_p2</t>
  </si>
  <si>
    <t>160725_P24_gDGG</t>
  </si>
  <si>
    <t>Date_Age_No</t>
  </si>
  <si>
    <t>Sex</t>
  </si>
  <si>
    <t>Notes</t>
  </si>
  <si>
    <t>P21-26</t>
  </si>
  <si>
    <t>L5PN-L5PN</t>
  </si>
  <si>
    <t>c_post (pF)</t>
  </si>
  <si>
    <t>w.</t>
  </si>
  <si>
    <t>m.</t>
  </si>
  <si>
    <t>Ampl1</t>
  </si>
  <si>
    <t xml:space="preserve">n </t>
  </si>
  <si>
    <t>Fail1</t>
  </si>
  <si>
    <t>PPRr</t>
  </si>
  <si>
    <t>PPRa</t>
  </si>
  <si>
    <t>Frac_1_1</t>
  </si>
  <si>
    <t>Frac_1_0</t>
  </si>
  <si>
    <t>Frac_0_1</t>
  </si>
  <si>
    <t>Frac_0_0</t>
  </si>
  <si>
    <t>Frac_1_x</t>
  </si>
  <si>
    <t>Frac_x_1</t>
  </si>
  <si>
    <t>p_2mM</t>
  </si>
  <si>
    <t>p_1mM</t>
  </si>
  <si>
    <t>p_5mM</t>
  </si>
  <si>
    <t>p_8mM</t>
  </si>
  <si>
    <t>p_0.5mM</t>
  </si>
  <si>
    <t>p_2mM.2</t>
  </si>
  <si>
    <t>q</t>
  </si>
  <si>
    <t>N</t>
  </si>
  <si>
    <r>
      <t>Ca 0.5mM/</t>
    </r>
    <r>
      <rPr>
        <b/>
        <sz val="11"/>
        <color rgb="FF0070C0"/>
        <rFont val="Calibri"/>
        <family val="2"/>
        <scheme val="minor"/>
      </rPr>
      <t>8mM</t>
    </r>
  </si>
  <si>
    <t>qEPSCs</t>
  </si>
  <si>
    <t>Ca 1 mM</t>
  </si>
  <si>
    <t>Ca 5 mM</t>
  </si>
  <si>
    <t>wo error correction</t>
  </si>
  <si>
    <t>with error correction</t>
  </si>
  <si>
    <t>Fail2</t>
  </si>
  <si>
    <t>delta1</t>
  </si>
  <si>
    <t>delta2</t>
  </si>
  <si>
    <t>tau rise1</t>
  </si>
  <si>
    <t>tau rise2</t>
  </si>
  <si>
    <t>tau decay1</t>
  </si>
  <si>
    <t>tau decay2</t>
  </si>
  <si>
    <t>EPSC(norm)</t>
  </si>
  <si>
    <t>mEPSCs</t>
  </si>
  <si>
    <t>q (pA)</t>
  </si>
  <si>
    <t>p (2 mM)</t>
  </si>
  <si>
    <t>p (0.5mM Ca)</t>
  </si>
  <si>
    <t>p (1mM Ca)</t>
  </si>
  <si>
    <t>p (5mM Ca)</t>
  </si>
  <si>
    <t>r (2 mM Ca)</t>
  </si>
  <si>
    <t>r (0.5 mM Ca)</t>
  </si>
  <si>
    <t>r (1 mM Ca)</t>
  </si>
  <si>
    <t>r (5 mM Ca)</t>
  </si>
  <si>
    <r>
      <t>F (</t>
    </r>
    <r>
      <rPr>
        <sz val="11"/>
        <color theme="1"/>
        <rFont val="Calibri"/>
        <family val="2"/>
        <scheme val="minor"/>
      </rPr>
      <t>1 mM Ca)</t>
    </r>
  </si>
  <si>
    <t>-27.89</t>
  </si>
  <si>
    <t>parabola</t>
  </si>
  <si>
    <r>
      <t>F (</t>
    </r>
    <r>
      <rPr>
        <sz val="11"/>
        <color theme="1"/>
        <rFont val="Calibri"/>
        <family val="2"/>
        <scheme val="minor"/>
      </rPr>
      <t>1 mM Ca)</t>
    </r>
  </si>
  <si>
    <t>Test Stationarity: Pearson Correlation, P&gt;0.05</t>
  </si>
  <si>
    <t>Ca 0.5 mM</t>
  </si>
  <si>
    <t>A1(2MPFA)</t>
  </si>
  <si>
    <r>
      <t>Calculate p</t>
    </r>
    <r>
      <rPr>
        <vertAlign val="subscript"/>
        <sz val="11"/>
        <color indexed="8"/>
        <rFont val="Arial"/>
        <family val="2"/>
      </rPr>
      <t xml:space="preserve">r </t>
    </r>
    <r>
      <rPr>
        <sz val="11"/>
        <color theme="1"/>
        <rFont val="Calibri"/>
        <family val="2"/>
        <scheme val="minor"/>
      </rPr>
      <t>from F:</t>
    </r>
  </si>
  <si>
    <t>Ca 2 mM + gDGG</t>
  </si>
  <si>
    <r>
      <t>p (0.5/</t>
    </r>
    <r>
      <rPr>
        <sz val="11"/>
        <color theme="0" tint="-0.499984740745262"/>
        <rFont val="Arial"/>
        <family val="2"/>
      </rPr>
      <t>10</t>
    </r>
    <r>
      <rPr>
        <sz val="11"/>
        <color theme="1"/>
        <rFont val="Calibri"/>
        <family val="2"/>
        <scheme val="minor"/>
      </rPr>
      <t xml:space="preserve"> mM Ca)</t>
    </r>
  </si>
  <si>
    <r>
      <t>r (0.5/</t>
    </r>
    <r>
      <rPr>
        <sz val="11"/>
        <color theme="0" tint="-0.499984740745262"/>
        <rFont val="Arial"/>
        <family val="2"/>
      </rPr>
      <t xml:space="preserve">10 </t>
    </r>
    <r>
      <rPr>
        <sz val="11"/>
        <color theme="1"/>
        <rFont val="Calibri"/>
        <family val="2"/>
        <scheme val="minor"/>
      </rPr>
      <t>mM Ca)</t>
    </r>
  </si>
  <si>
    <t>MPFA + 1 mM gDGG</t>
  </si>
  <si>
    <t>MPFA + 2 mM gDGG</t>
  </si>
  <si>
    <t>(wo gDGG)</t>
  </si>
  <si>
    <t>Ca 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</si>
</sst>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 Unicode MS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indexed="2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indexed="8"/>
      <name val="Arial"/>
      <family val="2"/>
    </font>
    <font>
      <sz val="11"/>
      <color indexed="23"/>
      <name val="Arial"/>
      <family val="2"/>
    </font>
    <font>
      <sz val="11"/>
      <name val="Calibri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vertAlign val="subscript"/>
      <sz val="11"/>
      <color indexed="8"/>
      <name val="Arial"/>
      <family val="2"/>
    </font>
    <font>
      <sz val="11"/>
      <color theme="0" tint="-0.499984740745262"/>
      <name val="Arial"/>
      <family val="2"/>
    </font>
    <font>
      <sz val="10"/>
      <color indexed="8"/>
      <name val="Arial Unicode MS"/>
    </font>
    <font>
      <sz val="10"/>
      <color theme="0" tint="-0.499984740745262"/>
      <name val="Arial Unicode MS"/>
    </font>
    <font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2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right"/>
    </xf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0" fillId="0" borderId="0" xfId="0" applyFont="1" applyBorder="1"/>
    <xf numFmtId="0" fontId="1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horizontal="right"/>
    </xf>
    <xf numFmtId="0" fontId="0" fillId="0" borderId="0" xfId="0" applyNumberFormat="1"/>
    <xf numFmtId="0" fontId="0" fillId="0" borderId="1" xfId="0" applyNumberFormat="1" applyFont="1" applyBorder="1"/>
    <xf numFmtId="0" fontId="0" fillId="0" borderId="1" xfId="0" applyNumberFormat="1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/>
    <xf numFmtId="0" fontId="0" fillId="0" borderId="0" xfId="0" applyBorder="1"/>
    <xf numFmtId="0" fontId="0" fillId="0" borderId="0" xfId="0" applyNumberFormat="1" applyBorder="1"/>
    <xf numFmtId="0" fontId="0" fillId="0" borderId="0" xfId="0" applyFill="1" applyBorder="1"/>
    <xf numFmtId="0" fontId="7" fillId="0" borderId="0" xfId="0" applyFont="1"/>
    <xf numFmtId="2" fontId="1" fillId="0" borderId="0" xfId="0" applyNumberFormat="1" applyFont="1"/>
    <xf numFmtId="0" fontId="0" fillId="0" borderId="0" xfId="0"/>
    <xf numFmtId="0" fontId="0" fillId="0" borderId="0" xfId="0" applyFont="1"/>
    <xf numFmtId="0" fontId="0" fillId="0" borderId="0" xfId="0" applyNumberFormat="1" applyFont="1"/>
    <xf numFmtId="11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1" xfId="0" applyBorder="1"/>
    <xf numFmtId="11" fontId="2" fillId="0" borderId="0" xfId="0" applyNumberFormat="1" applyFont="1"/>
    <xf numFmtId="0" fontId="2" fillId="0" borderId="0" xfId="0" applyNumberFormat="1" applyFont="1"/>
    <xf numFmtId="0" fontId="2" fillId="0" borderId="0" xfId="0" applyFont="1"/>
    <xf numFmtId="0" fontId="1" fillId="0" borderId="0" xfId="0" applyNumberFormat="1" applyFont="1"/>
    <xf numFmtId="49" fontId="0" fillId="0" borderId="0" xfId="0" applyNumberFormat="1"/>
    <xf numFmtId="49" fontId="0" fillId="0" borderId="1" xfId="0" applyNumberFormat="1" applyBorder="1"/>
    <xf numFmtId="49" fontId="1" fillId="0" borderId="0" xfId="0" applyNumberFormat="1" applyFont="1"/>
    <xf numFmtId="1" fontId="0" fillId="0" borderId="0" xfId="0" applyNumberFormat="1"/>
    <xf numFmtId="1" fontId="1" fillId="0" borderId="0" xfId="0" applyNumberFormat="1" applyFont="1"/>
    <xf numFmtId="0" fontId="11" fillId="0" borderId="0" xfId="0" applyFont="1" applyBorder="1"/>
    <xf numFmtId="0" fontId="0" fillId="0" borderId="0" xfId="0" applyFont="1" applyFill="1" applyBorder="1"/>
    <xf numFmtId="2" fontId="13" fillId="0" borderId="0" xfId="0" applyNumberFormat="1" applyFont="1"/>
    <xf numFmtId="2" fontId="4" fillId="0" borderId="0" xfId="0" applyNumberFormat="1" applyFont="1" applyBorder="1"/>
    <xf numFmtId="2" fontId="11" fillId="0" borderId="0" xfId="0" applyNumberFormat="1" applyFont="1" applyBorder="1"/>
    <xf numFmtId="2" fontId="11" fillId="0" borderId="0" xfId="0" applyNumberFormat="1" applyFont="1"/>
    <xf numFmtId="0" fontId="11" fillId="0" borderId="0" xfId="0" applyFont="1"/>
    <xf numFmtId="2" fontId="4" fillId="0" borderId="0" xfId="0" applyNumberFormat="1" applyFont="1"/>
    <xf numFmtId="164" fontId="4" fillId="0" borderId="0" xfId="0" applyNumberFormat="1" applyFont="1" applyBorder="1"/>
    <xf numFmtId="0" fontId="0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9" fillId="0" borderId="0" xfId="0" applyFont="1" applyFill="1"/>
    <xf numFmtId="0" fontId="0" fillId="0" borderId="0" xfId="0" applyNumberFormat="1" applyFont="1" applyBorder="1"/>
    <xf numFmtId="2" fontId="0" fillId="0" borderId="0" xfId="0" applyNumberFormat="1" applyFont="1" applyBorder="1"/>
    <xf numFmtId="0" fontId="14" fillId="0" borderId="0" xfId="0" applyFont="1" applyFill="1"/>
    <xf numFmtId="49" fontId="15" fillId="0" borderId="0" xfId="0" applyNumberFormat="1" applyFont="1"/>
    <xf numFmtId="0" fontId="15" fillId="0" borderId="0" xfId="0" applyFont="1"/>
    <xf numFmtId="0" fontId="16" fillId="0" borderId="0" xfId="0" applyFont="1"/>
    <xf numFmtId="49" fontId="14" fillId="0" borderId="0" xfId="0" applyNumberFormat="1" applyFont="1" applyBorder="1"/>
    <xf numFmtId="0" fontId="15" fillId="0" borderId="0" xfId="0" applyFont="1" applyAlignment="1">
      <alignment horizontal="left"/>
    </xf>
    <xf numFmtId="2" fontId="14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0" fontId="14" fillId="0" borderId="0" xfId="0" applyFont="1"/>
    <xf numFmtId="0" fontId="15" fillId="0" borderId="0" xfId="0" applyFont="1" applyBorder="1"/>
    <xf numFmtId="0" fontId="15" fillId="0" borderId="0" xfId="0" applyFont="1" applyFill="1"/>
    <xf numFmtId="2" fontId="13" fillId="0" borderId="0" xfId="0" applyNumberFormat="1" applyFont="1" applyBorder="1"/>
    <xf numFmtId="0" fontId="16" fillId="0" borderId="0" xfId="0" applyFont="1" applyBorder="1"/>
    <xf numFmtId="0" fontId="4" fillId="0" borderId="0" xfId="0" applyFont="1" applyBorder="1"/>
    <xf numFmtId="0" fontId="4" fillId="0" borderId="0" xfId="0" applyFont="1" applyFill="1" applyBorder="1"/>
    <xf numFmtId="2" fontId="15" fillId="0" borderId="0" xfId="0" applyNumberFormat="1" applyFont="1"/>
    <xf numFmtId="0" fontId="0" fillId="0" borderId="1" xfId="0" applyBorder="1" applyAlignment="1">
      <alignment horizontal="left"/>
    </xf>
    <xf numFmtId="11" fontId="2" fillId="0" borderId="1" xfId="0" applyNumberFormat="1" applyFont="1" applyBorder="1"/>
    <xf numFmtId="0" fontId="2" fillId="0" borderId="1" xfId="0" applyNumberFormat="1" applyFont="1" applyBorder="1"/>
    <xf numFmtId="0" fontId="2" fillId="0" borderId="1" xfId="0" applyFont="1" applyBorder="1"/>
    <xf numFmtId="0" fontId="5" fillId="0" borderId="1" xfId="0" applyFont="1" applyBorder="1"/>
    <xf numFmtId="0" fontId="8" fillId="0" borderId="1" xfId="0" applyNumberFormat="1" applyFont="1" applyBorder="1"/>
    <xf numFmtId="0" fontId="8" fillId="0" borderId="1" xfId="0" applyFont="1" applyBorder="1"/>
    <xf numFmtId="11" fontId="0" fillId="0" borderId="1" xfId="0" applyNumberFormat="1" applyBorder="1"/>
    <xf numFmtId="0" fontId="18" fillId="0" borderId="0" xfId="0" applyFont="1"/>
    <xf numFmtId="2" fontId="10" fillId="0" borderId="0" xfId="0" applyNumberFormat="1" applyFont="1"/>
    <xf numFmtId="2" fontId="4" fillId="0" borderId="0" xfId="0" applyNumberFormat="1" applyFont="1" applyAlignment="1">
      <alignment horizontal="right"/>
    </xf>
    <xf numFmtId="0" fontId="4" fillId="0" borderId="0" xfId="0" applyNumberFormat="1" applyFont="1"/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11" fillId="0" borderId="0" xfId="0" applyNumberFormat="1" applyFont="1"/>
    <xf numFmtId="2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left"/>
    </xf>
    <xf numFmtId="49" fontId="11" fillId="0" borderId="0" xfId="0" applyNumberFormat="1" applyFont="1"/>
    <xf numFmtId="0" fontId="21" fillId="0" borderId="0" xfId="0" applyFont="1"/>
    <xf numFmtId="0" fontId="0" fillId="0" borderId="1" xfId="0" applyFont="1" applyBorder="1" applyAlignment="1">
      <alignment horizontal="left"/>
    </xf>
    <xf numFmtId="0" fontId="22" fillId="0" borderId="0" xfId="0" applyFont="1"/>
    <xf numFmtId="0" fontId="23" fillId="0" borderId="0" xfId="0" applyFont="1"/>
    <xf numFmtId="49" fontId="19" fillId="0" borderId="0" xfId="0" applyNumberFormat="1" applyFont="1" applyBorder="1"/>
    <xf numFmtId="0" fontId="22" fillId="0" borderId="0" xfId="0" applyFont="1" applyAlignment="1">
      <alignment horizontal="left"/>
    </xf>
    <xf numFmtId="49" fontId="22" fillId="0" borderId="0" xfId="0" applyNumberFormat="1" applyFont="1"/>
    <xf numFmtId="0" fontId="1" fillId="0" borderId="1" xfId="0" applyFont="1" applyBorder="1"/>
    <xf numFmtId="0" fontId="26" fillId="0" borderId="0" xfId="0" applyFont="1"/>
    <xf numFmtId="0" fontId="27" fillId="0" borderId="0" xfId="0" applyFont="1"/>
    <xf numFmtId="0" fontId="25" fillId="0" borderId="0" xfId="0" applyFont="1"/>
    <xf numFmtId="49" fontId="0" fillId="0" borderId="0" xfId="0" applyNumberFormat="1" applyFont="1" applyBorder="1"/>
    <xf numFmtId="2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2" fontId="10" fillId="0" borderId="1" xfId="0" applyNumberFormat="1" applyFont="1" applyBorder="1"/>
    <xf numFmtId="2" fontId="20" fillId="0" borderId="1" xfId="0" applyNumberFormat="1" applyFont="1" applyBorder="1"/>
    <xf numFmtId="0" fontId="20" fillId="0" borderId="1" xfId="0" applyFont="1" applyBorder="1"/>
    <xf numFmtId="0" fontId="26" fillId="0" borderId="1" xfId="0" applyFont="1" applyBorder="1"/>
    <xf numFmtId="0" fontId="0" fillId="0" borderId="0" xfId="0" applyNumberFormat="1" applyFont="1" applyBorder="1" applyAlignment="1">
      <alignment horizontal="right"/>
    </xf>
    <xf numFmtId="49" fontId="4" fillId="0" borderId="0" xfId="0" applyNumberFormat="1" applyFont="1" applyBorder="1"/>
    <xf numFmtId="164" fontId="0" fillId="0" borderId="0" xfId="0" applyNumberFormat="1" applyFont="1" applyBorder="1"/>
    <xf numFmtId="2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4" fillId="0" borderId="0" xfId="0" applyNumberFormat="1" applyFont="1" applyBorder="1"/>
    <xf numFmtId="0" fontId="36" fillId="0" borderId="0" xfId="0" applyFont="1" applyFill="1" applyBorder="1"/>
    <xf numFmtId="0" fontId="37" fillId="0" borderId="0" xfId="0" applyFont="1" applyFill="1" applyBorder="1"/>
    <xf numFmtId="0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/>
    <xf numFmtId="49" fontId="0" fillId="0" borderId="0" xfId="0" applyNumberFormat="1" applyFont="1" applyFill="1" applyBorder="1"/>
    <xf numFmtId="164" fontId="0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2" fontId="4" fillId="0" borderId="0" xfId="0" applyNumberFormat="1" applyFont="1" applyFill="1" applyBorder="1"/>
    <xf numFmtId="0" fontId="12" fillId="0" borderId="0" xfId="0" applyFont="1" applyFill="1" applyBorder="1"/>
    <xf numFmtId="2" fontId="12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right"/>
    </xf>
    <xf numFmtId="2" fontId="12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2" fontId="15" fillId="0" borderId="0" xfId="0" applyNumberFormat="1" applyFont="1" applyFill="1" applyBorder="1"/>
    <xf numFmtId="0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22" fillId="0" borderId="0" xfId="0" applyFont="1" applyFill="1" applyBorder="1"/>
    <xf numFmtId="49" fontId="22" fillId="0" borderId="0" xfId="0" applyNumberFormat="1" applyFont="1" applyFill="1" applyBorder="1"/>
    <xf numFmtId="1" fontId="0" fillId="0" borderId="0" xfId="0" applyNumberFormat="1" applyFont="1" applyFill="1" applyBorder="1"/>
    <xf numFmtId="2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0" fontId="4" fillId="0" borderId="0" xfId="0" applyNumberFormat="1" applyFont="1" applyFill="1" applyBorder="1"/>
    <xf numFmtId="0" fontId="0" fillId="0" borderId="0" xfId="0" applyNumberFormat="1" applyFont="1" applyFill="1" applyBorder="1"/>
    <xf numFmtId="0" fontId="28" fillId="0" borderId="1" xfId="0" applyFont="1" applyFill="1" applyBorder="1"/>
    <xf numFmtId="0" fontId="0" fillId="0" borderId="1" xfId="0" applyNumberFormat="1" applyFill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0" fontId="29" fillId="0" borderId="0" xfId="0" applyFont="1" applyFill="1" applyBorder="1"/>
    <xf numFmtId="0" fontId="30" fillId="0" borderId="0" xfId="0" applyFont="1" applyFill="1" applyBorder="1"/>
    <xf numFmtId="0" fontId="0" fillId="0" borderId="0" xfId="0" applyNumberFormat="1" applyFill="1" applyBorder="1" applyAlignment="1">
      <alignment horizontal="right"/>
    </xf>
    <xf numFmtId="0" fontId="28" fillId="0" borderId="0" xfId="0" applyFont="1" applyFill="1" applyBorder="1"/>
    <xf numFmtId="0" fontId="21" fillId="0" borderId="0" xfId="0" applyFont="1" applyFill="1" applyBorder="1"/>
    <xf numFmtId="0" fontId="21" fillId="0" borderId="0" xfId="0" applyNumberFormat="1" applyFont="1" applyFill="1" applyBorder="1" applyAlignment="1">
      <alignment horizontal="right"/>
    </xf>
    <xf numFmtId="2" fontId="21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31" fillId="0" borderId="0" xfId="0" applyFont="1" applyFill="1" applyBorder="1"/>
    <xf numFmtId="0" fontId="31" fillId="0" borderId="0" xfId="0" applyNumberFormat="1" applyFont="1" applyFill="1" applyBorder="1" applyAlignment="1">
      <alignment horizontal="right"/>
    </xf>
    <xf numFmtId="2" fontId="31" fillId="0" borderId="0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33" fillId="0" borderId="0" xfId="0" applyFont="1" applyFill="1" applyBorder="1"/>
    <xf numFmtId="0" fontId="32" fillId="0" borderId="0" xfId="0" applyNumberFormat="1" applyFont="1" applyFill="1" applyBorder="1" applyAlignment="1">
      <alignment horizontal="right"/>
    </xf>
    <xf numFmtId="2" fontId="32" fillId="0" borderId="0" xfId="0" applyNumberFormat="1" applyFont="1" applyFill="1" applyBorder="1" applyAlignment="1">
      <alignment horizontal="right"/>
    </xf>
    <xf numFmtId="2" fontId="22" fillId="0" borderId="0" xfId="0" applyNumberFormat="1" applyFont="1" applyFill="1" applyBorder="1"/>
    <xf numFmtId="0" fontId="34" fillId="0" borderId="0" xfId="0" applyFont="1" applyFill="1" applyBorder="1"/>
    <xf numFmtId="2" fontId="34" fillId="0" borderId="0" xfId="0" applyNumberFormat="1" applyFont="1" applyFill="1" applyBorder="1"/>
    <xf numFmtId="0" fontId="34" fillId="0" borderId="0" xfId="0" applyNumberFormat="1" applyFont="1" applyFill="1" applyBorder="1" applyAlignment="1">
      <alignment horizontal="right"/>
    </xf>
    <xf numFmtId="2" fontId="34" fillId="0" borderId="0" xfId="0" applyNumberFormat="1" applyFont="1" applyFill="1" applyBorder="1" applyAlignment="1">
      <alignment horizontal="right"/>
    </xf>
    <xf numFmtId="2" fontId="28" fillId="0" borderId="0" xfId="0" applyNumberFormat="1" applyFont="1" applyFill="1" applyBorder="1"/>
    <xf numFmtId="0" fontId="28" fillId="0" borderId="0" xfId="0" applyNumberFormat="1" applyFont="1" applyFill="1" applyBorder="1" applyAlignment="1">
      <alignment horizontal="right"/>
    </xf>
    <xf numFmtId="2" fontId="28" fillId="0" borderId="0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0" fontId="0" fillId="0" borderId="0" xfId="0" applyNumberFormat="1" applyFill="1" applyBorder="1"/>
    <xf numFmtId="0" fontId="35" fillId="0" borderId="0" xfId="0" applyFont="1" applyFill="1" applyBorder="1"/>
    <xf numFmtId="49" fontId="31" fillId="0" borderId="0" xfId="0" applyNumberFormat="1" applyFont="1" applyFill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/>
    <xf numFmtId="0" fontId="11" fillId="0" borderId="1" xfId="0" applyFont="1" applyBorder="1"/>
    <xf numFmtId="2" fontId="11" fillId="0" borderId="1" xfId="0" applyNumberFormat="1" applyFont="1" applyBorder="1"/>
    <xf numFmtId="2" fontId="11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/>
    <xf numFmtId="49" fontId="0" fillId="0" borderId="0" xfId="0" applyNumberFormat="1" applyBorder="1"/>
    <xf numFmtId="0" fontId="14" fillId="0" borderId="0" xfId="0" applyFont="1" applyBorder="1"/>
    <xf numFmtId="2" fontId="16" fillId="0" borderId="0" xfId="0" applyNumberFormat="1" applyFont="1" applyBorder="1"/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2" fontId="14" fillId="0" borderId="0" xfId="0" applyNumberFormat="1" applyFont="1" applyBorder="1" applyAlignment="1">
      <alignment horizontal="right"/>
    </xf>
    <xf numFmtId="2" fontId="16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left"/>
    </xf>
    <xf numFmtId="2" fontId="0" fillId="0" borderId="0" xfId="0" applyNumberFormat="1" applyFont="1" applyBorder="1" applyAlignment="1">
      <alignment horizontal="left"/>
    </xf>
    <xf numFmtId="0" fontId="11" fillId="0" borderId="0" xfId="0" applyNumberFormat="1" applyFont="1" applyBorder="1"/>
    <xf numFmtId="0" fontId="21" fillId="0" borderId="1" xfId="0" applyFont="1" applyFill="1" applyBorder="1"/>
    <xf numFmtId="0" fontId="21" fillId="0" borderId="1" xfId="0" applyNumberFormat="1" applyFont="1" applyFill="1" applyBorder="1" applyAlignment="1">
      <alignment horizontal="right"/>
    </xf>
    <xf numFmtId="2" fontId="21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/>
    <xf numFmtId="0" fontId="4" fillId="0" borderId="1" xfId="0" applyFont="1" applyFill="1" applyBorder="1"/>
    <xf numFmtId="49" fontId="0" fillId="0" borderId="1" xfId="0" applyNumberFormat="1" applyFont="1" applyFill="1" applyBorder="1"/>
    <xf numFmtId="164" fontId="0" fillId="0" borderId="1" xfId="0" applyNumberFormat="1" applyFont="1" applyFill="1" applyBorder="1"/>
    <xf numFmtId="2" fontId="0" fillId="0" borderId="1" xfId="0" applyNumberFormat="1" applyFont="1" applyFill="1" applyBorder="1"/>
    <xf numFmtId="0" fontId="28" fillId="0" borderId="1" xfId="0" applyNumberFormat="1" applyFont="1" applyFill="1" applyBorder="1"/>
    <xf numFmtId="2" fontId="15" fillId="0" borderId="1" xfId="0" applyNumberFormat="1" applyFont="1" applyFill="1" applyBorder="1"/>
    <xf numFmtId="0" fontId="4" fillId="0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Y69"/>
  <sheetViews>
    <sheetView tabSelected="1" topLeftCell="A16" zoomScaleNormal="100" workbookViewId="0">
      <pane xSplit="1" topLeftCell="BG1" activePane="topRight" state="frozen"/>
      <selection pane="topRight" activeCell="BO33" sqref="BO33"/>
    </sheetView>
  </sheetViews>
  <sheetFormatPr baseColWidth="10" defaultRowHeight="15"/>
  <cols>
    <col min="1" max="1" width="14.28515625" style="52" customWidth="1"/>
    <col min="2" max="2" width="11.42578125" style="37"/>
    <col min="3" max="3" width="22.7109375" customWidth="1"/>
    <col min="4" max="4" width="13" bestFit="1" customWidth="1"/>
    <col min="6" max="6" width="12.7109375" bestFit="1" customWidth="1"/>
    <col min="7" max="8" width="12" bestFit="1" customWidth="1"/>
    <col min="9" max="12" width="11.42578125" style="14"/>
  </cols>
  <sheetData>
    <row r="1" spans="1:233" s="26" customFormat="1" ht="18.75">
      <c r="A1" s="54" t="s">
        <v>49</v>
      </c>
      <c r="B1" s="37"/>
      <c r="I1" s="30"/>
      <c r="J1" s="30"/>
      <c r="K1" s="30"/>
      <c r="L1" s="30"/>
    </row>
    <row r="2" spans="1:233" s="27" customFormat="1">
      <c r="A2" s="57" t="s">
        <v>66</v>
      </c>
      <c r="B2" s="58"/>
      <c r="G2" s="1"/>
      <c r="H2" s="1"/>
      <c r="I2" s="28"/>
      <c r="J2" s="28"/>
      <c r="K2" s="28"/>
      <c r="L2" s="28"/>
      <c r="M2" s="1"/>
      <c r="N2" s="44"/>
      <c r="P2" s="59"/>
      <c r="S2" s="60"/>
      <c r="T2" s="60"/>
      <c r="U2" s="60"/>
      <c r="V2" s="60"/>
      <c r="W2" s="60"/>
      <c r="X2" s="60"/>
      <c r="Y2" s="60"/>
      <c r="Z2" s="60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V2" s="60"/>
      <c r="AW2" s="59"/>
      <c r="AY2" s="60"/>
      <c r="BF2" s="2"/>
      <c r="BG2" s="2"/>
      <c r="BH2" s="2"/>
      <c r="BI2" s="2"/>
      <c r="BK2" s="3"/>
      <c r="BL2" s="61"/>
      <c r="BP2" s="59"/>
      <c r="BS2" s="60"/>
      <c r="BT2" s="60"/>
      <c r="BU2" s="60"/>
      <c r="BV2" s="60"/>
      <c r="BW2" s="60"/>
      <c r="BX2" s="60"/>
      <c r="BY2" s="60"/>
      <c r="BZ2" s="60"/>
      <c r="CA2" s="60"/>
      <c r="CB2" s="59"/>
      <c r="CC2" s="59"/>
      <c r="CD2" s="59"/>
      <c r="CE2" s="59"/>
      <c r="CF2" s="61"/>
      <c r="CG2" s="60"/>
      <c r="CI2" s="59"/>
      <c r="CJ2" s="59"/>
      <c r="CK2" s="59"/>
      <c r="CL2" s="62"/>
      <c r="CN2" s="60"/>
      <c r="CO2" s="3"/>
      <c r="CP2" s="59"/>
      <c r="CR2" s="59"/>
      <c r="CS2" s="59"/>
      <c r="CT2" s="62"/>
      <c r="CV2" s="60"/>
      <c r="CW2" s="3"/>
      <c r="CX2" s="59"/>
      <c r="CZ2" s="59"/>
      <c r="DA2" s="59"/>
      <c r="DB2" s="62"/>
      <c r="DD2" s="60"/>
      <c r="DE2" s="3"/>
      <c r="DF2" s="59"/>
      <c r="DH2" s="59"/>
      <c r="DJ2" s="61"/>
      <c r="DW2" s="63"/>
      <c r="DX2" s="64"/>
      <c r="DY2" s="4"/>
      <c r="DZ2" s="4"/>
      <c r="EA2" s="65"/>
      <c r="EB2" s="4"/>
      <c r="EC2" s="4"/>
      <c r="ED2" s="4"/>
      <c r="EE2" s="4"/>
      <c r="EF2" s="4"/>
      <c r="EG2" s="4"/>
      <c r="EH2" s="4"/>
      <c r="EI2" s="66"/>
      <c r="EJ2" s="60"/>
      <c r="EM2" s="58"/>
      <c r="EN2" s="4"/>
      <c r="EO2" s="4"/>
      <c r="EP2" s="4"/>
      <c r="EQ2" s="4"/>
      <c r="ER2" s="4"/>
      <c r="ES2" s="4"/>
      <c r="EU2" s="67"/>
      <c r="EZ2" s="58"/>
      <c r="FI2" s="2"/>
      <c r="FK2" s="59"/>
      <c r="FM2" s="59"/>
      <c r="FO2" s="5"/>
      <c r="FP2" s="59"/>
      <c r="FT2" s="67"/>
      <c r="FX2" s="67"/>
      <c r="GC2" s="59"/>
    </row>
    <row r="3" spans="1:233" s="27" customFormat="1">
      <c r="A3" s="68" t="s">
        <v>65</v>
      </c>
      <c r="B3" s="2"/>
      <c r="D3" s="27" t="s">
        <v>41</v>
      </c>
      <c r="F3" s="1"/>
      <c r="G3" s="1"/>
      <c r="H3" s="1"/>
      <c r="I3" s="28"/>
      <c r="J3" s="28"/>
      <c r="K3" s="28"/>
      <c r="L3" s="28"/>
      <c r="M3" s="1"/>
      <c r="N3" s="73" t="s">
        <v>0</v>
      </c>
      <c r="O3" s="59" t="s">
        <v>1</v>
      </c>
      <c r="P3" s="8" t="s">
        <v>2</v>
      </c>
      <c r="AH3" s="59" t="s">
        <v>91</v>
      </c>
      <c r="AS3" s="59" t="s">
        <v>92</v>
      </c>
      <c r="BB3" s="8" t="s">
        <v>89</v>
      </c>
      <c r="BC3" s="26"/>
      <c r="BD3" s="26"/>
      <c r="BE3" s="26"/>
      <c r="BF3" s="26"/>
      <c r="BG3" s="26"/>
      <c r="BH3" s="26"/>
      <c r="BI3" s="26"/>
      <c r="BJ3" s="26"/>
      <c r="BK3" s="19" t="s">
        <v>93</v>
      </c>
      <c r="BL3" s="26"/>
      <c r="BM3" s="26"/>
      <c r="BN3" s="26"/>
      <c r="BO3" s="26"/>
      <c r="BP3" s="26"/>
      <c r="BQ3" s="26"/>
      <c r="BR3" s="26"/>
      <c r="BS3" s="19" t="s">
        <v>94</v>
      </c>
      <c r="BT3" s="26"/>
      <c r="BU3" s="26"/>
      <c r="BV3" s="26"/>
      <c r="BW3" s="26"/>
      <c r="BX3" s="26"/>
      <c r="BY3" s="26"/>
      <c r="BZ3" s="26"/>
      <c r="CA3" s="26"/>
      <c r="CB3" s="82" t="s">
        <v>90</v>
      </c>
      <c r="CC3" s="26"/>
      <c r="CD3" s="26"/>
      <c r="CE3" s="26"/>
      <c r="CF3" s="26"/>
      <c r="CG3" s="26"/>
      <c r="CH3" s="26"/>
      <c r="CI3" s="26"/>
      <c r="CJ3" s="26"/>
      <c r="CK3" s="26"/>
      <c r="CL3" s="26"/>
      <c r="DW3" s="4"/>
      <c r="DX3" s="4"/>
      <c r="DY3" s="4"/>
      <c r="DZ3" s="4"/>
      <c r="EA3" s="6"/>
      <c r="EB3" s="4"/>
      <c r="EC3" s="4"/>
      <c r="ED3" s="4"/>
      <c r="EE3" s="64"/>
      <c r="EF3" s="4"/>
      <c r="EG3" s="4"/>
      <c r="EH3" s="4"/>
      <c r="EM3" s="2"/>
      <c r="EN3" s="4"/>
      <c r="EO3" s="4"/>
      <c r="EP3" s="4"/>
      <c r="EQ3" s="64"/>
      <c r="ER3" s="4"/>
      <c r="ES3" s="64"/>
      <c r="ET3" s="60"/>
      <c r="EU3" s="60"/>
      <c r="EZ3" s="58"/>
      <c r="FH3" s="59"/>
      <c r="FI3" s="2"/>
      <c r="FO3" s="5"/>
      <c r="FP3" s="60"/>
      <c r="FT3" s="60"/>
      <c r="FX3" s="7"/>
      <c r="GC3" s="60"/>
      <c r="GG3" s="60"/>
      <c r="GK3" s="60"/>
      <c r="GM3" s="60"/>
      <c r="GQ3" s="60"/>
      <c r="GU3" s="60"/>
      <c r="GW3" s="60"/>
      <c r="HA3" s="60"/>
      <c r="HE3" s="60"/>
      <c r="HG3" s="60"/>
      <c r="HK3" s="60"/>
      <c r="HO3" s="60"/>
      <c r="HQ3" s="60"/>
      <c r="HU3" s="60"/>
      <c r="HY3" s="60"/>
    </row>
    <row r="4" spans="1:233" s="32" customFormat="1">
      <c r="A4" s="51" t="s">
        <v>62</v>
      </c>
      <c r="B4" s="11" t="s">
        <v>63</v>
      </c>
      <c r="C4" s="9" t="s">
        <v>64</v>
      </c>
      <c r="D4" s="9" t="s">
        <v>26</v>
      </c>
      <c r="E4" s="9" t="s">
        <v>27</v>
      </c>
      <c r="F4" s="32" t="s">
        <v>70</v>
      </c>
      <c r="G4" s="32" t="s">
        <v>36</v>
      </c>
      <c r="H4" s="32" t="s">
        <v>40</v>
      </c>
      <c r="I4" s="32" t="s">
        <v>71</v>
      </c>
      <c r="J4" s="16" t="s">
        <v>6</v>
      </c>
      <c r="K4" s="32" t="s">
        <v>72</v>
      </c>
      <c r="L4" s="15" t="s">
        <v>32</v>
      </c>
      <c r="M4" s="10" t="s">
        <v>39</v>
      </c>
      <c r="N4" s="32" t="s">
        <v>1</v>
      </c>
      <c r="O4" s="32" t="s">
        <v>8</v>
      </c>
      <c r="P4" s="32" t="s">
        <v>11</v>
      </c>
      <c r="Q4" s="32" t="s">
        <v>9</v>
      </c>
      <c r="R4" s="32" t="s">
        <v>73</v>
      </c>
      <c r="S4" s="32" t="s">
        <v>74</v>
      </c>
      <c r="T4" s="32" t="s">
        <v>18</v>
      </c>
      <c r="U4" s="32" t="s">
        <v>19</v>
      </c>
      <c r="V4" s="32" t="s">
        <v>20</v>
      </c>
      <c r="W4" s="32" t="s">
        <v>21</v>
      </c>
      <c r="X4" s="32" t="s">
        <v>22</v>
      </c>
      <c r="Y4" s="32" t="s">
        <v>23</v>
      </c>
      <c r="Z4" s="32" t="s">
        <v>35</v>
      </c>
      <c r="AA4" s="32" t="s">
        <v>75</v>
      </c>
      <c r="AB4" s="32" t="s">
        <v>76</v>
      </c>
      <c r="AC4" s="32" t="s">
        <v>77</v>
      </c>
      <c r="AD4" s="32" t="s">
        <v>78</v>
      </c>
      <c r="AE4" s="32" t="s">
        <v>12</v>
      </c>
      <c r="AF4" s="32" t="s">
        <v>79</v>
      </c>
      <c r="AG4" s="32" t="s">
        <v>80</v>
      </c>
      <c r="AH4" s="32" t="s">
        <v>8</v>
      </c>
      <c r="AI4" s="32" t="s">
        <v>11</v>
      </c>
      <c r="AJ4" s="32" t="s">
        <v>10</v>
      </c>
      <c r="AK4" s="32" t="s">
        <v>35</v>
      </c>
      <c r="AL4" s="32" t="s">
        <v>75</v>
      </c>
      <c r="AM4" s="32" t="s">
        <v>76</v>
      </c>
      <c r="AN4" s="32" t="s">
        <v>77</v>
      </c>
      <c r="AO4" s="32" t="s">
        <v>78</v>
      </c>
      <c r="AP4" s="32" t="s">
        <v>12</v>
      </c>
      <c r="AQ4" s="9" t="s">
        <v>33</v>
      </c>
      <c r="AR4" s="9" t="s">
        <v>34</v>
      </c>
      <c r="AS4" s="32" t="s">
        <v>8</v>
      </c>
      <c r="AT4" s="32" t="s">
        <v>11</v>
      </c>
      <c r="AU4" s="32" t="s">
        <v>10</v>
      </c>
      <c r="AV4" s="32" t="s">
        <v>35</v>
      </c>
      <c r="AW4" s="32" t="s">
        <v>75</v>
      </c>
      <c r="AX4" s="32" t="s">
        <v>76</v>
      </c>
      <c r="AY4" s="32" t="s">
        <v>77</v>
      </c>
      <c r="AZ4" s="32" t="s">
        <v>78</v>
      </c>
      <c r="BA4" s="32" t="s">
        <v>12</v>
      </c>
      <c r="BB4" s="32" t="s">
        <v>8</v>
      </c>
      <c r="BC4" s="32" t="s">
        <v>11</v>
      </c>
      <c r="BD4" s="32" t="s">
        <v>10</v>
      </c>
      <c r="BE4" s="32" t="s">
        <v>35</v>
      </c>
      <c r="BF4" s="32" t="s">
        <v>75</v>
      </c>
      <c r="BG4" s="32" t="s">
        <v>76</v>
      </c>
      <c r="BH4" s="32" t="s">
        <v>77</v>
      </c>
      <c r="BI4" s="32" t="s">
        <v>78</v>
      </c>
      <c r="BJ4" s="32" t="s">
        <v>12</v>
      </c>
      <c r="BK4" s="32" t="s">
        <v>81</v>
      </c>
      <c r="BL4" s="32" t="s">
        <v>82</v>
      </c>
      <c r="BM4" s="32" t="s">
        <v>83</v>
      </c>
      <c r="BN4" s="20" t="s">
        <v>84</v>
      </c>
      <c r="BO4" s="32" t="s">
        <v>85</v>
      </c>
      <c r="BP4" s="32" t="s">
        <v>86</v>
      </c>
      <c r="BQ4" s="32" t="s">
        <v>87</v>
      </c>
      <c r="BR4" s="32" t="s">
        <v>88</v>
      </c>
      <c r="BS4" s="32" t="s">
        <v>81</v>
      </c>
      <c r="BT4" s="32" t="s">
        <v>82</v>
      </c>
      <c r="BU4" s="32" t="s">
        <v>83</v>
      </c>
      <c r="BV4" s="20" t="s">
        <v>84</v>
      </c>
      <c r="BW4" s="32" t="s">
        <v>85</v>
      </c>
      <c r="BX4" s="32" t="s">
        <v>86</v>
      </c>
      <c r="BY4" s="32" t="s">
        <v>87</v>
      </c>
      <c r="BZ4" s="32" t="s">
        <v>88</v>
      </c>
      <c r="CB4" s="32" t="s">
        <v>8</v>
      </c>
      <c r="CC4" s="32" t="s">
        <v>20</v>
      </c>
      <c r="CD4" s="32" t="s">
        <v>22</v>
      </c>
      <c r="CE4" s="32" t="s">
        <v>12</v>
      </c>
      <c r="CF4" s="32" t="s">
        <v>8</v>
      </c>
      <c r="CG4" s="32" t="s">
        <v>5</v>
      </c>
    </row>
    <row r="5" spans="1:233" s="26" customFormat="1">
      <c r="A5" s="26" t="s">
        <v>43</v>
      </c>
      <c r="B5" s="37" t="s">
        <v>25</v>
      </c>
      <c r="C5" s="26" t="s">
        <v>37</v>
      </c>
      <c r="D5" s="34">
        <f>30345600*0.000001</f>
        <v>30.345599999999997</v>
      </c>
      <c r="E5" s="34">
        <f>-0.0000000000885813*1000000000000</f>
        <v>-88.581299999999999</v>
      </c>
      <c r="F5" s="29">
        <v>-9.4236500000000001E-12</v>
      </c>
      <c r="G5" s="29">
        <v>5.3275199999999999E-12</v>
      </c>
      <c r="H5" s="29">
        <f>G5/SQRT(I5)</f>
        <v>6.6079752921869984E-13</v>
      </c>
      <c r="I5" s="26">
        <v>65</v>
      </c>
      <c r="J5" s="30">
        <f>-G5/F5</f>
        <v>0.56533508778445718</v>
      </c>
      <c r="K5" s="31">
        <f>5/I5</f>
        <v>7.6923076923076927E-2</v>
      </c>
      <c r="L5" s="28">
        <f>F5*-1000000000000</f>
        <v>9.4236500000000003</v>
      </c>
      <c r="M5" s="35">
        <v>0.42490600000000001</v>
      </c>
      <c r="N5" s="26" t="s">
        <v>24</v>
      </c>
      <c r="O5" s="26">
        <v>-7.62</v>
      </c>
      <c r="P5" s="26">
        <v>-8.15</v>
      </c>
      <c r="R5" s="26">
        <v>1.07</v>
      </c>
      <c r="S5" s="26">
        <v>1.07</v>
      </c>
      <c r="T5" s="26">
        <v>2.31</v>
      </c>
      <c r="U5" s="26">
        <v>2.2799999999999998</v>
      </c>
      <c r="V5" s="26">
        <v>0.54</v>
      </c>
      <c r="W5" s="26">
        <v>1.1599999999999999</v>
      </c>
      <c r="X5" s="26">
        <v>3.84</v>
      </c>
      <c r="Y5" s="26">
        <v>4.57</v>
      </c>
      <c r="Z5" s="26">
        <v>26</v>
      </c>
      <c r="AA5" s="26">
        <v>0.88</v>
      </c>
      <c r="AB5" s="26">
        <v>0</v>
      </c>
      <c r="AC5" s="26">
        <v>0.12</v>
      </c>
      <c r="AD5" s="26">
        <v>0</v>
      </c>
      <c r="AE5" s="26">
        <v>16</v>
      </c>
      <c r="AF5" s="26">
        <f>AA5+AB5</f>
        <v>0.88</v>
      </c>
      <c r="AG5" s="26">
        <f>AA5+AC5</f>
        <v>1</v>
      </c>
      <c r="AH5" s="26">
        <v>-3.95</v>
      </c>
      <c r="AI5" s="26">
        <v>-6.38</v>
      </c>
      <c r="AJ5" s="26">
        <v>1.62</v>
      </c>
      <c r="AK5" s="26">
        <v>31</v>
      </c>
      <c r="AL5" s="26">
        <v>0.52</v>
      </c>
      <c r="AM5" s="26">
        <v>0.06</v>
      </c>
      <c r="AN5" s="26">
        <v>0.26</v>
      </c>
      <c r="AO5" s="26">
        <v>0.16</v>
      </c>
      <c r="AP5" s="26">
        <v>7</v>
      </c>
      <c r="AQ5" s="26">
        <f>AL5+AM5</f>
        <v>0.58000000000000007</v>
      </c>
      <c r="AR5" s="26">
        <f>AL5+AN5</f>
        <v>0.78</v>
      </c>
      <c r="AS5" s="26">
        <v>-10.42</v>
      </c>
      <c r="AT5" s="26">
        <v>-8.2799999999999905</v>
      </c>
      <c r="AU5" s="26">
        <v>0.79</v>
      </c>
      <c r="AV5" s="26">
        <v>39</v>
      </c>
      <c r="AW5" s="26">
        <v>0.95</v>
      </c>
      <c r="AX5" s="26">
        <v>0.03</v>
      </c>
      <c r="AY5" s="26">
        <v>0.03</v>
      </c>
      <c r="AZ5" s="26">
        <v>0</v>
      </c>
      <c r="BA5" s="26">
        <v>19</v>
      </c>
      <c r="BK5" s="26">
        <v>0.72570800000000002</v>
      </c>
      <c r="BL5" s="26">
        <v>0.39160800000000001</v>
      </c>
      <c r="BM5" s="26">
        <v>0.93876000000000004</v>
      </c>
      <c r="BQ5" s="36">
        <f>0.00000000000606577*1000000000000</f>
        <v>6.0657699999999997</v>
      </c>
      <c r="BR5" s="8">
        <v>2.1407799999999999</v>
      </c>
      <c r="BS5" s="26">
        <v>0.72199999999999998</v>
      </c>
      <c r="BT5" s="26">
        <v>0.371</v>
      </c>
      <c r="BU5" s="26">
        <v>0.94499999999999995</v>
      </c>
      <c r="BY5" s="26">
        <v>6.47</v>
      </c>
      <c r="BZ5" s="26">
        <v>1.91</v>
      </c>
      <c r="CB5" s="26">
        <v>-3.92</v>
      </c>
      <c r="CC5" s="26">
        <v>0.96</v>
      </c>
      <c r="CD5" s="26">
        <v>3.27</v>
      </c>
      <c r="CE5" s="26">
        <v>6</v>
      </c>
      <c r="CF5" s="33">
        <v>-6.3939100000000002E-12</v>
      </c>
      <c r="CG5" s="26">
        <v>11</v>
      </c>
    </row>
    <row r="6" spans="1:233" s="26" customFormat="1">
      <c r="A6" s="26" t="s">
        <v>44</v>
      </c>
      <c r="B6" s="37" t="s">
        <v>25</v>
      </c>
      <c r="C6" s="26" t="s">
        <v>37</v>
      </c>
      <c r="D6" s="30">
        <f>13782400*0.000001</f>
        <v>13.782399999999999</v>
      </c>
      <c r="E6" s="34">
        <f>-0.000000000123045*1000000000000</f>
        <v>-123.04499999999999</v>
      </c>
      <c r="F6" s="33">
        <v>-6.0688800000000003E-12</v>
      </c>
      <c r="G6" s="33">
        <v>4.9052699999999998E-12</v>
      </c>
      <c r="H6" s="29">
        <f t="shared" ref="H6:H8" si="0">G6/SQRT(I6)</f>
        <v>5.6641179098955898E-13</v>
      </c>
      <c r="I6" s="26">
        <v>75</v>
      </c>
      <c r="J6" s="30">
        <f t="shared" ref="J6:J9" si="1">-G6/F6</f>
        <v>0.80826610511329922</v>
      </c>
      <c r="K6" s="31">
        <f>19/I6</f>
        <v>0.25333333333333335</v>
      </c>
      <c r="L6" s="28">
        <f t="shared" ref="L6:L9" si="2">F6*-1000000000000</f>
        <v>6.0688800000000001</v>
      </c>
      <c r="M6" s="35">
        <v>0.69646200000000003</v>
      </c>
      <c r="N6" s="26" t="s">
        <v>24</v>
      </c>
      <c r="O6" s="26">
        <v>-5.2</v>
      </c>
      <c r="P6" s="26">
        <v>-7.78</v>
      </c>
      <c r="Q6" s="26">
        <v>-7.57</v>
      </c>
      <c r="R6" s="26">
        <v>1.46</v>
      </c>
      <c r="S6" s="26">
        <v>1.5</v>
      </c>
      <c r="T6" s="26">
        <v>1.92</v>
      </c>
      <c r="U6" s="26">
        <v>1.99</v>
      </c>
      <c r="V6" s="26">
        <v>1.1100000000000001</v>
      </c>
      <c r="W6" s="26">
        <v>0.61</v>
      </c>
      <c r="X6" s="26">
        <v>6.05</v>
      </c>
      <c r="Y6" s="26">
        <v>6.99</v>
      </c>
      <c r="Z6" s="26">
        <v>80</v>
      </c>
      <c r="AA6" s="26">
        <v>0.59</v>
      </c>
      <c r="AB6" s="26">
        <v>0.16</v>
      </c>
      <c r="AC6" s="26">
        <v>0.24</v>
      </c>
      <c r="AD6" s="26">
        <v>0.01</v>
      </c>
      <c r="AE6" s="26">
        <v>56</v>
      </c>
      <c r="AF6" s="26">
        <f t="shared" ref="AF6:AF9" si="3">AA6+AB6</f>
        <v>0.75</v>
      </c>
      <c r="AG6" s="26">
        <f t="shared" ref="AG6:AG9" si="4">AA6+AC6</f>
        <v>0.83</v>
      </c>
      <c r="AH6" s="26">
        <v>-3.89</v>
      </c>
      <c r="AI6" s="26">
        <v>-6.33</v>
      </c>
      <c r="AJ6" s="26">
        <v>1.63</v>
      </c>
      <c r="AK6" s="26">
        <v>41</v>
      </c>
      <c r="AL6" s="26">
        <v>0.56000000000000005</v>
      </c>
      <c r="AM6" s="26">
        <v>0.15</v>
      </c>
      <c r="AN6" s="26">
        <v>0.22</v>
      </c>
      <c r="AO6" s="26">
        <v>7.0000000000000007E-2</v>
      </c>
      <c r="AP6" s="26">
        <v>16</v>
      </c>
      <c r="AQ6" s="26">
        <f t="shared" ref="AQ6:AQ9" si="5">AL6+AM6</f>
        <v>0.71000000000000008</v>
      </c>
      <c r="AR6" s="26">
        <f t="shared" ref="AR6:AR9" si="6">AL6+AN6</f>
        <v>0.78</v>
      </c>
      <c r="AS6" s="26">
        <v>-9.19</v>
      </c>
      <c r="AT6" s="26">
        <v>-5.59</v>
      </c>
      <c r="AU6" s="26">
        <v>0.61</v>
      </c>
      <c r="AV6" s="26">
        <v>71</v>
      </c>
      <c r="AW6" s="26">
        <v>0.75</v>
      </c>
      <c r="AX6" s="26">
        <v>0.17</v>
      </c>
      <c r="AY6" s="26">
        <v>0.08</v>
      </c>
      <c r="AZ6" s="26">
        <v>0</v>
      </c>
      <c r="BA6" s="26">
        <v>20</v>
      </c>
      <c r="BK6" s="26">
        <v>0.49462299999999998</v>
      </c>
      <c r="BL6" s="26">
        <v>0.41822700000000002</v>
      </c>
      <c r="BM6" s="26">
        <v>0.89535200000000004</v>
      </c>
      <c r="BQ6" s="36">
        <f>0.00000000000669371*1000000000000</f>
        <v>6.6937100000000003</v>
      </c>
      <c r="BR6" s="8">
        <v>1.8330200000000001</v>
      </c>
      <c r="BS6" s="26">
        <v>0.50800000000000001</v>
      </c>
      <c r="BT6" s="26">
        <v>0.434</v>
      </c>
      <c r="BU6" s="26">
        <v>0.89300000000000002</v>
      </c>
      <c r="BY6" s="26">
        <v>6.39</v>
      </c>
      <c r="BZ6" s="26">
        <v>1.99</v>
      </c>
      <c r="CB6" s="26">
        <v>-5.85</v>
      </c>
      <c r="CC6" s="26">
        <v>0.54</v>
      </c>
      <c r="CD6" s="26">
        <v>4.55</v>
      </c>
      <c r="CE6" s="26">
        <v>10</v>
      </c>
      <c r="CF6" s="33">
        <v>-6.3829100000000003E-12</v>
      </c>
      <c r="CG6" s="26">
        <v>18</v>
      </c>
    </row>
    <row r="7" spans="1:233" s="26" customFormat="1">
      <c r="A7" s="26" t="s">
        <v>45</v>
      </c>
      <c r="B7" s="37" t="s">
        <v>25</v>
      </c>
      <c r="C7" s="26" t="s">
        <v>37</v>
      </c>
      <c r="D7" s="34">
        <f>12880000*0.000001</f>
        <v>12.879999999999999</v>
      </c>
      <c r="E7" s="34">
        <f>-0.000000000404505*1000000000000</f>
        <v>-404.505</v>
      </c>
      <c r="F7" s="29">
        <v>-6.2386899999999999E-12</v>
      </c>
      <c r="G7" s="29">
        <v>5.6907600000000003E-12</v>
      </c>
      <c r="H7" s="29">
        <f t="shared" si="0"/>
        <v>6.9523698716508753E-13</v>
      </c>
      <c r="I7" s="30">
        <v>67</v>
      </c>
      <c r="J7" s="30">
        <f t="shared" si="1"/>
        <v>0.91217226693424425</v>
      </c>
      <c r="K7" s="31">
        <f>20/I7</f>
        <v>0.29850746268656714</v>
      </c>
      <c r="L7" s="28">
        <f t="shared" si="2"/>
        <v>6.2386900000000001</v>
      </c>
      <c r="M7" s="35">
        <v>1.0428200000000001</v>
      </c>
      <c r="N7" s="26" t="s">
        <v>24</v>
      </c>
      <c r="O7" s="26">
        <v>-5.57</v>
      </c>
      <c r="P7" s="26">
        <v>-3.73</v>
      </c>
      <c r="Q7" s="26">
        <v>-3.64</v>
      </c>
      <c r="R7" s="26">
        <v>0.65</v>
      </c>
      <c r="S7" s="26">
        <v>0.67</v>
      </c>
      <c r="T7" s="26">
        <v>2.65</v>
      </c>
      <c r="U7" s="26">
        <v>2.8</v>
      </c>
      <c r="V7" s="26">
        <v>6.26</v>
      </c>
      <c r="W7" s="26">
        <v>2.98</v>
      </c>
      <c r="X7" s="26">
        <v>4.1900000000000004</v>
      </c>
      <c r="Y7" s="26">
        <v>7.86</v>
      </c>
      <c r="Z7" s="26">
        <v>82</v>
      </c>
      <c r="AA7" s="26">
        <v>0.56000000000000005</v>
      </c>
      <c r="AB7" s="26">
        <v>0.17</v>
      </c>
      <c r="AC7" s="26">
        <v>0.17</v>
      </c>
      <c r="AD7" s="26">
        <v>0.1</v>
      </c>
      <c r="AE7" s="26">
        <v>28</v>
      </c>
      <c r="AF7" s="26">
        <f t="shared" si="3"/>
        <v>0.73000000000000009</v>
      </c>
      <c r="AG7" s="26">
        <f t="shared" si="4"/>
        <v>0.73000000000000009</v>
      </c>
      <c r="AH7" s="26">
        <v>-2.78</v>
      </c>
      <c r="AI7" s="26">
        <v>-4.32</v>
      </c>
      <c r="AJ7" s="26">
        <v>1.55</v>
      </c>
      <c r="AK7" s="26">
        <v>39</v>
      </c>
      <c r="AL7" s="26">
        <v>0.54</v>
      </c>
      <c r="AM7" s="26">
        <v>0.21</v>
      </c>
      <c r="AN7" s="26">
        <v>0.08</v>
      </c>
      <c r="AO7" s="26">
        <v>0.18</v>
      </c>
      <c r="AP7" s="26">
        <v>19</v>
      </c>
      <c r="AQ7" s="26">
        <f t="shared" si="5"/>
        <v>0.75</v>
      </c>
      <c r="AR7" s="26">
        <f t="shared" si="6"/>
        <v>0.62</v>
      </c>
      <c r="AS7" s="26">
        <v>-7.2</v>
      </c>
      <c r="AT7" s="26">
        <v>-1.79</v>
      </c>
      <c r="AU7" s="26">
        <v>0.25</v>
      </c>
      <c r="AV7" s="26">
        <v>43</v>
      </c>
      <c r="AW7" s="26">
        <v>0.67</v>
      </c>
      <c r="AX7" s="26">
        <v>0.26</v>
      </c>
      <c r="AY7" s="26">
        <v>0</v>
      </c>
      <c r="AZ7" s="26">
        <v>7.0000000000000007E-2</v>
      </c>
      <c r="BA7" s="26">
        <v>19</v>
      </c>
      <c r="BB7" s="17">
        <v>-10.69</v>
      </c>
      <c r="BC7" s="17">
        <v>-7.3</v>
      </c>
      <c r="BD7" s="17">
        <v>0.68</v>
      </c>
      <c r="BE7" s="17">
        <v>18</v>
      </c>
      <c r="BF7" s="17">
        <v>0.39</v>
      </c>
      <c r="BG7" s="17">
        <v>0.61</v>
      </c>
      <c r="BH7" s="17">
        <v>0</v>
      </c>
      <c r="BI7" s="17">
        <v>0</v>
      </c>
      <c r="BJ7" s="17">
        <v>7</v>
      </c>
      <c r="BK7" s="26">
        <v>0.497</v>
      </c>
      <c r="BL7" s="26">
        <v>0.33600000000000002</v>
      </c>
      <c r="BM7" s="26">
        <v>0.64</v>
      </c>
      <c r="BN7" s="26">
        <v>0.94</v>
      </c>
      <c r="BQ7" s="36">
        <f>0.00000000000529*1000000000000</f>
        <v>5.29</v>
      </c>
      <c r="BR7" s="8">
        <v>2.41</v>
      </c>
      <c r="BS7" s="26">
        <v>0.53</v>
      </c>
      <c r="BT7" s="26">
        <v>0.37</v>
      </c>
      <c r="BU7" s="26">
        <v>0.67</v>
      </c>
      <c r="BV7" s="26">
        <v>0.96799999999999997</v>
      </c>
      <c r="BY7" s="26">
        <v>4.2699999999999996</v>
      </c>
      <c r="BZ7" s="26">
        <v>3.02</v>
      </c>
      <c r="CB7" s="26">
        <v>-3.96</v>
      </c>
      <c r="CC7" s="26">
        <v>5.67</v>
      </c>
      <c r="CD7" s="26">
        <v>1.62</v>
      </c>
      <c r="CE7" s="26">
        <v>11</v>
      </c>
      <c r="CF7" s="33">
        <v>-5.1933600000000004E-12</v>
      </c>
      <c r="CG7" s="26">
        <v>23</v>
      </c>
    </row>
    <row r="8" spans="1:233" s="26" customFormat="1">
      <c r="A8" s="26" t="s">
        <v>46</v>
      </c>
      <c r="B8" s="37" t="s">
        <v>25</v>
      </c>
      <c r="C8" s="26" t="s">
        <v>37</v>
      </c>
      <c r="D8" s="34">
        <f>10969400*0.000001</f>
        <v>10.9694</v>
      </c>
      <c r="E8" s="34">
        <f>-0.000000000114841*1000000000000</f>
        <v>-114.84099999999999</v>
      </c>
      <c r="F8" s="29">
        <v>-3.1908400000000002E-12</v>
      </c>
      <c r="G8" s="29">
        <v>4.3206599999999999E-12</v>
      </c>
      <c r="H8" s="29">
        <f t="shared" si="0"/>
        <v>6.0501341478564606E-13</v>
      </c>
      <c r="I8" s="30">
        <v>51</v>
      </c>
      <c r="J8" s="30">
        <f t="shared" si="1"/>
        <v>1.3540823106141329</v>
      </c>
      <c r="K8" s="31">
        <f>20/I8</f>
        <v>0.39215686274509803</v>
      </c>
      <c r="L8" s="28">
        <f t="shared" si="2"/>
        <v>3.1908400000000001</v>
      </c>
      <c r="M8" s="35">
        <v>0.82208700000000001</v>
      </c>
      <c r="N8" s="26" t="s">
        <v>24</v>
      </c>
      <c r="O8" s="26">
        <v>-2.62</v>
      </c>
      <c r="P8" s="26">
        <v>-3.6</v>
      </c>
      <c r="Q8" s="26">
        <v>-2.91</v>
      </c>
      <c r="R8" s="26">
        <v>1.1100000000000001</v>
      </c>
      <c r="S8" s="26">
        <v>1.37</v>
      </c>
      <c r="T8" s="26">
        <v>3.44</v>
      </c>
      <c r="U8" s="26">
        <v>3.33</v>
      </c>
      <c r="V8" s="26">
        <v>0.87</v>
      </c>
      <c r="W8" s="26">
        <v>14.93</v>
      </c>
      <c r="X8" s="26">
        <v>14.16</v>
      </c>
      <c r="Y8" s="26">
        <v>2.61</v>
      </c>
      <c r="Z8" s="26">
        <v>58</v>
      </c>
      <c r="AA8" s="26">
        <v>0.43</v>
      </c>
      <c r="AB8" s="26">
        <v>0.16</v>
      </c>
      <c r="AC8" s="26">
        <v>0.17</v>
      </c>
      <c r="AD8" s="26">
        <v>0.24</v>
      </c>
      <c r="AE8" s="26">
        <v>36</v>
      </c>
      <c r="AF8" s="26">
        <f t="shared" si="3"/>
        <v>0.59</v>
      </c>
      <c r="AG8" s="26">
        <f t="shared" si="4"/>
        <v>0.6</v>
      </c>
      <c r="AH8" s="26">
        <v>-2.96</v>
      </c>
      <c r="AI8" s="26">
        <v>-2.2400000000000002</v>
      </c>
      <c r="AJ8" s="26">
        <v>0.75</v>
      </c>
      <c r="AK8" s="26">
        <v>31</v>
      </c>
      <c r="AL8" s="26">
        <v>0.42</v>
      </c>
      <c r="AM8" s="26">
        <v>0.23</v>
      </c>
      <c r="AN8" s="26">
        <v>0.16</v>
      </c>
      <c r="AO8" s="26">
        <v>0.19</v>
      </c>
      <c r="AP8" s="26">
        <v>18</v>
      </c>
      <c r="AQ8" s="26">
        <f t="shared" si="5"/>
        <v>0.65</v>
      </c>
      <c r="AR8" s="26">
        <f t="shared" si="6"/>
        <v>0.57999999999999996</v>
      </c>
      <c r="AS8" s="26">
        <v>-7.96</v>
      </c>
      <c r="AT8" s="26">
        <v>-5.1100000000000003</v>
      </c>
      <c r="AU8" s="26">
        <v>0.64</v>
      </c>
      <c r="AV8" s="26">
        <v>35</v>
      </c>
      <c r="AW8" s="26">
        <v>0.69</v>
      </c>
      <c r="AX8" s="26">
        <v>0.23</v>
      </c>
      <c r="AY8" s="26">
        <v>0.06</v>
      </c>
      <c r="AZ8" s="26">
        <v>0.03</v>
      </c>
      <c r="BA8" s="26">
        <v>14</v>
      </c>
      <c r="BB8" s="17">
        <v>-10.94</v>
      </c>
      <c r="BC8" s="17">
        <v>-4.68</v>
      </c>
      <c r="BD8" s="17">
        <v>0.43</v>
      </c>
      <c r="BE8" s="17">
        <v>30</v>
      </c>
      <c r="BF8" s="17">
        <v>0.63</v>
      </c>
      <c r="BG8" s="17">
        <v>0.27</v>
      </c>
      <c r="BH8" s="17">
        <v>0.03</v>
      </c>
      <c r="BI8" s="17">
        <v>7.0000000000000007E-2</v>
      </c>
      <c r="BJ8" s="17">
        <v>10</v>
      </c>
      <c r="BK8" s="26">
        <v>0.27315299999999998</v>
      </c>
      <c r="BL8" s="26">
        <v>0.285437</v>
      </c>
      <c r="BM8" s="26">
        <v>0.68974299999999999</v>
      </c>
      <c r="BN8" s="26">
        <v>0.83155500000000004</v>
      </c>
      <c r="BQ8" s="36">
        <f>0.00000000000518662*1000000000000</f>
        <v>5.1866199999999996</v>
      </c>
      <c r="BR8" s="8">
        <v>2.25224</v>
      </c>
      <c r="BS8" s="26">
        <v>0.32300000000000001</v>
      </c>
      <c r="BT8" s="26">
        <v>0.33300000000000002</v>
      </c>
      <c r="BU8" s="26">
        <v>0.66600000000000004</v>
      </c>
      <c r="BV8" s="26">
        <v>0.78200000000000003</v>
      </c>
      <c r="BY8" s="26">
        <v>3.94</v>
      </c>
      <c r="BZ8" s="26">
        <v>3.6</v>
      </c>
      <c r="CB8" s="26">
        <v>-4.46</v>
      </c>
      <c r="CC8" s="26">
        <v>5.32</v>
      </c>
      <c r="CD8" s="18">
        <v>2.37</v>
      </c>
      <c r="CE8" s="26">
        <v>6</v>
      </c>
      <c r="CF8" s="33">
        <v>-7.3742000000000006E-12</v>
      </c>
      <c r="CG8" s="26">
        <v>6</v>
      </c>
    </row>
    <row r="9" spans="1:233" s="32" customFormat="1">
      <c r="A9" s="74" t="s">
        <v>42</v>
      </c>
      <c r="B9" s="38" t="s">
        <v>31</v>
      </c>
      <c r="C9" s="32" t="s">
        <v>37</v>
      </c>
      <c r="D9" s="16">
        <f>29213400*0.000001</f>
        <v>29.2134</v>
      </c>
      <c r="E9" s="32">
        <f>-0.00000000000622825*1000000000000</f>
        <v>-6.2282500000000001</v>
      </c>
      <c r="F9" s="75">
        <v>-5.2344899999999998E-12</v>
      </c>
      <c r="G9" s="75">
        <v>5.4693699999999997E-12</v>
      </c>
      <c r="H9" s="75">
        <v>5.7022100000000004E-13</v>
      </c>
      <c r="I9" s="76">
        <v>92</v>
      </c>
      <c r="J9" s="16">
        <f t="shared" si="1"/>
        <v>1.0448716111789305</v>
      </c>
      <c r="K9" s="32">
        <v>0.31521739130434784</v>
      </c>
      <c r="L9" s="15">
        <f t="shared" si="2"/>
        <v>5.2344900000000001</v>
      </c>
      <c r="M9" s="77">
        <v>0.52746599999999999</v>
      </c>
      <c r="N9" s="32" t="s">
        <v>24</v>
      </c>
      <c r="O9" s="32">
        <v>-4.22</v>
      </c>
      <c r="P9" s="32">
        <v>-7.32</v>
      </c>
      <c r="R9" s="32">
        <v>1.73</v>
      </c>
      <c r="S9" s="32">
        <v>1.73</v>
      </c>
      <c r="T9" s="32">
        <v>2.4300000000000002</v>
      </c>
      <c r="U9" s="32">
        <v>2.36</v>
      </c>
      <c r="V9" s="32">
        <v>2.63</v>
      </c>
      <c r="W9" s="32">
        <v>0.57999999999999996</v>
      </c>
      <c r="X9" s="32">
        <v>1.5</v>
      </c>
      <c r="Y9" s="32">
        <v>3.45</v>
      </c>
      <c r="Z9" s="32">
        <v>99</v>
      </c>
      <c r="AA9" s="32">
        <v>0.64</v>
      </c>
      <c r="AB9" s="32">
        <v>0.06</v>
      </c>
      <c r="AC9" s="32">
        <v>0.26</v>
      </c>
      <c r="AD9" s="32">
        <v>0.04</v>
      </c>
      <c r="AE9" s="32">
        <v>63</v>
      </c>
      <c r="AF9" s="32">
        <f t="shared" si="3"/>
        <v>0.7</v>
      </c>
      <c r="AG9" s="32">
        <f t="shared" si="4"/>
        <v>0.9</v>
      </c>
      <c r="AH9" s="32">
        <v>-0.85</v>
      </c>
      <c r="AI9" s="32">
        <v>6.05</v>
      </c>
      <c r="AK9" s="32">
        <v>31</v>
      </c>
      <c r="AL9" s="32">
        <v>0.26</v>
      </c>
      <c r="AM9" s="32">
        <v>0.26</v>
      </c>
      <c r="AN9" s="32">
        <v>0.23</v>
      </c>
      <c r="AO9" s="32">
        <v>0.26</v>
      </c>
      <c r="AP9" s="32">
        <v>13</v>
      </c>
      <c r="AQ9" s="32">
        <f t="shared" si="5"/>
        <v>0.52</v>
      </c>
      <c r="AR9" s="32">
        <f t="shared" si="6"/>
        <v>0.49</v>
      </c>
      <c r="AS9" s="32">
        <v>-10.49</v>
      </c>
      <c r="AT9" s="32">
        <v>-9.43</v>
      </c>
      <c r="AU9" s="32">
        <v>0.9</v>
      </c>
      <c r="AV9" s="32">
        <v>43</v>
      </c>
      <c r="AW9" s="32">
        <v>0.84</v>
      </c>
      <c r="AX9" s="32">
        <v>0.16</v>
      </c>
      <c r="AY9" s="32">
        <v>0</v>
      </c>
      <c r="AZ9" s="32">
        <v>0</v>
      </c>
      <c r="BA9" s="32">
        <v>23</v>
      </c>
      <c r="BB9" s="78">
        <v>-2.79</v>
      </c>
      <c r="BC9" s="78">
        <v>-5.07</v>
      </c>
      <c r="BD9" s="78">
        <v>1.82</v>
      </c>
      <c r="BE9" s="78">
        <v>57</v>
      </c>
      <c r="BF9" s="78">
        <v>0.6</v>
      </c>
      <c r="BG9" s="78">
        <v>7.0000000000000007E-2</v>
      </c>
      <c r="BH9" s="78">
        <v>0.23</v>
      </c>
      <c r="BI9" s="78">
        <v>0.11</v>
      </c>
      <c r="BJ9" s="78">
        <v>27</v>
      </c>
      <c r="BK9" s="77">
        <v>0.39900000000000002</v>
      </c>
      <c r="BL9" s="77">
        <v>0.156</v>
      </c>
      <c r="BM9" s="77">
        <v>0.85</v>
      </c>
      <c r="BP9" s="77">
        <v>0.30099999999999999</v>
      </c>
      <c r="BQ9" s="79">
        <f>0.00000000000662*1000000000000</f>
        <v>6.6199999999999992</v>
      </c>
      <c r="BR9" s="80">
        <v>1.98</v>
      </c>
      <c r="BS9" s="77">
        <v>0.41499999999999998</v>
      </c>
      <c r="BT9" s="77">
        <v>0.192</v>
      </c>
      <c r="BU9" s="77">
        <v>0.83</v>
      </c>
      <c r="BX9" s="77">
        <v>0.32500000000000001</v>
      </c>
      <c r="BY9" s="76">
        <f>0.00000000000451*1000000000000</f>
        <v>4.51</v>
      </c>
      <c r="BZ9" s="77">
        <v>3.16</v>
      </c>
      <c r="CB9" s="32">
        <v>-2.2799999999999998</v>
      </c>
      <c r="CC9" s="32">
        <v>4.7300000000000004</v>
      </c>
      <c r="CD9" s="32">
        <v>1.66</v>
      </c>
      <c r="CE9" s="32">
        <v>6</v>
      </c>
      <c r="CF9" s="81">
        <v>-3.9799200000000003E-12</v>
      </c>
      <c r="CG9" s="32">
        <v>13</v>
      </c>
    </row>
    <row r="10" spans="1:233" s="26" customFormat="1">
      <c r="A10" s="23" t="s">
        <v>38</v>
      </c>
      <c r="B10" s="37"/>
      <c r="D10" s="40"/>
      <c r="E10" s="40"/>
      <c r="F10" s="31"/>
      <c r="I10" s="30"/>
      <c r="J10" s="30"/>
      <c r="K10" s="31"/>
      <c r="L10" s="30"/>
      <c r="M10" s="31"/>
      <c r="O10" s="31"/>
      <c r="R10" s="31"/>
      <c r="T10" s="31"/>
      <c r="V10" s="31"/>
      <c r="X10" s="31"/>
      <c r="AF10" s="31"/>
      <c r="AG10" s="31"/>
      <c r="BK10" s="1">
        <f>AVERAGE(BK5:BK9)</f>
        <v>0.47789680000000007</v>
      </c>
      <c r="BQ10" s="1">
        <f>AVERAGE(BQ5:BQ9)</f>
        <v>5.9712199999999998</v>
      </c>
      <c r="BR10" s="1">
        <f>AVERAGE(BR5:BR9)</f>
        <v>2.123208</v>
      </c>
      <c r="BY10" s="1"/>
      <c r="BZ10" s="1"/>
      <c r="CB10" s="1">
        <f>-AVERAGE(CB5:CB9)</f>
        <v>4.0940000000000003</v>
      </c>
    </row>
    <row r="11" spans="1:233" s="26" customFormat="1">
      <c r="A11" s="23" t="s">
        <v>40</v>
      </c>
      <c r="B11" s="37"/>
      <c r="D11" s="40"/>
      <c r="E11" s="40"/>
      <c r="F11" s="31"/>
      <c r="I11" s="30"/>
      <c r="J11" s="30"/>
      <c r="K11" s="31"/>
      <c r="L11" s="30"/>
      <c r="M11" s="31"/>
      <c r="O11" s="31"/>
      <c r="R11" s="31"/>
      <c r="T11" s="31"/>
      <c r="V11" s="31"/>
      <c r="X11" s="31"/>
      <c r="AF11" s="31"/>
      <c r="AG11" s="31"/>
      <c r="BK11" s="31">
        <f>STDEV(BK5:BK9)/SQRT(BK15)</f>
        <v>7.4229312791780466E-2</v>
      </c>
      <c r="BQ11" s="31">
        <f>STDEV(BQ5:BQ9)/SQRT(BQ15)</f>
        <v>0.31870871021985064</v>
      </c>
      <c r="BR11" s="31">
        <f>STDEV(BR5:BR9)/SQRT(BR15)</f>
        <v>0.10097655422918728</v>
      </c>
      <c r="BY11" s="31"/>
      <c r="BZ11" s="31"/>
      <c r="CB11" s="31">
        <f>STDEV(CB5:CB9)/SQRT(CB15)</f>
        <v>0.57255218102806937</v>
      </c>
    </row>
    <row r="12" spans="1:233" s="8" customFormat="1">
      <c r="A12" s="8" t="s">
        <v>28</v>
      </c>
      <c r="B12" s="39"/>
      <c r="D12" s="41"/>
      <c r="E12" s="41"/>
      <c r="F12" s="25"/>
      <c r="I12" s="36"/>
      <c r="J12" s="36"/>
      <c r="K12" s="25"/>
      <c r="L12" s="36"/>
      <c r="M12" s="25"/>
      <c r="O12" s="25"/>
      <c r="R12" s="25"/>
      <c r="T12" s="25"/>
      <c r="V12" s="25"/>
      <c r="X12" s="25"/>
      <c r="AF12" s="25"/>
      <c r="AG12" s="25"/>
      <c r="BK12" s="25">
        <f>MEDIAN(BK5:BK9)</f>
        <v>0.49462299999999998</v>
      </c>
      <c r="BQ12" s="25">
        <f>MEDIAN(BQ5:BQ9)</f>
        <v>6.0657699999999997</v>
      </c>
      <c r="BR12" s="25">
        <f>MEDIAN(BR5:BR9)</f>
        <v>2.1407799999999999</v>
      </c>
      <c r="BY12" s="25"/>
      <c r="BZ12" s="25"/>
      <c r="CB12" s="25">
        <f>-MEDIAN(CB5:CB9)</f>
        <v>3.96</v>
      </c>
    </row>
    <row r="13" spans="1:233" s="26" customFormat="1">
      <c r="A13" s="26" t="s">
        <v>29</v>
      </c>
      <c r="B13" s="37"/>
      <c r="D13" s="40"/>
      <c r="E13" s="40"/>
      <c r="F13" s="31"/>
      <c r="I13" s="30"/>
      <c r="J13" s="30"/>
      <c r="K13" s="31"/>
      <c r="L13" s="30"/>
      <c r="M13" s="31"/>
      <c r="O13" s="31"/>
      <c r="R13" s="31"/>
      <c r="T13" s="31"/>
      <c r="V13" s="31"/>
      <c r="X13" s="31"/>
      <c r="AF13" s="31"/>
      <c r="AG13" s="31"/>
      <c r="BK13" s="1">
        <f>_xlfn.QUARTILE.EXC((BK5:BK9),3)</f>
        <v>0.61135399999999995</v>
      </c>
      <c r="BQ13" s="1">
        <f>_xlfn.QUARTILE.EXC((BQ5:BQ9),3)</f>
        <v>6.6568550000000002</v>
      </c>
      <c r="BR13" s="1">
        <f>_xlfn.QUARTILE.EXC((BR5:BR9),3)</f>
        <v>2.3311200000000003</v>
      </c>
      <c r="BS13" s="27"/>
      <c r="BT13" s="27"/>
      <c r="BU13" s="27"/>
      <c r="BV13" s="27"/>
      <c r="BW13" s="27"/>
      <c r="BX13" s="27"/>
      <c r="BY13" s="1"/>
      <c r="BZ13" s="1"/>
      <c r="CA13" s="27"/>
      <c r="CB13" s="1">
        <f>-_xlfn.QUARTILE.EXC((CB5:CB9),3)</f>
        <v>3.0999999999999996</v>
      </c>
    </row>
    <row r="14" spans="1:233" s="26" customFormat="1">
      <c r="A14" s="26" t="s">
        <v>30</v>
      </c>
      <c r="B14" s="37"/>
      <c r="D14" s="40"/>
      <c r="E14" s="40"/>
      <c r="F14" s="31"/>
      <c r="I14" s="30"/>
      <c r="J14" s="30"/>
      <c r="K14" s="31"/>
      <c r="L14" s="30"/>
      <c r="M14" s="31"/>
      <c r="O14" s="31"/>
      <c r="R14" s="31"/>
      <c r="T14" s="31"/>
      <c r="V14" s="31"/>
      <c r="X14" s="31"/>
      <c r="AF14" s="31"/>
      <c r="AG14" s="31"/>
      <c r="BK14" s="1">
        <f>_xlfn.QUARTILE.EXC((BK5:BK9),1)</f>
        <v>0.3360765</v>
      </c>
      <c r="BQ14" s="1">
        <f>_xlfn.QUARTILE.EXC((BQ5:BQ9),1)</f>
        <v>5.2383100000000002</v>
      </c>
      <c r="BR14" s="1">
        <f>_xlfn.QUARTILE.EXC((BR5:BR9),1)</f>
        <v>1.9065099999999999</v>
      </c>
      <c r="BS14" s="27"/>
      <c r="BT14" s="27"/>
      <c r="BU14" s="27"/>
      <c r="BV14" s="27"/>
      <c r="BW14" s="27"/>
      <c r="BX14" s="27"/>
      <c r="BY14" s="1"/>
      <c r="BZ14" s="1"/>
      <c r="CA14" s="27"/>
      <c r="CB14" s="1">
        <f>-_xlfn.QUARTILE.EXC((CB5:CB9),1)</f>
        <v>5.1549999999999994</v>
      </c>
    </row>
    <row r="15" spans="1:233" s="26" customFormat="1">
      <c r="A15" s="26" t="s">
        <v>5</v>
      </c>
      <c r="B15" s="37"/>
      <c r="D15" s="30"/>
      <c r="E15" s="30"/>
      <c r="F15" s="30"/>
      <c r="I15" s="30"/>
      <c r="J15" s="30"/>
      <c r="K15" s="30"/>
      <c r="L15" s="30"/>
      <c r="M15" s="30"/>
      <c r="O15" s="30"/>
      <c r="R15" s="30"/>
      <c r="T15" s="30"/>
      <c r="V15" s="30"/>
      <c r="X15" s="30"/>
      <c r="AF15" s="30"/>
      <c r="AG15" s="30"/>
      <c r="BK15" s="28">
        <f>COUNT((BK5:BK9))</f>
        <v>5</v>
      </c>
      <c r="BQ15" s="28">
        <f>COUNT((BQ5:BQ9))</f>
        <v>5</v>
      </c>
      <c r="BR15" s="28">
        <f>COUNT((BR5:BR9))</f>
        <v>5</v>
      </c>
      <c r="BS15" s="27"/>
      <c r="BT15" s="27"/>
      <c r="BU15" s="27"/>
      <c r="BV15" s="27"/>
      <c r="BW15" s="27"/>
      <c r="BX15" s="27"/>
      <c r="BY15" s="28"/>
      <c r="BZ15" s="28"/>
      <c r="CA15" s="27"/>
      <c r="CB15" s="28">
        <f>COUNT((CB5:CB9))</f>
        <v>5</v>
      </c>
    </row>
    <row r="16" spans="1:233" s="26" customFormat="1">
      <c r="A16" s="52"/>
      <c r="B16" s="37"/>
      <c r="D16" s="30"/>
      <c r="E16" s="30"/>
      <c r="F16" s="30"/>
      <c r="I16" s="30"/>
      <c r="J16" s="30"/>
      <c r="K16" s="30"/>
      <c r="L16" s="30"/>
      <c r="M16" s="30"/>
      <c r="R16" s="30"/>
      <c r="T16" s="30"/>
      <c r="V16" s="30"/>
      <c r="X16" s="30"/>
      <c r="AE16" s="30"/>
      <c r="AF16" s="30"/>
      <c r="BP16" s="28"/>
      <c r="BQ16" s="28"/>
      <c r="BR16" s="27"/>
      <c r="BS16" s="27"/>
      <c r="BT16" s="27"/>
      <c r="BU16" s="27"/>
      <c r="BV16" s="27"/>
      <c r="BW16" s="27"/>
      <c r="BX16" s="28"/>
      <c r="BY16" s="28"/>
      <c r="BZ16" s="27"/>
      <c r="CA16" s="28"/>
    </row>
    <row r="17" spans="1:311" s="26" customFormat="1">
      <c r="B17" s="37"/>
      <c r="I17" s="30"/>
      <c r="J17" s="30"/>
      <c r="K17" s="30"/>
      <c r="L17" s="30"/>
      <c r="M17" s="30"/>
      <c r="R17" s="30"/>
      <c r="T17" s="30"/>
      <c r="AE17" s="30"/>
      <c r="AF17" s="30"/>
      <c r="BP17" s="28"/>
      <c r="BQ17" s="28"/>
      <c r="BR17" s="27"/>
      <c r="BS17" s="27"/>
      <c r="BT17" s="27"/>
      <c r="BU17" s="27"/>
      <c r="BV17" s="27"/>
      <c r="BW17" s="27"/>
      <c r="BX17" s="28"/>
      <c r="BY17" s="28"/>
      <c r="BZ17" s="27"/>
      <c r="CA17" s="28"/>
    </row>
    <row r="18" spans="1:311" ht="18.75">
      <c r="A18" s="54" t="s">
        <v>47</v>
      </c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</row>
    <row r="19" spans="1:311" s="27" customFormat="1">
      <c r="A19" s="57" t="s">
        <v>66</v>
      </c>
      <c r="G19" s="1"/>
      <c r="H19" s="1"/>
      <c r="M19" s="95"/>
      <c r="Q19" s="2"/>
      <c r="S19" s="3"/>
      <c r="T19" s="97"/>
      <c r="AA19" s="3"/>
      <c r="AB19" s="98"/>
      <c r="AC19" s="98"/>
      <c r="AD19" s="98"/>
      <c r="AE19" s="98"/>
      <c r="AF19" s="95"/>
      <c r="AG19" s="98"/>
      <c r="AI19" s="96"/>
      <c r="AJ19" s="3"/>
      <c r="AK19" s="95"/>
      <c r="AM19" s="95"/>
      <c r="AN19" s="95"/>
      <c r="AO19" s="98"/>
      <c r="AQ19" s="96"/>
      <c r="AR19" s="3"/>
      <c r="AS19" s="95"/>
      <c r="AU19" s="95"/>
      <c r="AV19" s="95"/>
      <c r="AW19" s="98"/>
      <c r="AY19" s="96"/>
      <c r="AZ19" s="3"/>
      <c r="BA19" s="95"/>
      <c r="BC19" s="95"/>
      <c r="BE19" s="97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</row>
    <row r="20" spans="1:311" s="27" customFormat="1" ht="15" customHeight="1">
      <c r="A20" s="59" t="s">
        <v>17</v>
      </c>
      <c r="C20" s="7"/>
      <c r="D20" s="27" t="s">
        <v>41</v>
      </c>
      <c r="E20" s="7"/>
      <c r="F20" s="7"/>
      <c r="G20" s="56"/>
      <c r="H20" s="69"/>
      <c r="I20" s="7"/>
      <c r="J20" s="7"/>
      <c r="K20" s="7"/>
      <c r="L20" s="7"/>
      <c r="M20" s="59" t="s">
        <v>1</v>
      </c>
      <c r="N20" s="27" t="s">
        <v>2</v>
      </c>
      <c r="Q20" s="2"/>
      <c r="S20" s="3"/>
      <c r="T20" s="99"/>
      <c r="AF20" s="59" t="s">
        <v>118</v>
      </c>
      <c r="AN20" s="59" t="s">
        <v>91</v>
      </c>
      <c r="AV20" s="59" t="s">
        <v>92</v>
      </c>
      <c r="BM20" s="8" t="s">
        <v>37</v>
      </c>
      <c r="BT20" s="27" t="s">
        <v>117</v>
      </c>
      <c r="BX20" s="27" t="s">
        <v>120</v>
      </c>
      <c r="BZ20" s="154"/>
      <c r="CA20" s="155"/>
      <c r="CB20" s="43"/>
      <c r="CC20" s="23"/>
      <c r="CD20" s="23"/>
      <c r="CE20" s="23"/>
      <c r="CF20" s="23"/>
      <c r="CG20" s="23"/>
      <c r="CH20" s="23"/>
      <c r="CI20" s="156"/>
      <c r="CJ20" s="122"/>
      <c r="CK20" s="122"/>
      <c r="CL20" s="43"/>
      <c r="CM20" s="43"/>
      <c r="CN20" s="43"/>
      <c r="CO20" s="43"/>
      <c r="CP20" s="43"/>
      <c r="CQ20" s="43"/>
      <c r="CR20" s="119"/>
      <c r="CS20" s="120"/>
      <c r="CT20" s="43"/>
      <c r="CU20" s="43"/>
      <c r="CV20" s="43"/>
      <c r="CW20" s="43"/>
      <c r="CX20" s="43"/>
      <c r="CY20" s="43"/>
      <c r="CZ20" s="43"/>
      <c r="DA20" s="121"/>
      <c r="DB20" s="122"/>
      <c r="DC20" s="122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</row>
    <row r="21" spans="1:311" s="9" customFormat="1">
      <c r="A21" s="51" t="s">
        <v>62</v>
      </c>
      <c r="B21" s="11" t="s">
        <v>63</v>
      </c>
      <c r="C21" s="9" t="s">
        <v>64</v>
      </c>
      <c r="D21" s="9" t="s">
        <v>26</v>
      </c>
      <c r="E21" s="9" t="s">
        <v>67</v>
      </c>
      <c r="F21" s="10" t="s">
        <v>48</v>
      </c>
      <c r="G21" s="10" t="s">
        <v>3</v>
      </c>
      <c r="H21" s="10" t="s">
        <v>4</v>
      </c>
      <c r="I21" s="9" t="s">
        <v>5</v>
      </c>
      <c r="J21" s="9" t="s">
        <v>6</v>
      </c>
      <c r="K21" s="10" t="s">
        <v>7</v>
      </c>
      <c r="L21" s="10" t="s">
        <v>95</v>
      </c>
      <c r="M21" s="11"/>
      <c r="N21" s="11" t="s">
        <v>8</v>
      </c>
      <c r="O21" s="9" t="s">
        <v>11</v>
      </c>
      <c r="P21" s="9" t="s">
        <v>10</v>
      </c>
      <c r="Q21" s="11" t="s">
        <v>96</v>
      </c>
      <c r="R21" s="9" t="s">
        <v>97</v>
      </c>
      <c r="S21" s="94" t="s">
        <v>98</v>
      </c>
      <c r="T21" s="94" t="s">
        <v>99</v>
      </c>
      <c r="U21" s="9" t="s">
        <v>100</v>
      </c>
      <c r="V21" s="9" t="s">
        <v>101</v>
      </c>
      <c r="W21" s="9" t="s">
        <v>12</v>
      </c>
      <c r="X21" s="9" t="s">
        <v>13</v>
      </c>
      <c r="Y21" s="9" t="s">
        <v>14</v>
      </c>
      <c r="Z21" s="9" t="s">
        <v>15</v>
      </c>
      <c r="AA21" s="9" t="s">
        <v>16</v>
      </c>
      <c r="AB21" s="9" t="s">
        <v>119</v>
      </c>
      <c r="AF21" s="9" t="s">
        <v>102</v>
      </c>
      <c r="AG21" s="11" t="s">
        <v>8</v>
      </c>
      <c r="AH21" s="9" t="s">
        <v>11</v>
      </c>
      <c r="AI21" s="9" t="s">
        <v>10</v>
      </c>
      <c r="AJ21" s="9" t="s">
        <v>13</v>
      </c>
      <c r="AK21" s="9" t="s">
        <v>14</v>
      </c>
      <c r="AL21" s="9" t="s">
        <v>15</v>
      </c>
      <c r="AM21" s="9" t="s">
        <v>16</v>
      </c>
      <c r="AN21" s="9" t="s">
        <v>102</v>
      </c>
      <c r="AO21" s="11" t="s">
        <v>8</v>
      </c>
      <c r="AP21" s="9" t="s">
        <v>11</v>
      </c>
      <c r="AQ21" s="9" t="s">
        <v>10</v>
      </c>
      <c r="AR21" s="9" t="s">
        <v>13</v>
      </c>
      <c r="AS21" s="9" t="s">
        <v>14</v>
      </c>
      <c r="AT21" s="9" t="s">
        <v>15</v>
      </c>
      <c r="AU21" s="9" t="s">
        <v>16</v>
      </c>
      <c r="AV21" s="9" t="s">
        <v>102</v>
      </c>
      <c r="AW21" s="11" t="s">
        <v>8</v>
      </c>
      <c r="AX21" s="9" t="s">
        <v>11</v>
      </c>
      <c r="AY21" s="9" t="s">
        <v>10</v>
      </c>
      <c r="AZ21" s="9" t="s">
        <v>13</v>
      </c>
      <c r="BA21" s="9" t="s">
        <v>14</v>
      </c>
      <c r="BB21" s="9" t="s">
        <v>15</v>
      </c>
      <c r="BC21" s="9" t="s">
        <v>16</v>
      </c>
      <c r="BL21" s="100" t="s">
        <v>103</v>
      </c>
      <c r="BM21" s="9" t="s">
        <v>104</v>
      </c>
      <c r="BN21" s="9" t="s">
        <v>88</v>
      </c>
      <c r="BO21" s="9" t="s">
        <v>105</v>
      </c>
      <c r="BP21" s="9" t="s">
        <v>106</v>
      </c>
      <c r="BQ21" s="9" t="s">
        <v>107</v>
      </c>
      <c r="BR21" s="9" t="s">
        <v>108</v>
      </c>
      <c r="BT21" s="9" t="s">
        <v>109</v>
      </c>
      <c r="BU21" s="9" t="s">
        <v>110</v>
      </c>
      <c r="BV21" s="9" t="s">
        <v>111</v>
      </c>
      <c r="BW21" s="9" t="s">
        <v>112</v>
      </c>
      <c r="BX21" s="12" t="s">
        <v>116</v>
      </c>
      <c r="BZ21" s="151"/>
      <c r="CA21" s="53"/>
      <c r="CB21" s="151"/>
      <c r="CC21" s="51"/>
      <c r="CD21" s="51"/>
      <c r="CE21" s="51"/>
      <c r="CF21" s="51"/>
      <c r="CG21" s="151"/>
      <c r="CH21" s="51"/>
      <c r="CI21" s="152"/>
      <c r="CJ21" s="153"/>
      <c r="CK21" s="153"/>
      <c r="CL21" s="51"/>
      <c r="CM21" s="51"/>
      <c r="CN21" s="51"/>
      <c r="CO21" s="209"/>
      <c r="CP21" s="51"/>
      <c r="CQ21" s="51"/>
      <c r="CR21" s="210"/>
      <c r="CS21" s="51"/>
      <c r="CT21" s="210"/>
      <c r="CU21" s="51"/>
      <c r="CV21" s="51"/>
      <c r="CW21" s="51"/>
      <c r="CX21" s="51"/>
      <c r="CY21" s="210"/>
      <c r="CZ21" s="51"/>
      <c r="DA21" s="208"/>
      <c r="DB21" s="153"/>
      <c r="DC21" s="153"/>
      <c r="DD21" s="51"/>
      <c r="DE21" s="51"/>
      <c r="DF21" s="51"/>
      <c r="DG21" s="51"/>
      <c r="DH21" s="51"/>
      <c r="DI21" s="51"/>
      <c r="DJ21" s="51"/>
      <c r="DK21" s="51"/>
      <c r="DL21" s="211"/>
      <c r="DM21" s="51"/>
      <c r="DN21" s="51"/>
      <c r="DO21" s="51"/>
      <c r="DP21" s="51"/>
      <c r="DQ21" s="51"/>
      <c r="DR21" s="212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  <c r="IW21" s="51"/>
      <c r="IX21" s="51"/>
      <c r="IY21" s="51"/>
      <c r="IZ21" s="51"/>
      <c r="JA21" s="51"/>
      <c r="JB21" s="51"/>
      <c r="JC21" s="51"/>
      <c r="JD21" s="51"/>
      <c r="JE21" s="51"/>
      <c r="JF21" s="51"/>
      <c r="JG21" s="51"/>
      <c r="JH21" s="51"/>
      <c r="JI21" s="51"/>
      <c r="JJ21" s="51"/>
      <c r="JK21" s="51"/>
      <c r="JL21" s="51"/>
      <c r="JM21" s="51"/>
      <c r="JN21" s="51"/>
      <c r="JO21" s="51"/>
      <c r="JP21" s="51"/>
      <c r="JQ21" s="51"/>
      <c r="JR21" s="51"/>
      <c r="JS21" s="51"/>
      <c r="JT21" s="51"/>
      <c r="JU21" s="51"/>
      <c r="JV21" s="51"/>
      <c r="JW21" s="51"/>
      <c r="JX21" s="51"/>
      <c r="JY21" s="51"/>
      <c r="JZ21" s="51"/>
      <c r="KA21" s="51"/>
      <c r="KB21" s="51"/>
      <c r="KC21" s="51"/>
      <c r="KD21" s="51"/>
      <c r="KE21" s="51"/>
      <c r="KF21" s="51"/>
      <c r="KG21" s="51"/>
      <c r="KH21" s="51"/>
      <c r="KI21" s="51"/>
      <c r="KJ21" s="51"/>
      <c r="KK21" s="51"/>
      <c r="KL21" s="51"/>
      <c r="KM21" s="51"/>
      <c r="KN21" s="51"/>
      <c r="KO21" s="51"/>
      <c r="KP21" s="51"/>
      <c r="KQ21" s="51"/>
      <c r="KR21" s="51"/>
      <c r="KS21" s="51"/>
      <c r="KT21" s="51"/>
      <c r="KU21" s="51"/>
      <c r="KV21" s="51"/>
      <c r="KW21" s="51"/>
      <c r="KX21" s="51"/>
      <c r="KY21" s="51"/>
    </row>
    <row r="22" spans="1:311" s="18" customFormat="1">
      <c r="A22" s="18" t="s">
        <v>50</v>
      </c>
      <c r="B22" s="18" t="s">
        <v>68</v>
      </c>
      <c r="C22" s="26" t="s">
        <v>37</v>
      </c>
      <c r="D22" s="93">
        <v>16</v>
      </c>
      <c r="E22" s="18">
        <v>138</v>
      </c>
      <c r="F22" s="49">
        <f>-0.000000000064332*1000000000000</f>
        <v>-64.332000000000008</v>
      </c>
      <c r="G22" s="49">
        <f>0.0000000000162194*1000000000000</f>
        <v>16.2194</v>
      </c>
      <c r="H22" s="49">
        <f xml:space="preserve"> 0.00000000000263114*1000000000000</f>
        <v>2.6311400000000003</v>
      </c>
      <c r="I22" s="18">
        <v>38</v>
      </c>
      <c r="J22" s="49">
        <f>G22/-F22</f>
        <v>0.25212025119691595</v>
      </c>
      <c r="K22" s="49">
        <v>0</v>
      </c>
      <c r="L22" s="27">
        <f t="shared" ref="L22:L28" si="7">Y22+AA22</f>
        <v>0</v>
      </c>
      <c r="M22" s="26" t="s">
        <v>24</v>
      </c>
      <c r="N22" s="18">
        <v>-62.41</v>
      </c>
      <c r="O22" s="18">
        <v>-45.62</v>
      </c>
      <c r="P22" s="84">
        <v>0.73</v>
      </c>
      <c r="Q22" s="18">
        <v>2.72</v>
      </c>
      <c r="R22" s="85">
        <v>2.69</v>
      </c>
      <c r="S22" s="18">
        <v>1.5</v>
      </c>
      <c r="T22" s="18">
        <v>11.42</v>
      </c>
      <c r="U22" s="18">
        <v>2.58</v>
      </c>
      <c r="V22" s="18">
        <v>1.99</v>
      </c>
      <c r="W22" s="18">
        <v>15</v>
      </c>
      <c r="X22" s="18">
        <v>1</v>
      </c>
      <c r="Y22" s="18">
        <v>0</v>
      </c>
      <c r="Z22" s="18">
        <v>0</v>
      </c>
      <c r="AA22" s="18">
        <v>0</v>
      </c>
      <c r="AB22" s="18">
        <v>-52</v>
      </c>
      <c r="AF22" s="56">
        <f>AG22/AB22</f>
        <v>0.24211538461538462</v>
      </c>
      <c r="AG22" s="18">
        <v>-12.59</v>
      </c>
      <c r="AH22" s="18">
        <v>-12.56</v>
      </c>
      <c r="AI22" s="18">
        <v>1</v>
      </c>
      <c r="AJ22" s="18">
        <v>0.85</v>
      </c>
      <c r="AK22" s="27">
        <v>0.08</v>
      </c>
      <c r="AL22" s="27">
        <v>0.08</v>
      </c>
      <c r="AM22" s="18">
        <v>0</v>
      </c>
      <c r="AN22" s="49">
        <f t="shared" ref="AN22:AN28" si="8">AO22/AB22</f>
        <v>0.57538461538461538</v>
      </c>
      <c r="AO22" s="18">
        <v>-29.92</v>
      </c>
      <c r="AP22" s="86" t="s">
        <v>114</v>
      </c>
      <c r="AQ22" s="87">
        <v>0.93</v>
      </c>
      <c r="AR22" s="18">
        <v>0.98</v>
      </c>
      <c r="AS22" s="18">
        <v>0</v>
      </c>
      <c r="AT22" s="18">
        <v>0.02</v>
      </c>
      <c r="AU22" s="18">
        <v>0</v>
      </c>
      <c r="AV22" s="49">
        <f t="shared" ref="AV22:AV28" si="9">AW22/AB22</f>
        <v>1.3446153846153845</v>
      </c>
      <c r="AW22" s="18">
        <v>-69.92</v>
      </c>
      <c r="AX22" s="18">
        <v>-29.19</v>
      </c>
      <c r="AY22" s="18">
        <v>0.42</v>
      </c>
      <c r="AZ22" s="18">
        <v>1</v>
      </c>
      <c r="BA22" s="18">
        <v>0</v>
      </c>
      <c r="BB22" s="18">
        <v>0</v>
      </c>
      <c r="BC22" s="18">
        <v>0</v>
      </c>
      <c r="BL22" s="18">
        <v>-13.97</v>
      </c>
      <c r="BM22" s="18">
        <v>-4.22</v>
      </c>
      <c r="BN22" s="18">
        <v>18.68</v>
      </c>
      <c r="BO22" s="18">
        <v>0.66200000000000003</v>
      </c>
      <c r="BP22" s="18">
        <v>0.182</v>
      </c>
      <c r="BQ22" s="18">
        <v>0.378</v>
      </c>
      <c r="BR22" s="18">
        <v>0.89700000000000002</v>
      </c>
      <c r="BS22" s="18" t="s">
        <v>115</v>
      </c>
      <c r="BT22" s="18">
        <v>-6.7799999999999999E-2</v>
      </c>
      <c r="BU22" s="49">
        <v>6.9400000000000003E-2</v>
      </c>
      <c r="BV22" s="1">
        <v>-4.41E-2</v>
      </c>
      <c r="BW22" s="49">
        <v>-0.13400000000000001</v>
      </c>
      <c r="BX22" s="49">
        <f>1/51</f>
        <v>1.9607843137254902E-2</v>
      </c>
      <c r="BZ22" s="158"/>
      <c r="CA22" s="158"/>
      <c r="CB22" s="158"/>
      <c r="CC22" s="158"/>
      <c r="CD22" s="23"/>
      <c r="CE22" s="158"/>
      <c r="CF22" s="158"/>
      <c r="CG22" s="158"/>
      <c r="CH22" s="158"/>
      <c r="CI22" s="159"/>
      <c r="CJ22" s="160"/>
      <c r="CK22" s="159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121"/>
      <c r="DB22" s="122"/>
      <c r="DC22" s="122"/>
      <c r="DD22" s="72"/>
      <c r="DE22" s="72"/>
      <c r="DF22" s="72"/>
      <c r="DG22" s="72"/>
      <c r="DH22" s="72"/>
      <c r="DI22" s="72"/>
      <c r="DJ22" s="72"/>
      <c r="DK22" s="72"/>
      <c r="DL22" s="124"/>
      <c r="DM22" s="72"/>
      <c r="DN22" s="72"/>
      <c r="DO22" s="72"/>
      <c r="DP22" s="72"/>
      <c r="DQ22" s="72"/>
      <c r="DR22" s="129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  <c r="IW22" s="72"/>
      <c r="IX22" s="72"/>
      <c r="IY22" s="72"/>
      <c r="IZ22" s="72"/>
      <c r="JA22" s="72"/>
      <c r="JB22" s="72"/>
      <c r="JC22" s="72"/>
      <c r="JD22" s="72"/>
      <c r="JE22" s="72"/>
      <c r="JF22" s="72"/>
      <c r="JG22" s="72"/>
      <c r="JH22" s="72"/>
      <c r="JI22" s="72"/>
      <c r="JJ22" s="72"/>
      <c r="JK22" s="72"/>
      <c r="JL22" s="72"/>
      <c r="JM22" s="72"/>
      <c r="JN22" s="72"/>
      <c r="JO22" s="72"/>
      <c r="JP22" s="72"/>
      <c r="JQ22" s="72"/>
      <c r="JR22" s="72"/>
      <c r="JS22" s="72"/>
      <c r="JT22" s="72"/>
      <c r="JU22" s="72"/>
      <c r="JV22" s="72"/>
      <c r="JW22" s="72"/>
      <c r="JX22" s="72"/>
      <c r="JY22" s="72"/>
      <c r="JZ22" s="72"/>
      <c r="KA22" s="72"/>
      <c r="KB22" s="72"/>
      <c r="KC22" s="72"/>
      <c r="KD22" s="72"/>
      <c r="KE22" s="72"/>
      <c r="KF22" s="72"/>
      <c r="KG22" s="72"/>
      <c r="KH22" s="72"/>
      <c r="KI22" s="72"/>
      <c r="KJ22" s="72"/>
      <c r="KK22" s="72"/>
      <c r="KL22" s="72"/>
      <c r="KM22" s="72"/>
      <c r="KN22" s="72"/>
      <c r="KO22" s="72"/>
      <c r="KP22" s="72"/>
      <c r="KQ22" s="72"/>
      <c r="KR22" s="72"/>
      <c r="KS22" s="72"/>
      <c r="KT22" s="72"/>
      <c r="KU22" s="72"/>
      <c r="KV22" s="72"/>
      <c r="KW22" s="72"/>
      <c r="KX22" s="72"/>
      <c r="KY22" s="72"/>
    </row>
    <row r="23" spans="1:311" s="27" customFormat="1">
      <c r="A23" s="18" t="s">
        <v>51</v>
      </c>
      <c r="B23" s="27" t="s">
        <v>68</v>
      </c>
      <c r="C23" s="26" t="s">
        <v>37</v>
      </c>
      <c r="D23" s="93">
        <v>15</v>
      </c>
      <c r="E23" s="27">
        <v>152</v>
      </c>
      <c r="F23" s="27">
        <f>-0.0000000000526359*1000000000000</f>
        <v>-52.635899999999999</v>
      </c>
      <c r="G23" s="1">
        <f xml:space="preserve"> 0.0000000000137798*1000000000000</f>
        <v>13.779800000000002</v>
      </c>
      <c r="H23" s="27">
        <f xml:space="preserve"> 0.00000000000287329*1000000000000</f>
        <v>2.8732900000000003</v>
      </c>
      <c r="I23" s="27">
        <v>23</v>
      </c>
      <c r="J23" s="49">
        <f t="shared" ref="J23:J28" si="10">G23/-F23</f>
        <v>0.26179470665458371</v>
      </c>
      <c r="K23" s="1">
        <v>0</v>
      </c>
      <c r="L23" s="27">
        <f t="shared" si="7"/>
        <v>0</v>
      </c>
      <c r="M23" s="26" t="s">
        <v>24</v>
      </c>
      <c r="N23" s="27">
        <v>-52.12</v>
      </c>
      <c r="O23" s="27">
        <v>-35.94</v>
      </c>
      <c r="P23" s="27">
        <v>0.69</v>
      </c>
      <c r="Q23" s="27">
        <v>2.61</v>
      </c>
      <c r="R23" s="27">
        <v>2.52</v>
      </c>
      <c r="S23" s="27">
        <v>0.96</v>
      </c>
      <c r="T23" s="27">
        <v>1.39</v>
      </c>
      <c r="U23" s="27">
        <v>2.2400000000000002</v>
      </c>
      <c r="V23" s="27">
        <v>2.66</v>
      </c>
      <c r="W23" s="27">
        <v>19</v>
      </c>
      <c r="X23" s="27">
        <v>1</v>
      </c>
      <c r="Y23" s="27">
        <v>0</v>
      </c>
      <c r="Z23" s="27">
        <v>0</v>
      </c>
      <c r="AA23" s="27">
        <v>0</v>
      </c>
      <c r="AB23" s="27">
        <v>-52</v>
      </c>
      <c r="AF23" s="56">
        <f>AG23/AB23</f>
        <v>0.13519230769230769</v>
      </c>
      <c r="AG23" s="27">
        <v>-7.03</v>
      </c>
      <c r="AH23" s="27">
        <v>-18.079999999999998</v>
      </c>
      <c r="AI23" s="27">
        <v>2.57</v>
      </c>
      <c r="AJ23" s="27">
        <v>0.53</v>
      </c>
      <c r="AK23" s="27">
        <v>0.04</v>
      </c>
      <c r="AL23" s="18">
        <v>0.35</v>
      </c>
      <c r="AM23" s="27">
        <v>0.08</v>
      </c>
      <c r="AN23" s="49">
        <f t="shared" si="8"/>
        <v>0.46769230769230768</v>
      </c>
      <c r="AO23" s="27">
        <v>-24.32</v>
      </c>
      <c r="AP23" s="27">
        <v>-31.3</v>
      </c>
      <c r="AQ23" s="27">
        <v>1.29</v>
      </c>
      <c r="AR23" s="27">
        <v>0.96</v>
      </c>
      <c r="AS23" s="27">
        <v>0.02</v>
      </c>
      <c r="AT23" s="27">
        <v>0.02</v>
      </c>
      <c r="AU23" s="27">
        <v>0</v>
      </c>
      <c r="AV23" s="49">
        <f t="shared" si="9"/>
        <v>1.2742307692307693</v>
      </c>
      <c r="AW23" s="27">
        <v>-66.260000000000005</v>
      </c>
      <c r="AX23" s="27">
        <v>-33</v>
      </c>
      <c r="AY23" s="27">
        <v>0.5</v>
      </c>
      <c r="AZ23" s="18">
        <v>1</v>
      </c>
      <c r="BA23" s="18">
        <v>0</v>
      </c>
      <c r="BB23" s="18">
        <v>0</v>
      </c>
      <c r="BC23" s="18">
        <v>0</v>
      </c>
      <c r="BD23" s="18"/>
      <c r="BE23" s="18"/>
      <c r="BF23" s="18"/>
      <c r="BG23" s="18"/>
      <c r="BH23" s="18"/>
      <c r="BI23" s="18"/>
      <c r="BJ23" s="18"/>
      <c r="BK23" s="18"/>
      <c r="BL23" s="27">
        <v>-11.03</v>
      </c>
      <c r="BM23" s="27">
        <v>-8.8699999999999992</v>
      </c>
      <c r="BN23" s="27">
        <v>8.4600000000000009</v>
      </c>
      <c r="BO23" s="27">
        <v>0.70099999999999996</v>
      </c>
      <c r="BP23" s="27">
        <v>0.13</v>
      </c>
      <c r="BQ23" s="27">
        <v>0.33600000000000002</v>
      </c>
      <c r="BR23" s="27">
        <v>0.89500000000000002</v>
      </c>
      <c r="BS23" s="18" t="s">
        <v>115</v>
      </c>
      <c r="BT23" s="49">
        <v>-0.16</v>
      </c>
      <c r="BU23" s="1">
        <v>0.04</v>
      </c>
      <c r="BV23" s="1">
        <v>0.21</v>
      </c>
      <c r="BW23" s="1">
        <v>-0.1</v>
      </c>
      <c r="BX23" s="49">
        <f>1/52</f>
        <v>1.9230769230769232E-2</v>
      </c>
      <c r="BY23" s="18"/>
      <c r="BZ23" s="158"/>
      <c r="CA23" s="158"/>
      <c r="CB23" s="23"/>
      <c r="CC23" s="23"/>
      <c r="CD23" s="23"/>
      <c r="CE23" s="23"/>
      <c r="CF23" s="23"/>
      <c r="CG23" s="23"/>
      <c r="CH23" s="158"/>
      <c r="CI23" s="156"/>
      <c r="CJ23" s="161"/>
      <c r="CK23" s="156"/>
      <c r="CL23" s="72"/>
      <c r="CM23" s="72"/>
      <c r="CN23" s="130"/>
      <c r="CO23" s="72"/>
      <c r="CP23" s="72"/>
      <c r="CQ23" s="72"/>
      <c r="CR23" s="72"/>
      <c r="CS23" s="72"/>
      <c r="CT23" s="72"/>
      <c r="CU23" s="72"/>
      <c r="CV23" s="43"/>
      <c r="CW23" s="72"/>
      <c r="CX23" s="72"/>
      <c r="CY23" s="72"/>
      <c r="CZ23" s="72"/>
      <c r="DA23" s="128"/>
      <c r="DB23" s="127"/>
      <c r="DC23" s="128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  <c r="IW23" s="43"/>
      <c r="IX23" s="43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</row>
    <row r="24" spans="1:311" s="27" customFormat="1">
      <c r="A24" s="18" t="s">
        <v>52</v>
      </c>
      <c r="B24" s="27" t="s">
        <v>69</v>
      </c>
      <c r="C24" s="26" t="s">
        <v>37</v>
      </c>
      <c r="D24" s="26">
        <v>26</v>
      </c>
      <c r="E24" s="27">
        <v>80</v>
      </c>
      <c r="F24" s="1">
        <f>-0.0000000000279642*1000000000000</f>
        <v>-27.964200000000002</v>
      </c>
      <c r="G24" s="1">
        <f xml:space="preserve"> 0.0000000000130091*1000000000000</f>
        <v>13.0091</v>
      </c>
      <c r="H24" s="1">
        <v>2.37513</v>
      </c>
      <c r="I24" s="27">
        <v>30</v>
      </c>
      <c r="J24" s="1">
        <f t="shared" si="10"/>
        <v>0.46520551276274663</v>
      </c>
      <c r="K24" s="1">
        <v>0</v>
      </c>
      <c r="L24" s="27">
        <f t="shared" si="7"/>
        <v>0</v>
      </c>
      <c r="M24" s="21" t="s">
        <v>24</v>
      </c>
      <c r="N24" s="27">
        <v>-25.11</v>
      </c>
      <c r="O24" s="27">
        <v>-24.71</v>
      </c>
      <c r="P24" s="27">
        <v>0.98</v>
      </c>
      <c r="Q24" s="27">
        <v>1.19</v>
      </c>
      <c r="R24" s="27">
        <v>1.21</v>
      </c>
      <c r="S24" s="27">
        <v>0.16</v>
      </c>
      <c r="T24" s="27">
        <v>0.25</v>
      </c>
      <c r="U24" s="27">
        <v>1</v>
      </c>
      <c r="V24" s="27">
        <v>1.26</v>
      </c>
      <c r="W24" s="27">
        <v>4</v>
      </c>
      <c r="X24" s="27">
        <v>1</v>
      </c>
      <c r="Y24" s="27">
        <v>0</v>
      </c>
      <c r="Z24" s="27">
        <v>0</v>
      </c>
      <c r="AA24" s="27">
        <v>0</v>
      </c>
      <c r="AB24" s="27">
        <v>-18</v>
      </c>
      <c r="AN24" s="49">
        <f t="shared" si="8"/>
        <v>0.22999999999999998</v>
      </c>
      <c r="AO24" s="27">
        <v>-4.1399999999999997</v>
      </c>
      <c r="AP24" s="27">
        <v>-7.79</v>
      </c>
      <c r="AQ24" s="27">
        <v>1.88</v>
      </c>
      <c r="AR24" s="27">
        <v>0.7</v>
      </c>
      <c r="AS24" s="27">
        <v>0.09</v>
      </c>
      <c r="AT24" s="27">
        <v>0.16</v>
      </c>
      <c r="AU24" s="27">
        <v>0.05</v>
      </c>
      <c r="AV24" s="49">
        <f t="shared" si="9"/>
        <v>1.6905555555555556</v>
      </c>
      <c r="AW24" s="27">
        <v>-30.43</v>
      </c>
      <c r="AX24" s="27">
        <v>-16.2</v>
      </c>
      <c r="AY24" s="27">
        <v>0.53</v>
      </c>
      <c r="AZ24" s="27">
        <v>0.94</v>
      </c>
      <c r="BA24" s="27">
        <v>0.06</v>
      </c>
      <c r="BB24" s="27">
        <v>0</v>
      </c>
      <c r="BC24" s="27">
        <v>0</v>
      </c>
      <c r="BL24" s="27">
        <v>-7.93</v>
      </c>
      <c r="BM24" s="18">
        <v>-9.24</v>
      </c>
      <c r="BN24" s="18">
        <v>3.43</v>
      </c>
      <c r="BO24" s="18">
        <v>0.55800000000000005</v>
      </c>
      <c r="BP24" s="18"/>
      <c r="BQ24" s="18">
        <v>0.28499999999999998</v>
      </c>
      <c r="BR24" s="18">
        <v>0.74</v>
      </c>
      <c r="BS24" s="18" t="s">
        <v>115</v>
      </c>
      <c r="BT24" s="49">
        <v>-0.26900000000000002</v>
      </c>
      <c r="BU24" s="49"/>
      <c r="BV24" s="49">
        <v>0.11799999999999999</v>
      </c>
      <c r="BW24" s="49">
        <v>0.33500000000000002</v>
      </c>
      <c r="BX24" s="49">
        <f>6/48</f>
        <v>0.125</v>
      </c>
      <c r="BY24" s="18"/>
      <c r="BZ24" s="23"/>
      <c r="CA24" s="23"/>
      <c r="CB24" s="23"/>
      <c r="CC24" s="23"/>
      <c r="CD24" s="23"/>
      <c r="CE24" s="23"/>
      <c r="CF24" s="23"/>
      <c r="CG24" s="23"/>
      <c r="CH24" s="158"/>
      <c r="CI24" s="156"/>
      <c r="CJ24" s="161"/>
      <c r="CK24" s="156"/>
      <c r="CL24" s="72"/>
      <c r="CM24" s="72"/>
      <c r="CN24" s="130"/>
      <c r="CO24" s="72"/>
      <c r="CP24" s="72"/>
      <c r="CQ24" s="43"/>
      <c r="CR24" s="72"/>
      <c r="CS24" s="72"/>
      <c r="CT24" s="43"/>
      <c r="CU24" s="43"/>
      <c r="CV24" s="43"/>
      <c r="CW24" s="43"/>
      <c r="CX24" s="43"/>
      <c r="CY24" s="43"/>
      <c r="CZ24" s="72"/>
      <c r="DA24" s="121"/>
      <c r="DB24" s="122"/>
      <c r="DC24" s="121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</row>
    <row r="25" spans="1:311" s="48" customFormat="1">
      <c r="A25" s="48" t="s">
        <v>53</v>
      </c>
      <c r="B25" s="48" t="s">
        <v>69</v>
      </c>
      <c r="D25" s="48">
        <v>17</v>
      </c>
      <c r="E25" s="48">
        <v>235</v>
      </c>
      <c r="F25" s="47">
        <v>-18.428999999999998</v>
      </c>
      <c r="G25" s="47">
        <v>7.0570300000000001</v>
      </c>
      <c r="H25" s="47">
        <v>1.07619</v>
      </c>
      <c r="I25" s="47">
        <v>43</v>
      </c>
      <c r="J25" s="47">
        <f t="shared" si="10"/>
        <v>0.38293070703782084</v>
      </c>
      <c r="K25" s="47">
        <v>0</v>
      </c>
      <c r="L25" s="27">
        <f t="shared" si="7"/>
        <v>0</v>
      </c>
      <c r="M25" s="21" t="s">
        <v>24</v>
      </c>
      <c r="N25" s="48">
        <v>-13.2</v>
      </c>
      <c r="O25" s="48">
        <v>-13.15</v>
      </c>
      <c r="P25" s="48">
        <v>1</v>
      </c>
      <c r="Q25" s="48">
        <v>1.67</v>
      </c>
      <c r="R25" s="48">
        <v>1.63</v>
      </c>
      <c r="S25" s="48">
        <v>1.5</v>
      </c>
      <c r="T25" s="48">
        <v>0.62</v>
      </c>
      <c r="U25" s="48">
        <v>1.39</v>
      </c>
      <c r="V25" s="48">
        <v>2.95</v>
      </c>
      <c r="W25" s="48">
        <v>13</v>
      </c>
      <c r="X25" s="48">
        <v>1</v>
      </c>
      <c r="Y25" s="48">
        <v>0</v>
      </c>
      <c r="Z25" s="48">
        <v>0</v>
      </c>
      <c r="AA25" s="48">
        <v>0</v>
      </c>
      <c r="AB25" s="48">
        <v>-18</v>
      </c>
      <c r="AN25" s="47">
        <f t="shared" si="8"/>
        <v>0.27944444444444444</v>
      </c>
      <c r="AO25" s="48">
        <v>-5.03</v>
      </c>
      <c r="AP25" s="48">
        <v>-3.98</v>
      </c>
      <c r="AQ25" s="48">
        <v>0.79</v>
      </c>
      <c r="AR25" s="48">
        <v>0.41</v>
      </c>
      <c r="AS25" s="48">
        <v>0.31</v>
      </c>
      <c r="AT25" s="48">
        <v>0.16</v>
      </c>
      <c r="AU25" s="48">
        <v>0.12</v>
      </c>
      <c r="AV25" s="47">
        <f t="shared" si="9"/>
        <v>0.89222222222222214</v>
      </c>
      <c r="AW25" s="48">
        <v>-16.059999999999999</v>
      </c>
      <c r="AX25" s="48">
        <v>-9.52</v>
      </c>
      <c r="AY25" s="48">
        <v>0.59</v>
      </c>
      <c r="AZ25" s="48">
        <v>0.93</v>
      </c>
      <c r="BA25" s="48">
        <v>7.0000000000000007E-2</v>
      </c>
      <c r="BB25" s="48">
        <v>0</v>
      </c>
      <c r="BC25" s="48">
        <v>0</v>
      </c>
      <c r="BD25" s="47"/>
      <c r="BL25" s="48">
        <v>-9.82</v>
      </c>
      <c r="BM25" s="24"/>
      <c r="BN25" s="24"/>
      <c r="BO25" s="24"/>
      <c r="BQ25" s="24"/>
      <c r="BR25" s="24"/>
      <c r="BT25" s="47"/>
      <c r="BU25" s="47"/>
      <c r="BV25" s="47"/>
      <c r="BW25" s="47"/>
      <c r="BX25" s="47"/>
      <c r="BZ25" s="89"/>
      <c r="CA25" s="89"/>
      <c r="CB25" s="89"/>
      <c r="CC25" s="89"/>
      <c r="CD25" s="90"/>
      <c r="CE25" s="89"/>
      <c r="CF25" s="89"/>
      <c r="CG25" s="89"/>
      <c r="CH25" s="89"/>
      <c r="CI25" s="89"/>
      <c r="CJ25" s="89"/>
      <c r="CK25" s="91"/>
      <c r="CN25" s="88"/>
      <c r="CP25" s="92"/>
      <c r="CQ25" s="89"/>
      <c r="CR25" s="89"/>
      <c r="CS25" s="89"/>
      <c r="CT25" s="89"/>
      <c r="CU25" s="89"/>
      <c r="CV25" s="89"/>
    </row>
    <row r="26" spans="1:311" s="27" customFormat="1">
      <c r="A26" s="18" t="s">
        <v>54</v>
      </c>
      <c r="B26" s="27" t="s">
        <v>69</v>
      </c>
      <c r="C26" s="26" t="s">
        <v>37</v>
      </c>
      <c r="D26" s="26">
        <v>30</v>
      </c>
      <c r="E26" s="27">
        <v>65</v>
      </c>
      <c r="F26" s="1">
        <f>-0.000000000211076*1000000000000</f>
        <v>-211.07599999999999</v>
      </c>
      <c r="G26" s="1">
        <f xml:space="preserve"> 0.0000000000664754*1000000000000</f>
        <v>66.475399999999993</v>
      </c>
      <c r="H26" s="1">
        <f xml:space="preserve"> 0.00000000000655001*1000000000000</f>
        <v>6.5500100000000003</v>
      </c>
      <c r="I26" s="27">
        <v>103</v>
      </c>
      <c r="J26" s="49">
        <f t="shared" si="10"/>
        <v>0.31493585248915079</v>
      </c>
      <c r="K26" s="1">
        <v>0</v>
      </c>
      <c r="L26" s="27">
        <f t="shared" si="7"/>
        <v>0</v>
      </c>
      <c r="M26" s="21" t="s">
        <v>24</v>
      </c>
      <c r="N26" s="27">
        <v>-207.11</v>
      </c>
      <c r="O26" s="27">
        <v>-141.99</v>
      </c>
      <c r="P26" s="27">
        <v>0.69</v>
      </c>
      <c r="Q26" s="27">
        <v>1.1299999999999999</v>
      </c>
      <c r="R26" s="27">
        <v>1.07</v>
      </c>
      <c r="S26" s="18">
        <v>5.4</v>
      </c>
      <c r="T26" s="18">
        <v>8.9700000000000006</v>
      </c>
      <c r="U26" s="27">
        <v>0.39</v>
      </c>
      <c r="V26" s="27">
        <v>0.38</v>
      </c>
      <c r="W26" s="27">
        <v>40</v>
      </c>
      <c r="X26" s="27">
        <v>1</v>
      </c>
      <c r="Y26" s="27">
        <v>0</v>
      </c>
      <c r="Z26" s="27">
        <v>0</v>
      </c>
      <c r="AA26" s="27">
        <v>0</v>
      </c>
      <c r="AB26" s="27">
        <v>-151</v>
      </c>
      <c r="AN26" s="49">
        <f t="shared" si="8"/>
        <v>0.35529801324503313</v>
      </c>
      <c r="AO26" s="27">
        <v>-53.65</v>
      </c>
      <c r="AP26" s="27">
        <v>-45.5</v>
      </c>
      <c r="AQ26" s="27">
        <v>0.85</v>
      </c>
      <c r="AR26" s="27">
        <v>0.92</v>
      </c>
      <c r="AS26" s="27">
        <v>0.02</v>
      </c>
      <c r="AT26" s="27">
        <v>0.06</v>
      </c>
      <c r="AU26" s="27">
        <v>0</v>
      </c>
      <c r="AV26" s="49">
        <f t="shared" si="9"/>
        <v>1.3705298013245033</v>
      </c>
      <c r="AW26" s="27">
        <v>-206.95</v>
      </c>
      <c r="AX26" s="27">
        <v>-114.49</v>
      </c>
      <c r="AY26" s="27">
        <v>0.55000000000000004</v>
      </c>
      <c r="AZ26" s="27">
        <v>1</v>
      </c>
      <c r="BA26" s="27">
        <v>0</v>
      </c>
      <c r="BB26" s="27">
        <v>0</v>
      </c>
      <c r="BC26" s="27">
        <v>0</v>
      </c>
      <c r="BM26" s="18">
        <v>-10.48</v>
      </c>
      <c r="BN26" s="18">
        <v>20.190000000000001</v>
      </c>
      <c r="BO26" s="18">
        <v>0.71099999999999997</v>
      </c>
      <c r="BP26" s="18"/>
      <c r="BQ26" s="18">
        <v>0.252</v>
      </c>
      <c r="BR26" s="18">
        <v>0.98599999999999999</v>
      </c>
      <c r="BS26" s="18" t="s">
        <v>115</v>
      </c>
      <c r="BT26" s="49">
        <v>0.20799999999999999</v>
      </c>
      <c r="BU26" s="49"/>
      <c r="BV26" s="49">
        <v>0.253</v>
      </c>
      <c r="BW26" s="49">
        <v>8.4599999999999995E-2</v>
      </c>
      <c r="BX26" s="49">
        <f>2/50</f>
        <v>0.04</v>
      </c>
      <c r="BY26" s="18"/>
      <c r="BZ26" s="162"/>
      <c r="CA26" s="162"/>
      <c r="CB26" s="162"/>
      <c r="CC26" s="162"/>
      <c r="CD26" s="162"/>
      <c r="CE26" s="162"/>
      <c r="CF26" s="162"/>
      <c r="CG26" s="162"/>
      <c r="CH26" s="162"/>
      <c r="CI26" s="163"/>
      <c r="CJ26" s="164"/>
      <c r="CK26" s="163"/>
      <c r="CL26" s="72"/>
      <c r="CM26" s="72"/>
      <c r="CN26" s="130"/>
      <c r="CO26" s="72"/>
      <c r="CP26" s="72"/>
      <c r="CQ26" s="43"/>
      <c r="CR26" s="43"/>
      <c r="CS26" s="43"/>
      <c r="CT26" s="43"/>
      <c r="CU26" s="43"/>
      <c r="CV26" s="43"/>
      <c r="CW26" s="43"/>
      <c r="CX26" s="43"/>
      <c r="CY26" s="43"/>
      <c r="CZ26" s="72"/>
      <c r="DA26" s="121"/>
      <c r="DB26" s="122"/>
      <c r="DC26" s="121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3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  <c r="KH26" s="43"/>
      <c r="KI26" s="43"/>
      <c r="KJ26" s="43"/>
      <c r="KK26" s="43"/>
      <c r="KL26" s="43"/>
      <c r="KM26" s="43"/>
      <c r="KN26" s="43"/>
      <c r="KO26" s="43"/>
      <c r="KP26" s="43"/>
      <c r="KQ26" s="43"/>
      <c r="KR26" s="43"/>
      <c r="KS26" s="43"/>
      <c r="KT26" s="43"/>
      <c r="KU26" s="43"/>
      <c r="KV26" s="43"/>
      <c r="KW26" s="43"/>
      <c r="KX26" s="43"/>
      <c r="KY26" s="43"/>
    </row>
    <row r="27" spans="1:311" s="7" customFormat="1">
      <c r="A27" s="71" t="s">
        <v>55</v>
      </c>
      <c r="B27" s="7" t="s">
        <v>69</v>
      </c>
      <c r="C27" s="21" t="s">
        <v>37</v>
      </c>
      <c r="D27" s="21">
        <v>27</v>
      </c>
      <c r="E27" s="7">
        <v>40</v>
      </c>
      <c r="F27" s="56">
        <f>-0.00000000000511533*1000000000000</f>
        <v>-5.1153300000000002</v>
      </c>
      <c r="G27" s="56">
        <f xml:space="preserve"> 0.00000000000700863*1000000000000</f>
        <v>7.0086300000000001</v>
      </c>
      <c r="H27" s="56">
        <f xml:space="preserve"> 0.000000000000831771*1000000000000</f>
        <v>0.83177099999999993</v>
      </c>
      <c r="I27" s="7">
        <v>71</v>
      </c>
      <c r="J27" s="45">
        <f t="shared" si="10"/>
        <v>1.3701227486789709</v>
      </c>
      <c r="K27" s="56">
        <f>30/I27</f>
        <v>0.42253521126760563</v>
      </c>
      <c r="L27" s="7">
        <f t="shared" si="7"/>
        <v>0.46</v>
      </c>
      <c r="M27" s="21" t="s">
        <v>24</v>
      </c>
      <c r="N27" s="7">
        <v>-2.61</v>
      </c>
      <c r="O27" s="7">
        <v>-3.39</v>
      </c>
      <c r="P27" s="7">
        <v>1.27</v>
      </c>
      <c r="Q27" s="7">
        <v>1.51</v>
      </c>
      <c r="R27" s="7">
        <v>1.62</v>
      </c>
      <c r="S27" s="7">
        <v>0.25</v>
      </c>
      <c r="T27" s="7">
        <v>1.1299999999999999</v>
      </c>
      <c r="U27" s="7">
        <v>1.45</v>
      </c>
      <c r="V27" s="7">
        <v>1.97</v>
      </c>
      <c r="W27" s="7">
        <v>29</v>
      </c>
      <c r="X27" s="7">
        <v>0.25</v>
      </c>
      <c r="Y27" s="7">
        <v>0.27</v>
      </c>
      <c r="Z27" s="7">
        <v>0.28999999999999998</v>
      </c>
      <c r="AA27" s="7">
        <v>0.19</v>
      </c>
      <c r="AB27" s="7">
        <v>-7</v>
      </c>
      <c r="AN27" s="45">
        <f t="shared" si="8"/>
        <v>0.40857142857142853</v>
      </c>
      <c r="AO27" s="7">
        <v>-2.86</v>
      </c>
      <c r="AP27" s="7">
        <v>-4.2699999999999996</v>
      </c>
      <c r="AQ27" s="7">
        <v>1.49</v>
      </c>
      <c r="AR27" s="7">
        <v>0.38</v>
      </c>
      <c r="AS27" s="7">
        <v>0.13</v>
      </c>
      <c r="AT27" s="7">
        <v>0.18</v>
      </c>
      <c r="AU27" s="7">
        <v>0.31</v>
      </c>
      <c r="AV27" s="45">
        <f t="shared" si="9"/>
        <v>1.33</v>
      </c>
      <c r="AW27" s="7">
        <v>-9.31</v>
      </c>
      <c r="AX27" s="7">
        <v>-4.2</v>
      </c>
      <c r="AY27" s="7">
        <v>0.45</v>
      </c>
      <c r="AZ27" s="7">
        <v>0.41</v>
      </c>
      <c r="BA27" s="7">
        <v>0.35</v>
      </c>
      <c r="BB27" s="7">
        <v>0.22</v>
      </c>
      <c r="BC27" s="7">
        <v>0.03</v>
      </c>
      <c r="BL27" s="7">
        <v>-6.02</v>
      </c>
      <c r="BM27" s="71">
        <v>-10.61</v>
      </c>
      <c r="BN27" s="71">
        <v>1.2</v>
      </c>
      <c r="BO27" s="71">
        <v>0.52300000000000002</v>
      </c>
      <c r="BP27" s="71"/>
      <c r="BQ27" s="71">
        <v>0.39400000000000002</v>
      </c>
      <c r="BR27" s="71">
        <v>0.65100000000000002</v>
      </c>
      <c r="BS27" s="71" t="s">
        <v>115</v>
      </c>
      <c r="BT27" s="45">
        <v>0.27200000000000002</v>
      </c>
      <c r="BU27" s="45"/>
      <c r="BV27" s="45">
        <v>-4.0099999999999997E-2</v>
      </c>
      <c r="BW27" s="56">
        <v>1.9099999999999999E-2</v>
      </c>
      <c r="BX27" s="45">
        <f>9/43</f>
        <v>0.20930232558139536</v>
      </c>
      <c r="BY27" s="71"/>
      <c r="BZ27" s="165"/>
      <c r="CA27" s="165"/>
      <c r="CB27" s="165"/>
      <c r="CC27" s="165"/>
      <c r="CD27" s="165"/>
      <c r="CE27" s="165"/>
      <c r="CF27" s="166"/>
      <c r="CG27" s="167"/>
      <c r="CH27" s="168"/>
      <c r="CI27" s="167"/>
      <c r="CJ27" s="168"/>
      <c r="CK27" s="167"/>
      <c r="CL27" s="131"/>
      <c r="CM27" s="131"/>
      <c r="CN27" s="132"/>
      <c r="CO27" s="131"/>
      <c r="CP27" s="131"/>
      <c r="CQ27" s="131"/>
      <c r="CR27" s="43"/>
      <c r="CS27" s="43"/>
      <c r="CT27" s="43"/>
      <c r="CU27" s="43"/>
      <c r="CV27" s="43"/>
      <c r="CW27" s="43"/>
      <c r="CX27" s="43"/>
      <c r="CY27" s="43"/>
      <c r="CZ27" s="43"/>
      <c r="DA27" s="121"/>
      <c r="DB27" s="122"/>
      <c r="DC27" s="121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</row>
    <row r="28" spans="1:311" s="185" customFormat="1">
      <c r="A28" s="185" t="s">
        <v>56</v>
      </c>
      <c r="B28" s="185" t="s">
        <v>69</v>
      </c>
      <c r="D28" s="185">
        <v>13</v>
      </c>
      <c r="E28" s="185">
        <v>239</v>
      </c>
      <c r="F28" s="186">
        <f>-0.00000000000603227*1000000000000</f>
        <v>-6.0322700000000005</v>
      </c>
      <c r="G28" s="186">
        <f xml:space="preserve"> 0.00000000000433758*1000000000000</f>
        <v>4.33758</v>
      </c>
      <c r="H28" s="186">
        <f xml:space="preserve"> 0.000000000000703649*1000000000000</f>
        <v>0.70364899999999997</v>
      </c>
      <c r="I28" s="185">
        <v>38</v>
      </c>
      <c r="J28" s="186">
        <f t="shared" si="10"/>
        <v>0.71906264142685916</v>
      </c>
      <c r="K28" s="186">
        <f>5/I28</f>
        <v>0.13157894736842105</v>
      </c>
      <c r="L28" s="9">
        <f t="shared" si="7"/>
        <v>0.12</v>
      </c>
      <c r="M28" s="32" t="s">
        <v>24</v>
      </c>
      <c r="N28" s="185">
        <v>-5.13</v>
      </c>
      <c r="O28" s="185">
        <v>-5.0999999999999996</v>
      </c>
      <c r="P28" s="185">
        <v>0.99</v>
      </c>
      <c r="Q28" s="185">
        <v>1.82</v>
      </c>
      <c r="R28" s="185">
        <v>1.93</v>
      </c>
      <c r="S28" s="185">
        <v>0.17</v>
      </c>
      <c r="T28" s="185">
        <v>0.26</v>
      </c>
      <c r="U28" s="185">
        <v>10.84</v>
      </c>
      <c r="V28" s="185">
        <v>7.25</v>
      </c>
      <c r="W28" s="185">
        <v>13</v>
      </c>
      <c r="X28" s="185">
        <v>0.75</v>
      </c>
      <c r="Y28" s="185">
        <v>0.09</v>
      </c>
      <c r="Z28" s="185">
        <v>0.13</v>
      </c>
      <c r="AA28" s="185">
        <v>0.03</v>
      </c>
      <c r="AB28" s="185">
        <v>-6</v>
      </c>
      <c r="AC28" s="48"/>
      <c r="AD28" s="48"/>
      <c r="AE28" s="48"/>
      <c r="AF28" s="186">
        <f>AG28/AB28</f>
        <v>0.81666666666666676</v>
      </c>
      <c r="AG28" s="185">
        <v>-4.9000000000000004</v>
      </c>
      <c r="AH28" s="185">
        <v>-0.48</v>
      </c>
      <c r="AI28" s="185">
        <v>0.1</v>
      </c>
      <c r="AJ28" s="185">
        <v>0.27</v>
      </c>
      <c r="AK28" s="185">
        <v>0.39</v>
      </c>
      <c r="AL28" s="185">
        <v>0.27</v>
      </c>
      <c r="AM28" s="185">
        <v>0.06</v>
      </c>
      <c r="AN28" s="186">
        <f t="shared" si="8"/>
        <v>0.85</v>
      </c>
      <c r="AO28" s="185">
        <v>-5.0999999999999996</v>
      </c>
      <c r="AP28" s="185">
        <v>-9.89</v>
      </c>
      <c r="AQ28" s="185">
        <v>1.94</v>
      </c>
      <c r="AR28" s="185">
        <v>0.5</v>
      </c>
      <c r="AS28" s="185">
        <v>0.11</v>
      </c>
      <c r="AT28" s="185">
        <v>0.17</v>
      </c>
      <c r="AU28" s="185">
        <v>0.22</v>
      </c>
      <c r="AV28" s="186">
        <f t="shared" si="9"/>
        <v>1.6316666666666666</v>
      </c>
      <c r="AW28" s="185">
        <v>-9.7899999999999991</v>
      </c>
      <c r="AX28" s="185">
        <v>-9.82</v>
      </c>
      <c r="AY28" s="185">
        <v>1</v>
      </c>
      <c r="AZ28" s="185">
        <v>1</v>
      </c>
      <c r="BA28" s="185">
        <v>0</v>
      </c>
      <c r="BB28" s="185">
        <v>0</v>
      </c>
      <c r="BC28" s="185">
        <v>0</v>
      </c>
      <c r="BL28" s="185">
        <v>-6.93</v>
      </c>
      <c r="BT28" s="186"/>
      <c r="BU28" s="186"/>
      <c r="BV28" s="186"/>
      <c r="BW28" s="186"/>
      <c r="BX28" s="186"/>
      <c r="BZ28" s="187"/>
      <c r="CA28" s="187"/>
      <c r="CB28" s="188"/>
      <c r="CC28" s="187"/>
      <c r="CD28" s="188"/>
      <c r="CE28" s="187"/>
      <c r="CF28" s="187"/>
      <c r="CG28" s="187"/>
      <c r="CH28" s="187"/>
      <c r="CI28" s="187"/>
      <c r="CJ28" s="187"/>
      <c r="CK28" s="189"/>
      <c r="CP28" s="190"/>
      <c r="CQ28" s="187"/>
      <c r="CR28" s="187"/>
      <c r="CS28" s="187"/>
      <c r="CT28" s="187"/>
      <c r="CU28" s="187"/>
      <c r="CV28" s="187"/>
    </row>
    <row r="29" spans="1:311">
      <c r="A29" s="23" t="s">
        <v>38</v>
      </c>
      <c r="AC29" s="26"/>
      <c r="AD29" s="26"/>
      <c r="AE29" s="26"/>
      <c r="BD29" s="26"/>
      <c r="BE29" s="26"/>
      <c r="BF29" s="26"/>
      <c r="BG29" s="26"/>
      <c r="BH29" s="26"/>
      <c r="BI29" s="26"/>
      <c r="BJ29" s="26"/>
      <c r="BK29" s="26"/>
      <c r="BL29" s="1">
        <f>-AVERAGE(BL22:BL28)</f>
        <v>9.2833333333333332</v>
      </c>
      <c r="BM29" s="1">
        <f>-AVERAGE(BM22:BM27)</f>
        <v>8.6840000000000011</v>
      </c>
      <c r="BN29" s="1">
        <f>AVERAGE(BN22:BN27)</f>
        <v>10.392000000000001</v>
      </c>
      <c r="BO29" s="1">
        <f>AVERAGE(BO22:BO27)</f>
        <v>0.63100000000000001</v>
      </c>
      <c r="BZ29" s="23"/>
      <c r="CA29" s="23"/>
      <c r="CB29" s="23"/>
      <c r="CC29" s="23"/>
      <c r="CD29" s="23"/>
      <c r="CE29" s="23"/>
      <c r="CF29" s="23"/>
      <c r="CG29" s="23"/>
      <c r="CH29" s="158"/>
      <c r="CI29" s="156"/>
      <c r="CJ29" s="161"/>
      <c r="CK29" s="163"/>
      <c r="CL29" s="72"/>
      <c r="CM29" s="72"/>
      <c r="CN29" s="130"/>
      <c r="CO29" s="72"/>
      <c r="CP29" s="72"/>
      <c r="CQ29" s="43"/>
      <c r="CR29" s="133"/>
      <c r="CS29" s="133"/>
      <c r="CT29" s="133"/>
      <c r="CU29" s="133"/>
      <c r="CV29" s="133"/>
      <c r="CW29" s="133"/>
      <c r="CX29" s="133"/>
      <c r="CY29" s="134"/>
      <c r="CZ29" s="135"/>
      <c r="DA29" s="134"/>
      <c r="DB29" s="135"/>
      <c r="DC29" s="134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</row>
    <row r="30" spans="1:311">
      <c r="A30" s="23" t="s">
        <v>40</v>
      </c>
      <c r="AC30" s="26"/>
      <c r="AD30" s="26"/>
      <c r="AE30" s="26"/>
      <c r="BD30" s="26"/>
      <c r="BE30" s="26"/>
      <c r="BF30" s="26"/>
      <c r="BG30" s="26"/>
      <c r="BH30" s="26"/>
      <c r="BI30" s="26"/>
      <c r="BJ30" s="26"/>
      <c r="BK30" s="26"/>
      <c r="BL30" s="31">
        <f>STDEV(BL22:BL28)/SQRT(BL34)</f>
        <v>1.2017034206122217</v>
      </c>
      <c r="BM30" s="31">
        <f>STDEV(BM22:BM27)/SQRT(BM34)</f>
        <v>1.1663215680077244</v>
      </c>
      <c r="BN30" s="31">
        <f>STDEV(BN22:BN27)/SQRT(BN34)</f>
        <v>3.8819240074993733</v>
      </c>
      <c r="BO30" s="31">
        <f t="shared" ref="BO30" si="11">STDEV(BO22:BO27)/SQRT(BO34)</f>
        <v>3.8245261144355808E-2</v>
      </c>
      <c r="BZ30" s="169"/>
      <c r="CA30" s="170"/>
      <c r="CB30" s="169"/>
      <c r="CC30" s="171"/>
      <c r="CD30" s="171"/>
      <c r="CE30" s="171"/>
      <c r="CF30" s="170"/>
      <c r="CG30" s="169"/>
      <c r="CH30" s="170"/>
      <c r="CI30" s="172"/>
      <c r="CJ30" s="173"/>
      <c r="CK30" s="173"/>
      <c r="CL30" s="72"/>
      <c r="CM30" s="72"/>
      <c r="CN30" s="130"/>
      <c r="CO30" s="72"/>
      <c r="CP30" s="72"/>
      <c r="CQ30" s="43"/>
      <c r="CR30" s="43"/>
      <c r="CS30" s="43"/>
      <c r="CT30" s="43"/>
      <c r="CU30" s="43"/>
      <c r="CV30" s="43"/>
      <c r="CW30" s="43"/>
      <c r="CX30" s="43"/>
      <c r="CY30" s="43"/>
      <c r="CZ30" s="72"/>
      <c r="DA30" s="121"/>
      <c r="DB30" s="122"/>
      <c r="DC30" s="121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</row>
    <row r="31" spans="1:311">
      <c r="A31" s="8" t="s">
        <v>28</v>
      </c>
      <c r="AC31" s="26"/>
      <c r="AD31" s="26"/>
      <c r="AE31" s="26"/>
      <c r="BD31" s="26"/>
      <c r="BE31" s="26"/>
      <c r="BF31" s="26"/>
      <c r="BG31" s="26"/>
      <c r="BH31" s="26"/>
      <c r="BI31" s="26"/>
      <c r="BJ31" s="26"/>
      <c r="BK31" s="26"/>
      <c r="BL31" s="25">
        <f>-MEDIAN(BL22:BL28)</f>
        <v>8.875</v>
      </c>
      <c r="BM31" s="25">
        <f>-MEDIAN(BM22:BM27)</f>
        <v>9.24</v>
      </c>
      <c r="BN31" s="25">
        <f>MEDIAN(BN22:BN27)</f>
        <v>8.4600000000000009</v>
      </c>
      <c r="BO31" s="25">
        <f>MEDIAN(BO22:BO27)</f>
        <v>0.66200000000000003</v>
      </c>
      <c r="BZ31" s="143"/>
      <c r="CA31" s="157"/>
      <c r="CB31" s="157"/>
      <c r="CC31" s="174"/>
      <c r="CD31" s="174"/>
      <c r="CE31" s="174"/>
      <c r="CF31" s="157"/>
      <c r="CG31" s="143"/>
      <c r="CH31" s="157"/>
      <c r="CI31" s="175"/>
      <c r="CJ31" s="176"/>
      <c r="CK31" s="176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6"/>
      <c r="DB31" s="137"/>
      <c r="DC31" s="138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</row>
    <row r="32" spans="1:311">
      <c r="A32" s="26" t="s">
        <v>29</v>
      </c>
      <c r="AC32" s="26"/>
      <c r="AD32" s="26"/>
      <c r="AE32" s="26"/>
      <c r="BD32" s="26"/>
      <c r="BE32" s="26"/>
      <c r="BF32" s="26"/>
      <c r="BG32" s="26"/>
      <c r="BH32" s="26"/>
      <c r="BI32" s="26"/>
      <c r="BJ32" s="26"/>
      <c r="BK32" s="26"/>
      <c r="BL32" s="1">
        <f>-QUARTILE((BL22:BL28),3)</f>
        <v>7.18</v>
      </c>
      <c r="BM32" s="1">
        <f>-_xlfn.QUARTILE.EXC((BM22:BM27),3)</f>
        <v>6.5449999999999999</v>
      </c>
      <c r="BN32" s="1">
        <f>_xlfn.QUARTILE.EXC((BN22:BN27),3)</f>
        <v>19.435000000000002</v>
      </c>
      <c r="BO32" s="1">
        <f>_xlfn.QUARTILE.EXC((BO22:BO27),3)</f>
        <v>0.70599999999999996</v>
      </c>
      <c r="BZ32" s="143"/>
      <c r="CA32" s="157"/>
      <c r="CB32" s="157"/>
      <c r="CC32" s="174"/>
      <c r="CD32" s="174"/>
      <c r="CE32" s="174"/>
      <c r="CF32" s="157"/>
      <c r="CG32" s="143"/>
      <c r="CH32" s="157"/>
      <c r="CI32" s="175"/>
      <c r="CJ32" s="176"/>
      <c r="CK32" s="176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121"/>
      <c r="DB32" s="122"/>
      <c r="DC32" s="122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</row>
    <row r="33" spans="1:311">
      <c r="A33" s="26" t="s">
        <v>30</v>
      </c>
      <c r="AC33" s="26"/>
      <c r="AD33" s="26"/>
      <c r="AE33" s="26"/>
      <c r="BD33" s="26"/>
      <c r="BE33" s="26"/>
      <c r="BF33" s="26"/>
      <c r="BG33" s="26"/>
      <c r="BH33" s="26"/>
      <c r="BI33" s="26"/>
      <c r="BJ33" s="26"/>
      <c r="BK33" s="26"/>
      <c r="BL33" s="1">
        <f>-QUARTILE((BL22:BL28),1)</f>
        <v>10.727499999999999</v>
      </c>
      <c r="BM33" s="1">
        <f>-_xlfn.QUARTILE.EXC((BM22:BM27),1)</f>
        <v>10.545</v>
      </c>
      <c r="BN33" s="1">
        <f>_xlfn.QUARTILE.EXC((BN22:BN27),1)</f>
        <v>2.3150000000000004</v>
      </c>
      <c r="BO33" s="1">
        <f>_xlfn.QUARTILE.EXC((BO22:BO27),1)</f>
        <v>0.54049999999999998</v>
      </c>
      <c r="BZ33" s="146"/>
      <c r="CA33" s="157"/>
      <c r="CB33" s="155"/>
      <c r="CC33" s="174"/>
      <c r="CD33" s="174"/>
      <c r="CE33" s="174"/>
      <c r="CF33" s="157"/>
      <c r="CG33" s="146"/>
      <c r="CH33" s="157"/>
      <c r="CI33" s="175"/>
      <c r="CJ33" s="176"/>
      <c r="CK33" s="176"/>
      <c r="CL33" s="139"/>
      <c r="CM33" s="139"/>
      <c r="CN33" s="140"/>
      <c r="CO33" s="139"/>
      <c r="CP33" s="139"/>
      <c r="CQ33" s="139"/>
      <c r="CR33" s="140"/>
      <c r="CS33" s="139"/>
      <c r="CT33" s="140"/>
      <c r="CU33" s="140"/>
      <c r="CV33" s="140"/>
      <c r="CW33" s="140"/>
      <c r="CX33" s="139"/>
      <c r="CY33" s="140"/>
      <c r="CZ33" s="139"/>
      <c r="DA33" s="141"/>
      <c r="DB33" s="142"/>
      <c r="DC33" s="142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</row>
    <row r="34" spans="1:311">
      <c r="A34" s="26" t="s">
        <v>5</v>
      </c>
      <c r="AC34" s="26"/>
      <c r="AD34" s="26"/>
      <c r="AE34" s="26"/>
      <c r="BD34" s="26"/>
      <c r="BE34" s="26"/>
      <c r="BF34" s="26"/>
      <c r="BG34" s="26"/>
      <c r="BH34" s="26"/>
      <c r="BI34" s="26"/>
      <c r="BJ34" s="26"/>
      <c r="BK34" s="26"/>
      <c r="BL34" s="28">
        <f>COUNT((BL22:BL28))</f>
        <v>6</v>
      </c>
      <c r="BM34" s="28">
        <f>COUNT((BM22:BM27))</f>
        <v>5</v>
      </c>
      <c r="BN34" s="28">
        <f>COUNT((BN22:BN27))</f>
        <v>5</v>
      </c>
      <c r="BO34" s="28">
        <f t="shared" ref="BO34" si="12">COUNT((BO22:BO27))</f>
        <v>5</v>
      </c>
      <c r="BZ34" s="169"/>
      <c r="CA34" s="174"/>
      <c r="CB34" s="157"/>
      <c r="CC34" s="157"/>
      <c r="CD34" s="157"/>
      <c r="CE34" s="157"/>
      <c r="CF34" s="157"/>
      <c r="CG34" s="169"/>
      <c r="CH34" s="157"/>
      <c r="CI34" s="177"/>
      <c r="CJ34" s="157"/>
      <c r="CK34" s="157"/>
      <c r="CL34" s="72"/>
      <c r="CM34" s="72"/>
      <c r="CN34" s="130"/>
      <c r="CO34" s="72"/>
      <c r="CP34" s="72"/>
      <c r="CQ34" s="72"/>
      <c r="CR34" s="143"/>
      <c r="CS34" s="72"/>
      <c r="CT34" s="72"/>
      <c r="CU34" s="130"/>
      <c r="CV34" s="130"/>
      <c r="CW34" s="130"/>
      <c r="CX34" s="72"/>
      <c r="CY34" s="143"/>
      <c r="CZ34" s="72"/>
      <c r="DA34" s="128"/>
      <c r="DB34" s="127"/>
      <c r="DC34" s="127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</row>
    <row r="35" spans="1:311" s="27" customFormat="1" ht="14.25" customHeight="1">
      <c r="D35" s="27" t="s">
        <v>41</v>
      </c>
      <c r="E35" s="1" t="s">
        <v>126</v>
      </c>
      <c r="F35" s="1"/>
      <c r="G35" s="1"/>
      <c r="H35" s="1"/>
      <c r="K35" s="1"/>
      <c r="M35" s="59" t="s">
        <v>1</v>
      </c>
      <c r="N35" s="27" t="s">
        <v>2</v>
      </c>
      <c r="Q35" s="59" t="s">
        <v>121</v>
      </c>
      <c r="T35" s="2"/>
      <c r="V35" s="3"/>
      <c r="W35" s="99"/>
      <c r="AF35" s="59" t="s">
        <v>118</v>
      </c>
      <c r="AN35" s="59" t="s">
        <v>91</v>
      </c>
      <c r="AV35" s="59" t="s">
        <v>92</v>
      </c>
      <c r="BD35" s="59" t="s">
        <v>127</v>
      </c>
      <c r="BM35" s="8" t="s">
        <v>37</v>
      </c>
      <c r="BT35" s="27" t="s">
        <v>117</v>
      </c>
      <c r="BX35" s="27" t="s">
        <v>120</v>
      </c>
      <c r="BY35" s="4"/>
      <c r="BZ35" s="143"/>
      <c r="CA35" s="174"/>
      <c r="CB35" s="157"/>
      <c r="CC35" s="157"/>
      <c r="CD35" s="157"/>
      <c r="CE35" s="157"/>
      <c r="CF35" s="157"/>
      <c r="CG35" s="143"/>
      <c r="CH35" s="157"/>
      <c r="CI35" s="177"/>
      <c r="CJ35" s="157"/>
      <c r="CK35" s="157"/>
      <c r="CL35" s="130"/>
      <c r="CM35" s="72"/>
      <c r="CN35" s="146"/>
      <c r="CO35" s="72"/>
      <c r="CP35" s="128"/>
      <c r="CQ35" s="127"/>
      <c r="CR35" s="127"/>
      <c r="CS35" s="122"/>
      <c r="CT35" s="147"/>
      <c r="CU35" s="122"/>
      <c r="CV35" s="147"/>
      <c r="CW35" s="148"/>
      <c r="CX35" s="148"/>
      <c r="CY35" s="43"/>
      <c r="CZ35" s="43"/>
      <c r="DA35" s="43"/>
      <c r="DB35" s="43"/>
      <c r="DC35" s="145"/>
      <c r="DD35" s="43"/>
      <c r="DE35" s="43"/>
      <c r="DF35" s="43"/>
      <c r="DG35" s="43"/>
      <c r="DH35" s="43"/>
      <c r="DI35" s="43"/>
      <c r="DJ35" s="43"/>
      <c r="DK35" s="144"/>
      <c r="DL35" s="125"/>
      <c r="DM35" s="43"/>
      <c r="DN35" s="43"/>
      <c r="DO35" s="43"/>
      <c r="DP35" s="43"/>
      <c r="DQ35" s="43"/>
      <c r="DR35" s="126"/>
      <c r="DS35" s="148"/>
      <c r="DT35" s="43"/>
      <c r="DU35" s="43"/>
      <c r="DV35" s="43"/>
      <c r="DW35" s="148"/>
      <c r="DX35" s="43"/>
      <c r="DY35" s="43"/>
      <c r="DZ35" s="43"/>
      <c r="EA35" s="43"/>
      <c r="EB35" s="43"/>
      <c r="EC35" s="43"/>
      <c r="ED35" s="43"/>
      <c r="EE35" s="43"/>
      <c r="EF35" s="148"/>
      <c r="EG35" s="43"/>
      <c r="EH35" s="43"/>
      <c r="EI35" s="43"/>
      <c r="EJ35" s="148"/>
      <c r="EK35" s="43"/>
      <c r="EL35" s="43"/>
      <c r="EM35" s="43"/>
      <c r="EN35" s="148"/>
      <c r="EO35" s="43"/>
      <c r="EP35" s="148"/>
      <c r="EQ35" s="43"/>
      <c r="ER35" s="43"/>
      <c r="ES35" s="43"/>
      <c r="ET35" s="148"/>
      <c r="EU35" s="43"/>
      <c r="EV35" s="43"/>
      <c r="EW35" s="43"/>
      <c r="EX35" s="148"/>
      <c r="EY35" s="43"/>
      <c r="EZ35" s="148"/>
      <c r="FA35" s="43"/>
      <c r="FB35" s="43"/>
      <c r="FC35" s="43"/>
      <c r="FD35" s="148"/>
      <c r="FE35" s="43"/>
      <c r="FF35" s="43"/>
      <c r="FG35" s="43"/>
      <c r="FH35" s="148"/>
      <c r="FI35" s="43"/>
      <c r="FJ35" s="148"/>
      <c r="FK35" s="43"/>
      <c r="FL35" s="43"/>
      <c r="FM35" s="43"/>
      <c r="FN35" s="148"/>
      <c r="FO35" s="43"/>
      <c r="FP35" s="43"/>
      <c r="FQ35" s="43"/>
      <c r="FR35" s="148"/>
      <c r="FS35" s="43"/>
      <c r="FT35" s="148"/>
      <c r="FU35" s="43"/>
      <c r="FV35" s="43"/>
      <c r="FW35" s="43"/>
      <c r="FX35" s="148"/>
      <c r="FY35" s="43"/>
      <c r="FZ35" s="43"/>
      <c r="GA35" s="43"/>
      <c r="GB35" s="148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</row>
    <row r="36" spans="1:311" s="9" customFormat="1">
      <c r="A36" s="51" t="s">
        <v>62</v>
      </c>
      <c r="B36" s="11" t="s">
        <v>63</v>
      </c>
      <c r="C36" s="9" t="s">
        <v>64</v>
      </c>
      <c r="D36" s="9" t="s">
        <v>26</v>
      </c>
      <c r="E36" s="9" t="s">
        <v>67</v>
      </c>
      <c r="F36" s="10" t="s">
        <v>48</v>
      </c>
      <c r="G36" s="10" t="s">
        <v>3</v>
      </c>
      <c r="H36" s="10" t="s">
        <v>4</v>
      </c>
      <c r="I36" s="9" t="s">
        <v>5</v>
      </c>
      <c r="J36" s="9" t="s">
        <v>6</v>
      </c>
      <c r="K36" s="10" t="s">
        <v>7</v>
      </c>
      <c r="L36" s="10" t="s">
        <v>95</v>
      </c>
      <c r="M36" s="10"/>
      <c r="N36" s="11" t="s">
        <v>8</v>
      </c>
      <c r="O36" s="9" t="s">
        <v>11</v>
      </c>
      <c r="P36" s="9" t="s">
        <v>10</v>
      </c>
      <c r="Q36" s="11" t="s">
        <v>8</v>
      </c>
      <c r="R36" s="9" t="s">
        <v>11</v>
      </c>
      <c r="S36" s="9" t="s">
        <v>10</v>
      </c>
      <c r="T36" s="11" t="s">
        <v>96</v>
      </c>
      <c r="U36" s="9" t="s">
        <v>97</v>
      </c>
      <c r="V36" s="94" t="s">
        <v>98</v>
      </c>
      <c r="W36" s="94" t="s">
        <v>99</v>
      </c>
      <c r="X36" s="9" t="s">
        <v>100</v>
      </c>
      <c r="Y36" s="9" t="s">
        <v>101</v>
      </c>
      <c r="Z36" s="9" t="s">
        <v>12</v>
      </c>
      <c r="AA36" s="9" t="s">
        <v>13</v>
      </c>
      <c r="AB36" s="9" t="s">
        <v>14</v>
      </c>
      <c r="AC36" s="9" t="s">
        <v>15</v>
      </c>
      <c r="AD36" s="9" t="s">
        <v>16</v>
      </c>
      <c r="AE36" s="9" t="s">
        <v>119</v>
      </c>
      <c r="AF36" s="9" t="s">
        <v>102</v>
      </c>
      <c r="AG36" s="11" t="s">
        <v>8</v>
      </c>
      <c r="AH36" s="9" t="s">
        <v>11</v>
      </c>
      <c r="AI36" s="9" t="s">
        <v>10</v>
      </c>
      <c r="AJ36" s="9" t="s">
        <v>13</v>
      </c>
      <c r="AK36" s="9" t="s">
        <v>14</v>
      </c>
      <c r="AL36" s="9" t="s">
        <v>15</v>
      </c>
      <c r="AM36" s="9" t="s">
        <v>16</v>
      </c>
      <c r="AN36" s="9" t="s">
        <v>102</v>
      </c>
      <c r="AO36" s="11" t="s">
        <v>8</v>
      </c>
      <c r="AP36" s="9" t="s">
        <v>11</v>
      </c>
      <c r="AQ36" s="9" t="s">
        <v>10</v>
      </c>
      <c r="AR36" s="9" t="s">
        <v>13</v>
      </c>
      <c r="AS36" s="9" t="s">
        <v>14</v>
      </c>
      <c r="AT36" s="9" t="s">
        <v>15</v>
      </c>
      <c r="AU36" s="9" t="s">
        <v>16</v>
      </c>
      <c r="AV36" s="9" t="s">
        <v>102</v>
      </c>
      <c r="AW36" s="11" t="s">
        <v>8</v>
      </c>
      <c r="AX36" s="9" t="s">
        <v>11</v>
      </c>
      <c r="AY36" s="9" t="s">
        <v>10</v>
      </c>
      <c r="AZ36" s="9" t="s">
        <v>13</v>
      </c>
      <c r="BA36" s="9" t="s">
        <v>14</v>
      </c>
      <c r="BB36" s="9" t="s">
        <v>15</v>
      </c>
      <c r="BC36" s="9" t="s">
        <v>16</v>
      </c>
      <c r="BD36" s="9" t="s">
        <v>102</v>
      </c>
      <c r="BE36" s="11" t="s">
        <v>8</v>
      </c>
      <c r="BF36" s="9" t="s">
        <v>11</v>
      </c>
      <c r="BG36" s="9" t="s">
        <v>10</v>
      </c>
      <c r="BH36" s="9" t="s">
        <v>13</v>
      </c>
      <c r="BI36" s="9" t="s">
        <v>14</v>
      </c>
      <c r="BJ36" s="9" t="s">
        <v>15</v>
      </c>
      <c r="BK36" s="9" t="s">
        <v>16</v>
      </c>
      <c r="BM36" s="9" t="s">
        <v>104</v>
      </c>
      <c r="BN36" s="9" t="s">
        <v>88</v>
      </c>
      <c r="BO36" s="9" t="s">
        <v>105</v>
      </c>
      <c r="BP36" s="9" t="s">
        <v>107</v>
      </c>
      <c r="BQ36" s="9" t="s">
        <v>108</v>
      </c>
      <c r="BR36" s="9" t="s">
        <v>122</v>
      </c>
      <c r="BT36" s="9" t="s">
        <v>109</v>
      </c>
      <c r="BU36" s="9" t="s">
        <v>123</v>
      </c>
      <c r="BV36" s="9" t="s">
        <v>111</v>
      </c>
      <c r="BW36" s="9" t="s">
        <v>112</v>
      </c>
      <c r="BX36" s="12" t="s">
        <v>113</v>
      </c>
      <c r="BY36" s="13"/>
      <c r="BZ36" s="213"/>
      <c r="CA36" s="151"/>
      <c r="CB36" s="151"/>
      <c r="CC36" s="151"/>
      <c r="CD36" s="151"/>
      <c r="CE36" s="151"/>
      <c r="CF36" s="151"/>
      <c r="CG36" s="213"/>
      <c r="CH36" s="151"/>
      <c r="CI36" s="214"/>
      <c r="CJ36" s="151"/>
      <c r="CK36" s="151"/>
      <c r="CL36" s="210"/>
      <c r="CM36" s="210"/>
      <c r="CN36" s="215"/>
      <c r="CO36" s="210"/>
      <c r="CP36" s="216"/>
      <c r="CQ36" s="210"/>
      <c r="CR36" s="210"/>
      <c r="CS36" s="153"/>
      <c r="CT36" s="153"/>
      <c r="CU36" s="153"/>
      <c r="CV36" s="153"/>
      <c r="CW36" s="51"/>
      <c r="CX36" s="51"/>
      <c r="CY36" s="51"/>
      <c r="CZ36" s="51"/>
      <c r="DA36" s="51"/>
      <c r="DB36" s="51"/>
      <c r="DC36" s="211"/>
      <c r="DD36" s="51"/>
      <c r="DE36" s="51"/>
      <c r="DF36" s="51"/>
      <c r="DG36" s="51"/>
      <c r="DH36" s="51"/>
      <c r="DI36" s="51"/>
      <c r="DJ36" s="51"/>
      <c r="DK36" s="51"/>
      <c r="DL36" s="211"/>
      <c r="DM36" s="51"/>
      <c r="DN36" s="51"/>
      <c r="DO36" s="51"/>
      <c r="DP36" s="51"/>
      <c r="DQ36" s="51"/>
      <c r="DR36" s="212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  <c r="IW36" s="51"/>
      <c r="IX36" s="51"/>
      <c r="IY36" s="51"/>
      <c r="IZ36" s="51"/>
      <c r="JA36" s="51"/>
      <c r="JB36" s="51"/>
      <c r="JC36" s="51"/>
      <c r="JD36" s="51"/>
      <c r="JE36" s="51"/>
      <c r="JF36" s="51"/>
      <c r="JG36" s="51"/>
      <c r="JH36" s="51"/>
      <c r="JI36" s="51"/>
      <c r="JJ36" s="51"/>
      <c r="JK36" s="51"/>
      <c r="JL36" s="51"/>
      <c r="JM36" s="51"/>
      <c r="JN36" s="51"/>
      <c r="JO36" s="51"/>
      <c r="JP36" s="51"/>
      <c r="JQ36" s="51"/>
      <c r="JR36" s="51"/>
      <c r="JS36" s="51"/>
      <c r="JT36" s="51"/>
      <c r="JU36" s="51"/>
      <c r="JV36" s="51"/>
      <c r="JW36" s="51"/>
      <c r="JX36" s="51"/>
      <c r="JY36" s="51"/>
      <c r="JZ36" s="51"/>
      <c r="KA36" s="51"/>
      <c r="KB36" s="51"/>
      <c r="KC36" s="51"/>
      <c r="KD36" s="51"/>
      <c r="KE36" s="51"/>
      <c r="KF36" s="51"/>
      <c r="KG36" s="51"/>
      <c r="KH36" s="51"/>
      <c r="KI36" s="51"/>
      <c r="KJ36" s="51"/>
      <c r="KK36" s="51"/>
      <c r="KL36" s="51"/>
      <c r="KM36" s="51"/>
      <c r="KN36" s="51"/>
      <c r="KO36" s="51"/>
      <c r="KP36" s="51"/>
      <c r="KQ36" s="51"/>
      <c r="KR36" s="51"/>
      <c r="KS36" s="51"/>
      <c r="KT36" s="51"/>
      <c r="KU36" s="51"/>
      <c r="KV36" s="51"/>
      <c r="KW36" s="51"/>
      <c r="KX36" s="51"/>
      <c r="KY36" s="51"/>
    </row>
    <row r="37" spans="1:311" s="27" customFormat="1">
      <c r="A37" s="27" t="s">
        <v>57</v>
      </c>
      <c r="B37" s="27" t="s">
        <v>69</v>
      </c>
      <c r="C37" s="27" t="s">
        <v>124</v>
      </c>
      <c r="D37" s="27">
        <v>15</v>
      </c>
      <c r="E37" s="27">
        <v>195</v>
      </c>
      <c r="F37" s="1">
        <f xml:space="preserve"> -0.0000000000207046*1000000000000</f>
        <v>-20.704599999999999</v>
      </c>
      <c r="G37" s="1">
        <f xml:space="preserve"> 0.00000000000691826*1000000000000</f>
        <v>6.9182600000000001</v>
      </c>
      <c r="H37" s="1">
        <f xml:space="preserve"> 0.000000000000941455*1000000000000</f>
        <v>0.94145500000000004</v>
      </c>
      <c r="I37" s="27">
        <v>54</v>
      </c>
      <c r="J37" s="83">
        <f>G37/-F37</f>
        <v>0.33414120533601233</v>
      </c>
      <c r="K37" s="1">
        <v>0</v>
      </c>
      <c r="L37" s="27">
        <f>AB37+AD37</f>
        <v>0.02</v>
      </c>
      <c r="M37" s="26" t="s">
        <v>24</v>
      </c>
      <c r="N37" s="27">
        <v>-22.09</v>
      </c>
      <c r="O37" s="27">
        <v>-16.87</v>
      </c>
      <c r="P37" s="27">
        <v>0.76</v>
      </c>
      <c r="Q37" s="27">
        <v>-14.47</v>
      </c>
      <c r="R37" s="27">
        <v>-11.71</v>
      </c>
      <c r="S37" s="27">
        <v>0.81</v>
      </c>
      <c r="T37" s="27">
        <v>1.71</v>
      </c>
      <c r="U37" s="27">
        <v>1.63</v>
      </c>
      <c r="V37" s="27">
        <v>0.38</v>
      </c>
      <c r="W37" s="27">
        <v>0.44</v>
      </c>
      <c r="X37" s="27">
        <v>3.64</v>
      </c>
      <c r="Y37" s="27">
        <v>4.37</v>
      </c>
      <c r="Z37" s="27">
        <v>45</v>
      </c>
      <c r="AA37" s="27">
        <v>0.96</v>
      </c>
      <c r="AB37" s="27">
        <v>0.02</v>
      </c>
      <c r="AC37" s="27">
        <v>0.02</v>
      </c>
      <c r="AD37" s="27">
        <v>0</v>
      </c>
      <c r="AE37" s="27">
        <v>-15</v>
      </c>
      <c r="AF37" s="1">
        <f>AG37/AE37</f>
        <v>0.40333333333333332</v>
      </c>
      <c r="AG37" s="27">
        <v>-6.05</v>
      </c>
      <c r="AH37" s="27">
        <v>-6.06</v>
      </c>
      <c r="AI37" s="27">
        <v>1</v>
      </c>
      <c r="AJ37" s="27">
        <v>0.69</v>
      </c>
      <c r="AK37" s="27">
        <v>0.14000000000000001</v>
      </c>
      <c r="AL37" s="27">
        <v>0.12</v>
      </c>
      <c r="AM37" s="27">
        <v>0.05</v>
      </c>
      <c r="AN37" s="1">
        <f>AO37/AE37</f>
        <v>0.44933333333333336</v>
      </c>
      <c r="AO37" s="27">
        <v>-6.74</v>
      </c>
      <c r="AP37" s="27">
        <v>-6.78</v>
      </c>
      <c r="AQ37" s="27">
        <v>1.01</v>
      </c>
      <c r="AR37" s="27">
        <v>0.66</v>
      </c>
      <c r="AS37" s="27">
        <v>0.11</v>
      </c>
      <c r="AT37" s="27">
        <v>0.2</v>
      </c>
      <c r="AU37" s="27">
        <v>0.02</v>
      </c>
      <c r="AV37" s="1">
        <f>AW37/AE37</f>
        <v>1.4633333333333334</v>
      </c>
      <c r="AW37" s="27">
        <v>-21.95</v>
      </c>
      <c r="AX37" s="27">
        <v>-10.3</v>
      </c>
      <c r="AY37" s="27">
        <v>0.47</v>
      </c>
      <c r="AZ37" s="27">
        <v>1</v>
      </c>
      <c r="BA37" s="27">
        <v>0</v>
      </c>
      <c r="BB37" s="27">
        <v>0</v>
      </c>
      <c r="BC37" s="27">
        <v>0</v>
      </c>
      <c r="BD37" s="1"/>
      <c r="BM37" s="27">
        <v>-3.16</v>
      </c>
      <c r="BN37" s="27">
        <v>7.95</v>
      </c>
      <c r="BO37" s="27">
        <v>0.58799999999999997</v>
      </c>
      <c r="BP37" s="27">
        <v>0.29599999999999999</v>
      </c>
      <c r="BQ37" s="27">
        <v>0.879</v>
      </c>
      <c r="BR37" s="101">
        <v>0.28000000000000003</v>
      </c>
      <c r="BS37" s="27" t="s">
        <v>115</v>
      </c>
      <c r="BT37" s="27">
        <v>5.7700000000000001E-2</v>
      </c>
      <c r="BU37" s="27">
        <v>0.20799999999999999</v>
      </c>
      <c r="BV37" s="27">
        <v>0.11</v>
      </c>
      <c r="BW37" s="27">
        <v>-0.14099999999999999</v>
      </c>
      <c r="BX37" s="4">
        <f>10/45</f>
        <v>0.22222222222222221</v>
      </c>
      <c r="BY37" s="4"/>
      <c r="BZ37" s="157"/>
      <c r="CA37" s="157"/>
      <c r="CB37" s="157"/>
      <c r="CC37" s="157"/>
      <c r="CD37" s="157"/>
      <c r="CE37" s="157"/>
      <c r="CF37" s="157"/>
      <c r="CG37" s="157"/>
      <c r="CH37" s="157"/>
      <c r="CI37" s="177"/>
      <c r="CJ37" s="157"/>
      <c r="CK37" s="157"/>
      <c r="CL37" s="72"/>
      <c r="CM37" s="72"/>
      <c r="CN37" s="143"/>
      <c r="CO37" s="72"/>
      <c r="CP37" s="149"/>
      <c r="CQ37" s="72"/>
      <c r="CR37" s="72"/>
      <c r="CS37" s="122"/>
      <c r="CT37" s="122"/>
      <c r="CU37" s="122"/>
      <c r="CV37" s="122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</row>
    <row r="38" spans="1:311" s="27" customFormat="1">
      <c r="A38" s="27" t="s">
        <v>58</v>
      </c>
      <c r="B38" s="27" t="s">
        <v>69</v>
      </c>
      <c r="C38" s="27" t="s">
        <v>124</v>
      </c>
      <c r="D38" s="27">
        <v>17</v>
      </c>
      <c r="E38" s="27">
        <v>224</v>
      </c>
      <c r="F38" s="1">
        <f xml:space="preserve"> -0.00000000002893*1000000000000</f>
        <v>-28.93</v>
      </c>
      <c r="G38" s="1">
        <f xml:space="preserve"> 0.00000000000715904*1000000000000</f>
        <v>7.1590400000000001</v>
      </c>
      <c r="H38" s="1">
        <f xml:space="preserve"> 0.0000000000012858*1000000000000</f>
        <v>1.2858000000000001</v>
      </c>
      <c r="I38" s="27">
        <v>31</v>
      </c>
      <c r="J38" s="83">
        <f>G38/-F38</f>
        <v>0.24746076736951261</v>
      </c>
      <c r="K38" s="1">
        <v>0</v>
      </c>
      <c r="L38" s="27">
        <f>AB38+AD38</f>
        <v>0.23</v>
      </c>
      <c r="M38" s="26" t="s">
        <v>24</v>
      </c>
      <c r="N38" s="27">
        <v>-27.32</v>
      </c>
      <c r="O38" s="27">
        <v>-21.61</v>
      </c>
      <c r="P38" s="27">
        <v>0.79</v>
      </c>
      <c r="Q38" s="27">
        <v>-4.96</v>
      </c>
      <c r="R38" s="27">
        <v>-4.59</v>
      </c>
      <c r="S38" s="27">
        <v>0.93</v>
      </c>
      <c r="T38" s="27">
        <v>1.77</v>
      </c>
      <c r="U38" s="27">
        <v>1.91</v>
      </c>
      <c r="V38" s="27">
        <v>1.28</v>
      </c>
      <c r="W38" s="27">
        <v>2.12</v>
      </c>
      <c r="X38" s="27">
        <v>2.2400000000000002</v>
      </c>
      <c r="Y38" s="27">
        <v>1.99</v>
      </c>
      <c r="Z38" s="27">
        <v>28</v>
      </c>
      <c r="AA38" s="27">
        <v>0.73</v>
      </c>
      <c r="AB38" s="27">
        <v>0.19</v>
      </c>
      <c r="AC38" s="27">
        <v>0.04</v>
      </c>
      <c r="AD38" s="27">
        <v>0.04</v>
      </c>
      <c r="AE38" s="27">
        <v>-13</v>
      </c>
      <c r="AN38" s="1">
        <f>AO38/AE38</f>
        <v>0.28230769230769232</v>
      </c>
      <c r="AO38" s="27">
        <v>-3.67</v>
      </c>
      <c r="AP38" s="27">
        <v>-3.45</v>
      </c>
      <c r="AQ38" s="27">
        <v>0.94</v>
      </c>
      <c r="AR38" s="27">
        <v>0.56999999999999995</v>
      </c>
      <c r="AS38" s="27">
        <v>0.19</v>
      </c>
      <c r="AT38" s="27">
        <v>0.15</v>
      </c>
      <c r="AU38" s="27">
        <v>0.09</v>
      </c>
      <c r="AV38" s="1">
        <f>AW38/AE38</f>
        <v>1.4176923076923076</v>
      </c>
      <c r="AW38" s="27">
        <v>-18.43</v>
      </c>
      <c r="AX38" s="27">
        <v>-10.73</v>
      </c>
      <c r="AY38" s="27">
        <v>0.57999999999999996</v>
      </c>
      <c r="AZ38" s="27">
        <v>1</v>
      </c>
      <c r="BA38" s="27">
        <v>0</v>
      </c>
      <c r="BB38" s="27">
        <v>0</v>
      </c>
      <c r="BC38" s="27">
        <v>0</v>
      </c>
      <c r="BD38" s="1">
        <f>BE38/AE38</f>
        <v>1.4538461538461538</v>
      </c>
      <c r="BE38" s="27">
        <v>-18.899999999999999</v>
      </c>
      <c r="BF38" s="27">
        <v>-7.81</v>
      </c>
      <c r="BG38" s="27">
        <v>0.41</v>
      </c>
      <c r="BH38" s="27">
        <v>1</v>
      </c>
      <c r="BI38" s="27">
        <v>0</v>
      </c>
      <c r="BJ38" s="27">
        <v>0</v>
      </c>
      <c r="BK38" s="27">
        <v>0</v>
      </c>
      <c r="BM38" s="101">
        <v>-3.29</v>
      </c>
      <c r="BN38" s="101">
        <v>7.7</v>
      </c>
      <c r="BO38" s="101">
        <v>0.51</v>
      </c>
      <c r="BP38" s="101">
        <v>0.183</v>
      </c>
      <c r="BQ38" s="101">
        <v>0.81100000000000005</v>
      </c>
      <c r="BS38" s="27" t="s">
        <v>115</v>
      </c>
      <c r="BT38" s="27">
        <v>8.9200000000000002E-2</v>
      </c>
      <c r="BV38" s="27">
        <v>0.128</v>
      </c>
      <c r="BW38" s="27">
        <v>8.0799999999999997E-2</v>
      </c>
      <c r="BX38" s="4">
        <f>10/51</f>
        <v>0.19607843137254902</v>
      </c>
      <c r="BY38" s="4"/>
      <c r="BZ38" s="154"/>
      <c r="CA38" s="23"/>
      <c r="CB38" s="43"/>
      <c r="CC38" s="23"/>
      <c r="CD38" s="23"/>
      <c r="CE38" s="23"/>
      <c r="CF38" s="23"/>
      <c r="CG38" s="23"/>
      <c r="CH38" s="23"/>
      <c r="CI38" s="156"/>
      <c r="CJ38" s="122"/>
      <c r="CK38" s="122"/>
      <c r="CL38" s="72"/>
      <c r="CM38" s="72"/>
      <c r="CN38" s="143"/>
      <c r="CO38" s="72"/>
      <c r="CP38" s="149"/>
      <c r="CQ38" s="72"/>
      <c r="CR38" s="72"/>
      <c r="CS38" s="122"/>
      <c r="CT38" s="122"/>
      <c r="CU38" s="122"/>
      <c r="CV38" s="122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</row>
    <row r="39" spans="1:311" s="27" customFormat="1">
      <c r="A39" s="27" t="s">
        <v>59</v>
      </c>
      <c r="B39" s="27" t="s">
        <v>69</v>
      </c>
      <c r="C39" s="27" t="s">
        <v>125</v>
      </c>
      <c r="D39" s="27">
        <v>15</v>
      </c>
      <c r="E39" s="27">
        <v>72</v>
      </c>
      <c r="F39" s="1">
        <f xml:space="preserve"> -0.0000000000943389*1000000000000</f>
        <v>-94.33890000000001</v>
      </c>
      <c r="G39" s="1">
        <f xml:space="preserve"> 0.0000000000253168*1000000000000</f>
        <v>25.316800000000001</v>
      </c>
      <c r="H39" s="1">
        <f xml:space="preserve"> 0.00000000000395382*1000000000000</f>
        <v>3.9538199999999999</v>
      </c>
      <c r="I39" s="27">
        <v>41</v>
      </c>
      <c r="J39" s="83">
        <f>G39/-F39</f>
        <v>0.26836013563863897</v>
      </c>
      <c r="K39" s="1">
        <v>0</v>
      </c>
      <c r="L39" s="27">
        <f>AB39+AD39</f>
        <v>0.02</v>
      </c>
      <c r="M39" s="26" t="s">
        <v>24</v>
      </c>
      <c r="N39" s="27">
        <v>-87.48</v>
      </c>
      <c r="O39" s="27">
        <v>-72.02</v>
      </c>
      <c r="P39" s="27">
        <v>0.82</v>
      </c>
      <c r="Q39" s="27">
        <v>-30.05</v>
      </c>
      <c r="R39" s="27">
        <v>-18.8</v>
      </c>
      <c r="S39" s="27">
        <v>0.63</v>
      </c>
      <c r="T39" s="27">
        <v>1.41</v>
      </c>
      <c r="U39" s="27">
        <v>1.39</v>
      </c>
      <c r="V39" s="27">
        <v>1.06</v>
      </c>
      <c r="W39" s="27">
        <v>0.79</v>
      </c>
      <c r="X39" s="27">
        <v>0.59</v>
      </c>
      <c r="Y39" s="27">
        <v>0.66</v>
      </c>
      <c r="Z39" s="27">
        <v>29</v>
      </c>
      <c r="AA39" s="27">
        <v>0.98</v>
      </c>
      <c r="AB39" s="27">
        <v>0.02</v>
      </c>
      <c r="AC39" s="27">
        <v>0</v>
      </c>
      <c r="AD39" s="27">
        <v>0</v>
      </c>
      <c r="AE39" s="27">
        <v>-31</v>
      </c>
      <c r="AN39" s="1">
        <f>AO39/AE39</f>
        <v>0.45032258064516134</v>
      </c>
      <c r="AO39" s="27">
        <v>-13.96</v>
      </c>
      <c r="AP39" s="27">
        <v>-13.09</v>
      </c>
      <c r="AQ39" s="27">
        <v>0.94</v>
      </c>
      <c r="AR39" s="27">
        <v>0.96</v>
      </c>
      <c r="AS39" s="27">
        <v>0.02</v>
      </c>
      <c r="AT39" s="27">
        <v>0.02</v>
      </c>
      <c r="AU39" s="27">
        <v>0</v>
      </c>
      <c r="AV39" s="1">
        <f>AW39/AE39</f>
        <v>1.5561290322580645</v>
      </c>
      <c r="AW39" s="27">
        <v>-48.24</v>
      </c>
      <c r="AX39" s="27">
        <v>-14.09</v>
      </c>
      <c r="AY39" s="27">
        <v>0.28999999999999998</v>
      </c>
      <c r="AZ39" s="27">
        <v>0.98</v>
      </c>
      <c r="BA39" s="27">
        <v>0.02</v>
      </c>
      <c r="BB39" s="27">
        <v>0</v>
      </c>
      <c r="BC39" s="27">
        <v>0</v>
      </c>
      <c r="BD39" s="1">
        <f>BE39/AE39</f>
        <v>1.3038709677419356</v>
      </c>
      <c r="BE39" s="27">
        <v>-40.42</v>
      </c>
      <c r="BF39" s="27">
        <v>-10.32</v>
      </c>
      <c r="BG39" s="27">
        <v>0.26</v>
      </c>
      <c r="BH39" s="27">
        <v>1</v>
      </c>
      <c r="BI39" s="27">
        <v>0</v>
      </c>
      <c r="BJ39" s="27">
        <v>0</v>
      </c>
      <c r="BK39" s="27">
        <v>0</v>
      </c>
      <c r="BM39" s="27">
        <v>-5.55</v>
      </c>
      <c r="BN39" s="27">
        <v>10.7</v>
      </c>
      <c r="BO39" s="27">
        <v>0.52</v>
      </c>
      <c r="BP39" s="27">
        <v>0.29099999999999998</v>
      </c>
      <c r="BQ39" s="27">
        <v>0.82</v>
      </c>
      <c r="BS39" s="27" t="s">
        <v>115</v>
      </c>
      <c r="BT39" s="27">
        <v>-0.14099999999999999</v>
      </c>
      <c r="BV39" s="27">
        <v>0.14799999999999999</v>
      </c>
      <c r="BW39" s="27">
        <v>3.5200000000000002E-2</v>
      </c>
      <c r="BX39" s="4">
        <f>1/50</f>
        <v>0.02</v>
      </c>
      <c r="BY39" s="4"/>
      <c r="BZ39" s="23"/>
      <c r="CA39" s="23"/>
      <c r="CB39" s="157"/>
      <c r="CC39" s="43"/>
      <c r="CD39" s="43"/>
      <c r="CE39" s="43"/>
      <c r="CF39" s="43"/>
      <c r="CG39" s="43"/>
      <c r="CH39" s="43"/>
      <c r="CI39" s="156"/>
      <c r="CJ39" s="122"/>
      <c r="CK39" s="122"/>
      <c r="CL39" s="72"/>
      <c r="CM39" s="72"/>
      <c r="CN39" s="143"/>
      <c r="CO39" s="72"/>
      <c r="CP39" s="149"/>
      <c r="CQ39" s="72"/>
      <c r="CR39" s="72"/>
      <c r="CS39" s="122"/>
      <c r="CT39" s="122"/>
      <c r="CU39" s="122"/>
      <c r="CV39" s="122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</row>
    <row r="40" spans="1:311" s="27" customFormat="1">
      <c r="A40" s="7" t="s">
        <v>60</v>
      </c>
      <c r="B40" s="7" t="s">
        <v>69</v>
      </c>
      <c r="C40" s="7" t="s">
        <v>125</v>
      </c>
      <c r="D40" s="7">
        <v>16</v>
      </c>
      <c r="E40" s="7">
        <v>196</v>
      </c>
      <c r="F40" s="1">
        <f>-0.0000000000843892*1000000000000</f>
        <v>-84.389200000000002</v>
      </c>
      <c r="G40" s="56">
        <f xml:space="preserve"> 0.0000000000153346*1000000000000</f>
        <v>15.3346</v>
      </c>
      <c r="H40" s="1">
        <f xml:space="preserve"> 0.00000000000179478*1000000000000</f>
        <v>1.79478</v>
      </c>
      <c r="I40" s="27">
        <v>73</v>
      </c>
      <c r="J40" s="83">
        <f>G40/-F40</f>
        <v>0.18171282581183373</v>
      </c>
      <c r="K40" s="1">
        <v>0</v>
      </c>
      <c r="L40" s="27">
        <f>AB40+AD40</f>
        <v>0</v>
      </c>
      <c r="M40" s="26" t="s">
        <v>24</v>
      </c>
      <c r="N40" s="27">
        <v>-83.52</v>
      </c>
      <c r="O40" s="27">
        <v>-70.23</v>
      </c>
      <c r="P40" s="27">
        <v>0.84</v>
      </c>
      <c r="Q40" s="27">
        <v>-35.22</v>
      </c>
      <c r="R40" s="27">
        <v>-29.69</v>
      </c>
      <c r="S40" s="27">
        <v>0.84</v>
      </c>
      <c r="T40" s="27">
        <v>1.85</v>
      </c>
      <c r="U40" s="27">
        <v>1.85</v>
      </c>
      <c r="V40" s="27">
        <v>0.59</v>
      </c>
      <c r="W40" s="27">
        <v>0.85</v>
      </c>
      <c r="X40" s="27">
        <v>2.1</v>
      </c>
      <c r="Y40" s="27">
        <v>1.94</v>
      </c>
      <c r="Z40" s="27">
        <v>48</v>
      </c>
      <c r="AA40" s="27">
        <v>1</v>
      </c>
      <c r="AB40" s="27">
        <v>0</v>
      </c>
      <c r="AC40" s="27">
        <v>0</v>
      </c>
      <c r="AD40" s="27">
        <v>0</v>
      </c>
      <c r="AE40" s="27">
        <v>-36</v>
      </c>
      <c r="AN40" s="1">
        <f>AO40/AE40</f>
        <v>0.37638888888888888</v>
      </c>
      <c r="AO40" s="27">
        <v>-13.55</v>
      </c>
      <c r="AP40" s="27">
        <v>-19.100000000000001</v>
      </c>
      <c r="AQ40" s="27">
        <v>1.41</v>
      </c>
      <c r="AR40" s="27">
        <v>1</v>
      </c>
      <c r="AS40" s="27">
        <v>0</v>
      </c>
      <c r="AT40" s="27">
        <v>0</v>
      </c>
      <c r="AU40" s="27">
        <v>0</v>
      </c>
      <c r="AV40" s="1">
        <f>AW40/AE40</f>
        <v>1.2172222222222222</v>
      </c>
      <c r="AW40" s="27">
        <v>-43.82</v>
      </c>
      <c r="AX40" s="27">
        <v>-23.64</v>
      </c>
      <c r="AY40" s="27">
        <v>0.54</v>
      </c>
      <c r="AZ40" s="27">
        <v>1</v>
      </c>
      <c r="BA40" s="27">
        <v>0</v>
      </c>
      <c r="BB40" s="27">
        <v>0</v>
      </c>
      <c r="BC40" s="27">
        <v>0</v>
      </c>
      <c r="BD40" s="1">
        <f>BE40/AE40</f>
        <v>1.402222222222222</v>
      </c>
      <c r="BE40" s="27">
        <v>-50.48</v>
      </c>
      <c r="BF40" s="27">
        <v>-17.75</v>
      </c>
      <c r="BG40" s="27">
        <v>0.35</v>
      </c>
      <c r="BH40" s="27">
        <v>0.98</v>
      </c>
      <c r="BI40" s="27">
        <v>0.02</v>
      </c>
      <c r="BJ40" s="27">
        <v>0</v>
      </c>
      <c r="BK40" s="27">
        <v>0</v>
      </c>
      <c r="BM40" s="101">
        <v>-3.57</v>
      </c>
      <c r="BN40" s="101">
        <v>16.329999999999998</v>
      </c>
      <c r="BO40" s="101">
        <v>0.61599999999999999</v>
      </c>
      <c r="BP40" s="101">
        <v>0.253</v>
      </c>
      <c r="BQ40" s="101">
        <v>0.76900000000000002</v>
      </c>
      <c r="BR40" s="102">
        <v>0.93700000000000006</v>
      </c>
      <c r="BS40" s="27" t="s">
        <v>115</v>
      </c>
      <c r="BT40" s="27">
        <v>-4.6100000000000002E-2</v>
      </c>
      <c r="BU40" s="103">
        <v>0.186</v>
      </c>
      <c r="BV40" s="27">
        <v>-4.4499999999999998E-2</v>
      </c>
      <c r="BW40" s="27">
        <v>0.20499999999999999</v>
      </c>
      <c r="BX40" s="4">
        <v>0</v>
      </c>
      <c r="BY40" s="4"/>
      <c r="BZ40" s="23"/>
      <c r="CA40" s="23"/>
      <c r="CB40" s="43"/>
      <c r="CC40" s="43"/>
      <c r="CD40" s="43"/>
      <c r="CE40" s="23"/>
      <c r="CF40" s="43"/>
      <c r="CG40" s="43"/>
      <c r="CH40" s="43"/>
      <c r="CI40" s="156"/>
      <c r="CJ40" s="122"/>
      <c r="CK40" s="122"/>
      <c r="CL40" s="72"/>
      <c r="CM40" s="72"/>
      <c r="CN40" s="72"/>
      <c r="CO40" s="72"/>
      <c r="CP40" s="149"/>
      <c r="CQ40" s="72"/>
      <c r="CR40" s="72"/>
      <c r="CS40" s="122"/>
      <c r="CT40" s="122"/>
      <c r="CU40" s="122"/>
      <c r="CV40" s="122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</row>
    <row r="41" spans="1:311" s="9" customFormat="1">
      <c r="A41" s="51" t="s">
        <v>61</v>
      </c>
      <c r="C41" s="9" t="s">
        <v>125</v>
      </c>
      <c r="D41" s="51">
        <v>18</v>
      </c>
      <c r="E41" s="51">
        <v>42</v>
      </c>
      <c r="F41" s="9">
        <f>-0.000000000100934*1000000000000</f>
        <v>-100.934</v>
      </c>
      <c r="G41" s="9">
        <f xml:space="preserve"> 0.0000000000343719*1000000000000</f>
        <v>34.371899999999997</v>
      </c>
      <c r="H41" s="10">
        <f xml:space="preserve"> 0.0000000000041682*1000000000000</f>
        <v>4.1681999999999997</v>
      </c>
      <c r="I41" s="9">
        <v>68</v>
      </c>
      <c r="J41" s="107">
        <f>G41/-F41</f>
        <v>0.34053837160917033</v>
      </c>
      <c r="K41" s="10">
        <v>0</v>
      </c>
      <c r="L41" s="9">
        <f>AB41+AD41</f>
        <v>0.04</v>
      </c>
      <c r="M41" s="32" t="s">
        <v>24</v>
      </c>
      <c r="N41" s="9">
        <v>-82.58</v>
      </c>
      <c r="O41" s="9">
        <v>-61.17</v>
      </c>
      <c r="P41" s="9">
        <v>0.74</v>
      </c>
      <c r="Q41" s="9">
        <v>-33.229999999999997</v>
      </c>
      <c r="R41" s="9">
        <v>-17.98</v>
      </c>
      <c r="S41" s="9">
        <v>0.56000000000000005</v>
      </c>
      <c r="T41" s="9">
        <v>1.32</v>
      </c>
      <c r="U41" s="9">
        <v>1.33</v>
      </c>
      <c r="V41" s="9">
        <v>0.53</v>
      </c>
      <c r="W41" s="9">
        <v>0.94</v>
      </c>
      <c r="X41" s="9">
        <v>0.6</v>
      </c>
      <c r="Y41" s="9">
        <v>0.56000000000000005</v>
      </c>
      <c r="Z41" s="9">
        <v>49</v>
      </c>
      <c r="AA41" s="9">
        <v>0.94</v>
      </c>
      <c r="AB41" s="9">
        <v>0.04</v>
      </c>
      <c r="AC41" s="9">
        <v>0.02</v>
      </c>
      <c r="AD41" s="9">
        <v>0</v>
      </c>
      <c r="AE41" s="9">
        <v>-35</v>
      </c>
      <c r="AF41" s="10">
        <f>AG41/AE41</f>
        <v>0.156</v>
      </c>
      <c r="AG41" s="9">
        <v>-5.46</v>
      </c>
      <c r="AH41" s="9">
        <v>-2.93</v>
      </c>
      <c r="AI41" s="9">
        <v>0.54</v>
      </c>
      <c r="AJ41" s="9">
        <v>0.48</v>
      </c>
      <c r="AK41" s="9">
        <v>0.26</v>
      </c>
      <c r="AL41" s="9">
        <v>0.16</v>
      </c>
      <c r="AM41" s="9">
        <v>0.1</v>
      </c>
      <c r="AN41" s="10">
        <f>AO41/AE41</f>
        <v>0.2102857142857143</v>
      </c>
      <c r="AO41" s="9">
        <v>-7.36</v>
      </c>
      <c r="AP41" s="9">
        <v>-9.5500000000000007</v>
      </c>
      <c r="AQ41" s="9">
        <v>1.3</v>
      </c>
      <c r="AR41" s="9">
        <v>0.54</v>
      </c>
      <c r="AS41" s="9">
        <v>0.03</v>
      </c>
      <c r="AT41" s="9">
        <v>0.34</v>
      </c>
      <c r="AU41" s="9">
        <v>0.08</v>
      </c>
      <c r="AV41" s="108">
        <f>AW41/AE41</f>
        <v>0.84599999999999997</v>
      </c>
      <c r="AW41" s="9">
        <v>-29.61</v>
      </c>
      <c r="AX41" s="9">
        <v>-12.47</v>
      </c>
      <c r="AY41" s="9">
        <v>0.42</v>
      </c>
      <c r="AZ41" s="9">
        <v>0.87</v>
      </c>
      <c r="BA41" s="9">
        <v>0.13</v>
      </c>
      <c r="BB41" s="9">
        <v>0</v>
      </c>
      <c r="BC41" s="9">
        <v>0</v>
      </c>
      <c r="BD41" s="108">
        <f>BE41/AE41</f>
        <v>0.31314285714285717</v>
      </c>
      <c r="BE41" s="109">
        <v>-10.96</v>
      </c>
      <c r="BF41" s="109">
        <v>-2.95</v>
      </c>
      <c r="BG41" s="109">
        <v>0.27</v>
      </c>
      <c r="BH41" s="109">
        <v>0.61</v>
      </c>
      <c r="BI41" s="109">
        <v>0.38</v>
      </c>
      <c r="BJ41" s="109">
        <v>0</v>
      </c>
      <c r="BK41" s="109">
        <v>0.02</v>
      </c>
      <c r="BM41" s="110">
        <v>-7.32</v>
      </c>
      <c r="BN41" s="110">
        <v>8.14</v>
      </c>
      <c r="BO41" s="110">
        <v>0.58099999999999996</v>
      </c>
      <c r="BP41" s="110">
        <v>7.0000000000000007E-2</v>
      </c>
      <c r="BQ41" s="110">
        <v>0.629</v>
      </c>
      <c r="BR41" s="110">
        <v>0.11</v>
      </c>
      <c r="BS41" s="9" t="s">
        <v>115</v>
      </c>
      <c r="BT41" s="9">
        <v>9.8799999999999999E-2</v>
      </c>
      <c r="BU41" s="9">
        <v>0.126</v>
      </c>
      <c r="BV41" s="9">
        <v>-0.125</v>
      </c>
      <c r="BW41" s="9">
        <v>0.193</v>
      </c>
      <c r="BX41" s="13">
        <f>25/(25+36)</f>
        <v>0.4098360655737705</v>
      </c>
      <c r="BY41" s="13"/>
      <c r="BZ41" s="205"/>
      <c r="CA41" s="205"/>
      <c r="CB41" s="205"/>
      <c r="CC41" s="205"/>
      <c r="CD41" s="53"/>
      <c r="CE41" s="205"/>
      <c r="CF41" s="205"/>
      <c r="CG41" s="205"/>
      <c r="CH41" s="205"/>
      <c r="CI41" s="206"/>
      <c r="CJ41" s="207"/>
      <c r="CK41" s="206"/>
      <c r="CL41" s="51"/>
      <c r="CM41" s="51"/>
      <c r="CN41" s="51"/>
      <c r="CO41" s="51"/>
      <c r="CP41" s="208"/>
      <c r="CQ41" s="153"/>
      <c r="CR41" s="153"/>
      <c r="CS41" s="153"/>
      <c r="CT41" s="153"/>
      <c r="CU41" s="153"/>
      <c r="CV41" s="153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51"/>
      <c r="HY41" s="51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  <c r="IL41" s="51"/>
      <c r="IM41" s="51"/>
      <c r="IN41" s="51"/>
      <c r="IO41" s="51"/>
      <c r="IP41" s="51"/>
      <c r="IQ41" s="51"/>
      <c r="IR41" s="51"/>
      <c r="IS41" s="51"/>
      <c r="IT41" s="51"/>
      <c r="IU41" s="51"/>
      <c r="IV41" s="51"/>
      <c r="IW41" s="51"/>
      <c r="IX41" s="51"/>
      <c r="IY41" s="51"/>
      <c r="IZ41" s="51"/>
      <c r="JA41" s="51"/>
      <c r="JB41" s="51"/>
      <c r="JC41" s="51"/>
      <c r="JD41" s="51"/>
      <c r="JE41" s="51"/>
      <c r="JF41" s="51"/>
      <c r="JG41" s="51"/>
      <c r="JH41" s="51"/>
      <c r="JI41" s="51"/>
      <c r="JJ41" s="51"/>
      <c r="JK41" s="51"/>
      <c r="JL41" s="51"/>
      <c r="JM41" s="51"/>
      <c r="JN41" s="51"/>
      <c r="JO41" s="51"/>
      <c r="JP41" s="51"/>
      <c r="JQ41" s="51"/>
      <c r="JR41" s="51"/>
      <c r="JS41" s="51"/>
      <c r="JT41" s="51"/>
      <c r="JU41" s="51"/>
      <c r="JV41" s="51"/>
      <c r="JW41" s="51"/>
      <c r="JX41" s="51"/>
      <c r="JY41" s="51"/>
      <c r="JZ41" s="51"/>
      <c r="KA41" s="51"/>
      <c r="KB41" s="51"/>
      <c r="KC41" s="51"/>
      <c r="KD41" s="51"/>
      <c r="KE41" s="51"/>
      <c r="KF41" s="51"/>
      <c r="KG41" s="51"/>
      <c r="KH41" s="51"/>
      <c r="KI41" s="51"/>
      <c r="KJ41" s="51"/>
      <c r="KK41" s="51"/>
      <c r="KL41" s="51"/>
      <c r="KM41" s="51"/>
      <c r="KN41" s="51"/>
      <c r="KO41" s="51"/>
      <c r="KP41" s="51"/>
      <c r="KQ41" s="51"/>
      <c r="KR41" s="51"/>
      <c r="KS41" s="51"/>
      <c r="KT41" s="51"/>
      <c r="KU41" s="51"/>
      <c r="KV41" s="51"/>
      <c r="KW41" s="51"/>
      <c r="KX41" s="51"/>
      <c r="KY41" s="51"/>
    </row>
    <row r="42" spans="1:311">
      <c r="A42" s="23" t="s">
        <v>38</v>
      </c>
      <c r="BM42" s="1">
        <f>-AVERAGE(BM37:BM41)</f>
        <v>4.5780000000000003</v>
      </c>
      <c r="BN42" s="1">
        <f>AVERAGE(BN37:BN41)</f>
        <v>10.164</v>
      </c>
      <c r="BO42" s="1">
        <f>AVERAGE(BO37:BO41)</f>
        <v>0.56299999999999994</v>
      </c>
      <c r="BZ42" s="23"/>
      <c r="CA42" s="23"/>
      <c r="CB42" s="23"/>
      <c r="CC42" s="23"/>
      <c r="CD42" s="23"/>
      <c r="CE42" s="23"/>
      <c r="CF42" s="23"/>
      <c r="CG42" s="178"/>
      <c r="CH42" s="23"/>
      <c r="CI42" s="156"/>
      <c r="CJ42" s="161"/>
      <c r="CK42" s="156"/>
      <c r="CL42" s="43"/>
      <c r="CM42" s="43"/>
      <c r="CN42" s="43"/>
      <c r="CO42" s="43"/>
      <c r="CP42" s="121"/>
      <c r="CQ42" s="122"/>
      <c r="CR42" s="122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</row>
    <row r="43" spans="1:311">
      <c r="A43" s="23" t="s">
        <v>40</v>
      </c>
      <c r="BM43" s="31">
        <f>STDEV(BM37:BM41)/SQRT(BM47)</f>
        <v>0.81083537170007602</v>
      </c>
      <c r="BN43" s="31">
        <f t="shared" ref="BN43:BO43" si="13">STDEV(BN37:BN41)/SQRT(BN47)</f>
        <v>1.6336541861728251</v>
      </c>
      <c r="BO43" s="31">
        <f t="shared" si="13"/>
        <v>2.051341024793293E-2</v>
      </c>
      <c r="BZ43" s="23"/>
      <c r="CA43" s="23"/>
      <c r="CB43" s="23"/>
      <c r="CC43" s="23"/>
      <c r="CD43" s="23"/>
      <c r="CE43" s="23"/>
      <c r="CF43" s="23"/>
      <c r="CG43" s="23"/>
      <c r="CH43" s="158"/>
      <c r="CI43" s="156"/>
      <c r="CJ43" s="161"/>
      <c r="CK43" s="156"/>
      <c r="CL43" s="43"/>
      <c r="CM43" s="43"/>
      <c r="CN43" s="43"/>
      <c r="CO43" s="43"/>
      <c r="CP43" s="121"/>
      <c r="CQ43" s="122"/>
      <c r="CR43" s="122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</row>
    <row r="44" spans="1:311">
      <c r="A44" s="8" t="s">
        <v>28</v>
      </c>
      <c r="BM44" s="25">
        <f>-MEDIAN(BM37:BM41)</f>
        <v>3.57</v>
      </c>
      <c r="BN44" s="25">
        <f>MEDIAN(BN37:BN41)</f>
        <v>8.14</v>
      </c>
      <c r="BO44" s="25">
        <f>MEDIAN(BO37:BO41)</f>
        <v>0.58099999999999996</v>
      </c>
      <c r="BZ44" s="162"/>
      <c r="CA44" s="162"/>
      <c r="CB44" s="162"/>
      <c r="CC44" s="162"/>
      <c r="CD44" s="162"/>
      <c r="CE44" s="162"/>
      <c r="CF44" s="162"/>
      <c r="CG44" s="162"/>
      <c r="CH44" s="162"/>
      <c r="CI44" s="163"/>
      <c r="CJ44" s="164"/>
      <c r="CK44" s="163"/>
      <c r="CL44" s="72"/>
      <c r="CM44" s="72"/>
      <c r="CN44" s="72"/>
      <c r="CO44" s="72"/>
      <c r="CP44" s="128"/>
      <c r="CQ44" s="127"/>
      <c r="CR44" s="128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</row>
    <row r="45" spans="1:311">
      <c r="A45" s="26" t="s">
        <v>29</v>
      </c>
      <c r="BM45" s="1">
        <f>-_xlfn.QUARTILE.EXC((BM37:BM41),3)</f>
        <v>3.2250000000000001</v>
      </c>
      <c r="BN45" s="1">
        <f>_xlfn.QUARTILE.EXC((BN37:BN41),3)</f>
        <v>13.514999999999999</v>
      </c>
      <c r="BO45" s="1">
        <f>_xlfn.QUARTILE.EXC((BO37:BO41),3)</f>
        <v>0.60199999999999998</v>
      </c>
      <c r="BZ45" s="162"/>
      <c r="CA45" s="162"/>
      <c r="CB45" s="162"/>
      <c r="CC45" s="179"/>
      <c r="CD45" s="179"/>
      <c r="CE45" s="179"/>
      <c r="CF45" s="179"/>
      <c r="CG45" s="179"/>
      <c r="CH45" s="179"/>
      <c r="CI45" s="163"/>
      <c r="CJ45" s="164"/>
      <c r="CK45" s="180"/>
      <c r="CL45" s="43"/>
      <c r="CM45" s="43"/>
      <c r="CN45" s="150"/>
      <c r="CO45" s="43"/>
      <c r="CP45" s="121"/>
      <c r="CQ45" s="122"/>
      <c r="CR45" s="121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</row>
    <row r="46" spans="1:311">
      <c r="A46" s="26" t="s">
        <v>30</v>
      </c>
      <c r="BM46" s="1">
        <f>-_xlfn.QUARTILE.EXC((BM37:BM41),1)</f>
        <v>6.4350000000000005</v>
      </c>
      <c r="BN46" s="1">
        <f>_xlfn.QUARTILE.EXC((BN37:BN41),1)</f>
        <v>7.8250000000000002</v>
      </c>
      <c r="BO46" s="1">
        <f>_xlfn.QUARTILE.EXC((BO37:BO41),1)</f>
        <v>0.51500000000000001</v>
      </c>
      <c r="BZ46" s="23"/>
      <c r="CA46" s="23"/>
      <c r="CB46" s="23"/>
      <c r="CC46" s="23"/>
      <c r="CD46" s="23"/>
      <c r="CE46" s="23"/>
      <c r="CF46" s="23"/>
      <c r="CG46" s="23"/>
      <c r="CH46" s="23"/>
      <c r="CI46" s="156"/>
      <c r="CJ46" s="161"/>
      <c r="CK46" s="161"/>
      <c r="CL46" s="43"/>
      <c r="CM46" s="43"/>
      <c r="CN46" s="43"/>
      <c r="CO46" s="72"/>
      <c r="CP46" s="121"/>
      <c r="CQ46" s="122"/>
      <c r="CR46" s="121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</row>
    <row r="47" spans="1:311" s="21" customFormat="1">
      <c r="A47" s="26" t="s">
        <v>5</v>
      </c>
      <c r="B47" s="191"/>
      <c r="I47" s="22"/>
      <c r="J47" s="22"/>
      <c r="K47" s="22"/>
      <c r="L47" s="22"/>
      <c r="BM47" s="28">
        <f>COUNT((BM37:BM41))</f>
        <v>5</v>
      </c>
      <c r="BN47" s="28">
        <f t="shared" ref="BN47:BO47" si="14">COUNT((BN37:BN41))</f>
        <v>5</v>
      </c>
      <c r="BO47" s="28">
        <f t="shared" si="14"/>
        <v>5</v>
      </c>
      <c r="BZ47" s="169"/>
      <c r="CA47" s="170"/>
      <c r="CB47" s="169"/>
      <c r="CC47" s="171"/>
      <c r="CD47" s="171"/>
      <c r="CE47" s="171"/>
      <c r="CF47" s="170"/>
      <c r="CG47" s="169"/>
      <c r="CH47" s="170"/>
      <c r="CI47" s="172"/>
      <c r="CJ47" s="173"/>
      <c r="CK47" s="173"/>
      <c r="CL47" s="43"/>
      <c r="CM47" s="43"/>
      <c r="CN47" s="43"/>
      <c r="CO47" s="43"/>
      <c r="CP47" s="121"/>
      <c r="CQ47" s="122"/>
      <c r="CR47" s="121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</row>
    <row r="48" spans="1:311" s="21" customFormat="1">
      <c r="A48" s="23"/>
      <c r="B48" s="191"/>
      <c r="I48" s="22"/>
      <c r="J48" s="22"/>
      <c r="K48" s="22"/>
      <c r="L48" s="22"/>
      <c r="BZ48" s="143"/>
      <c r="CA48" s="157"/>
      <c r="CB48" s="157"/>
      <c r="CC48" s="174"/>
      <c r="CD48" s="174"/>
      <c r="CE48" s="174"/>
      <c r="CF48" s="157"/>
      <c r="CG48" s="143"/>
      <c r="CH48" s="157"/>
      <c r="CI48" s="175"/>
      <c r="CJ48" s="176"/>
      <c r="CK48" s="176"/>
      <c r="CL48" s="43"/>
      <c r="CM48" s="43"/>
      <c r="CN48" s="43"/>
      <c r="CO48" s="43"/>
      <c r="CP48" s="121"/>
      <c r="CQ48" s="122"/>
      <c r="CR48" s="1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</row>
    <row r="49" spans="1:311" s="21" customFormat="1">
      <c r="A49" s="23"/>
      <c r="B49" s="191"/>
      <c r="I49" s="22"/>
      <c r="J49" s="22"/>
      <c r="K49" s="22"/>
      <c r="L49" s="22"/>
      <c r="BZ49" s="143"/>
      <c r="CA49" s="157"/>
      <c r="CB49" s="157"/>
      <c r="CC49" s="174"/>
      <c r="CD49" s="174"/>
      <c r="CE49" s="174"/>
      <c r="CF49" s="157"/>
      <c r="CG49" s="143"/>
      <c r="CH49" s="157"/>
      <c r="CI49" s="175"/>
      <c r="CJ49" s="176"/>
      <c r="CK49" s="176"/>
      <c r="CL49" s="43"/>
      <c r="CM49" s="43"/>
      <c r="CN49" s="43"/>
      <c r="CO49" s="43"/>
      <c r="CP49" s="121"/>
      <c r="CQ49" s="122"/>
      <c r="CR49" s="122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</row>
    <row r="50" spans="1:311" s="7" customFormat="1">
      <c r="A50" s="192"/>
      <c r="B50" s="67"/>
      <c r="F50" s="193"/>
      <c r="G50" s="56"/>
      <c r="H50" s="56"/>
      <c r="K50" s="56"/>
      <c r="L50" s="61"/>
      <c r="M50" s="67"/>
      <c r="O50" s="70"/>
      <c r="P50" s="67"/>
      <c r="R50" s="70"/>
      <c r="S50" s="67"/>
      <c r="U50" s="70"/>
      <c r="AB50" s="104"/>
      <c r="AD50" s="194"/>
      <c r="AE50" s="61"/>
      <c r="AL50" s="194"/>
      <c r="AM50" s="195"/>
      <c r="AN50" s="67"/>
      <c r="AO50" s="195"/>
      <c r="AQ50" s="70"/>
      <c r="AR50" s="194"/>
      <c r="AS50" s="67"/>
      <c r="AU50" s="67"/>
      <c r="AV50" s="67"/>
      <c r="AW50" s="195"/>
      <c r="AY50" s="70"/>
      <c r="AZ50" s="194"/>
      <c r="BA50" s="67"/>
      <c r="BC50" s="67"/>
      <c r="BD50" s="67"/>
      <c r="BE50" s="195"/>
      <c r="BG50" s="70"/>
      <c r="BH50" s="194"/>
      <c r="BI50" s="67"/>
      <c r="BK50" s="67"/>
      <c r="BL50" s="67"/>
      <c r="BM50" s="195"/>
      <c r="BO50" s="70"/>
      <c r="BP50" s="194"/>
      <c r="BQ50" s="67"/>
      <c r="BS50" s="67"/>
      <c r="BU50" s="61"/>
      <c r="CH50" s="196"/>
      <c r="CI50" s="197"/>
      <c r="CJ50" s="105"/>
      <c r="CK50" s="105"/>
      <c r="CL50" s="198"/>
      <c r="CM50" s="105"/>
      <c r="CN50" s="105"/>
      <c r="CO50" s="105"/>
      <c r="CP50" s="105"/>
      <c r="CQ50" s="105"/>
      <c r="CR50" s="105"/>
      <c r="CS50" s="105"/>
      <c r="CT50" s="192"/>
      <c r="CU50" s="70"/>
      <c r="CX50" s="199"/>
      <c r="CY50" s="105"/>
      <c r="CZ50" s="105"/>
      <c r="DA50" s="105"/>
      <c r="DB50" s="105"/>
      <c r="DC50" s="105"/>
      <c r="DD50" s="105"/>
      <c r="DF50" s="67"/>
      <c r="DK50" s="199"/>
      <c r="DT50" s="104"/>
      <c r="DV50" s="67"/>
      <c r="DX50" s="67"/>
      <c r="DZ50" s="113"/>
      <c r="EA50" s="67"/>
      <c r="EE50" s="67"/>
      <c r="EI50" s="67"/>
      <c r="EN50" s="67"/>
    </row>
    <row r="51" spans="1:311" s="7" customFormat="1">
      <c r="F51" s="56"/>
      <c r="G51" s="56"/>
      <c r="H51" s="56"/>
      <c r="K51" s="56"/>
      <c r="AB51" s="104"/>
      <c r="AD51" s="194"/>
      <c r="AE51" s="199"/>
      <c r="CH51" s="105"/>
      <c r="CI51" s="105"/>
      <c r="CJ51" s="105"/>
      <c r="CK51" s="105"/>
      <c r="CL51" s="106"/>
      <c r="CM51" s="105"/>
      <c r="CN51" s="105"/>
      <c r="CO51" s="105"/>
      <c r="CP51" s="197"/>
      <c r="CQ51" s="105"/>
      <c r="CR51" s="105"/>
      <c r="CS51" s="105"/>
      <c r="CX51" s="104"/>
      <c r="CY51" s="105"/>
      <c r="CZ51" s="105"/>
      <c r="DA51" s="105"/>
      <c r="DB51" s="197"/>
      <c r="DC51" s="105"/>
      <c r="DD51" s="197"/>
      <c r="DE51" s="70"/>
      <c r="DF51" s="70"/>
      <c r="DK51" s="199"/>
      <c r="DS51" s="67"/>
      <c r="DT51" s="104"/>
      <c r="DZ51" s="113"/>
      <c r="EA51" s="70"/>
      <c r="EE51" s="70"/>
      <c r="EN51" s="70"/>
      <c r="ER51" s="70"/>
      <c r="EV51" s="70"/>
      <c r="EX51" s="70"/>
      <c r="FB51" s="70"/>
      <c r="FF51" s="70"/>
      <c r="FH51" s="70"/>
      <c r="FL51" s="70"/>
      <c r="FP51" s="70"/>
      <c r="FR51" s="70"/>
      <c r="FV51" s="70"/>
      <c r="FZ51" s="70"/>
      <c r="GB51" s="70"/>
      <c r="GF51" s="70"/>
      <c r="GJ51" s="70"/>
    </row>
    <row r="52" spans="1:311" s="7" customFormat="1">
      <c r="F52" s="56"/>
      <c r="G52" s="56"/>
      <c r="H52" s="56"/>
      <c r="K52" s="56"/>
      <c r="L52" s="56"/>
      <c r="M52" s="104"/>
      <c r="P52" s="104"/>
      <c r="S52" s="104"/>
      <c r="V52" s="104"/>
      <c r="Y52" s="104"/>
      <c r="AB52" s="104"/>
      <c r="AD52" s="194"/>
      <c r="AE52" s="194"/>
      <c r="AO52" s="104"/>
      <c r="AW52" s="104"/>
      <c r="BE52" s="104"/>
      <c r="BM52" s="104"/>
      <c r="CF52" s="200"/>
      <c r="CH52" s="105"/>
      <c r="CI52" s="105"/>
      <c r="CJ52" s="105"/>
      <c r="CK52" s="105"/>
      <c r="CL52" s="106"/>
      <c r="CM52" s="105"/>
      <c r="CN52" s="105"/>
      <c r="CO52" s="105"/>
      <c r="CP52" s="105"/>
      <c r="CQ52" s="105"/>
      <c r="CR52" s="105"/>
      <c r="CS52" s="105"/>
      <c r="CX52" s="104"/>
      <c r="CY52" s="105"/>
      <c r="CZ52" s="105"/>
      <c r="DA52" s="105"/>
      <c r="DB52" s="105"/>
      <c r="DC52" s="105"/>
      <c r="DD52" s="105"/>
      <c r="DK52" s="104"/>
      <c r="DT52" s="104"/>
      <c r="DZ52" s="113"/>
    </row>
    <row r="53" spans="1:311" s="7" customFormat="1">
      <c r="A53" s="192"/>
      <c r="F53" s="56"/>
      <c r="G53" s="56"/>
      <c r="H53" s="56"/>
      <c r="K53" s="56"/>
      <c r="M53" s="104"/>
      <c r="P53" s="104"/>
      <c r="AB53" s="104"/>
      <c r="AD53" s="194"/>
      <c r="AE53" s="104"/>
      <c r="AZ53" s="194"/>
      <c r="CH53" s="105"/>
      <c r="CI53" s="105"/>
      <c r="CJ53" s="105"/>
      <c r="CK53" s="105"/>
      <c r="CL53" s="106"/>
      <c r="CM53" s="105"/>
      <c r="CN53" s="105"/>
      <c r="CO53" s="105"/>
      <c r="CP53" s="105"/>
      <c r="CQ53" s="105"/>
      <c r="CR53" s="105"/>
      <c r="CS53" s="105"/>
      <c r="CX53" s="104"/>
      <c r="CY53" s="105"/>
      <c r="CZ53" s="105"/>
      <c r="DA53" s="105"/>
      <c r="DB53" s="105"/>
      <c r="DC53" s="105"/>
      <c r="DD53" s="105"/>
      <c r="DK53" s="104"/>
      <c r="DT53" s="104"/>
      <c r="DZ53" s="113"/>
    </row>
    <row r="54" spans="1:311" s="71" customFormat="1">
      <c r="F54" s="45"/>
      <c r="G54" s="45"/>
      <c r="H54" s="45"/>
      <c r="J54" s="45"/>
      <c r="K54" s="45"/>
      <c r="L54" s="7"/>
      <c r="AA54" s="114"/>
      <c r="AC54" s="118"/>
      <c r="AN54" s="56"/>
      <c r="AS54" s="7"/>
      <c r="AT54" s="7"/>
      <c r="AV54" s="45"/>
      <c r="AX54" s="112"/>
      <c r="AY54" s="201"/>
      <c r="BD54" s="45"/>
      <c r="BL54" s="45"/>
      <c r="CC54" s="45"/>
      <c r="CD54" s="56"/>
      <c r="CE54" s="45"/>
      <c r="CF54" s="45"/>
      <c r="CH54" s="114"/>
      <c r="CI54" s="114"/>
      <c r="CJ54" s="115"/>
      <c r="CK54" s="114"/>
      <c r="CL54" s="116"/>
      <c r="CM54" s="114"/>
      <c r="CN54" s="114"/>
      <c r="CO54" s="114"/>
      <c r="CP54" s="114"/>
      <c r="CQ54" s="114"/>
      <c r="CR54" s="114"/>
      <c r="CS54" s="202"/>
      <c r="CT54" s="7"/>
      <c r="CU54" s="7"/>
      <c r="CV54" s="55"/>
      <c r="CW54" s="7"/>
      <c r="CX54" s="112"/>
      <c r="CY54" s="114"/>
      <c r="CZ54" s="105"/>
      <c r="DA54" s="105"/>
      <c r="DB54" s="114"/>
      <c r="DC54" s="105"/>
      <c r="DD54" s="114"/>
      <c r="DG54" s="7"/>
      <c r="DH54" s="7"/>
      <c r="DK54" s="112"/>
      <c r="DT54" s="112"/>
      <c r="DZ54" s="50"/>
    </row>
    <row r="55" spans="1:311" s="7" customFormat="1">
      <c r="A55" s="71"/>
      <c r="C55" s="71"/>
      <c r="G55" s="56"/>
      <c r="J55" s="45"/>
      <c r="K55" s="56"/>
      <c r="AN55" s="56"/>
      <c r="AT55" s="71"/>
      <c r="AV55" s="45"/>
      <c r="BD55" s="45"/>
      <c r="BH55" s="71"/>
      <c r="BI55" s="71"/>
      <c r="BJ55" s="71"/>
      <c r="BK55" s="71"/>
      <c r="BL55" s="45"/>
      <c r="BP55" s="71"/>
      <c r="BQ55" s="71"/>
      <c r="BR55" s="71"/>
      <c r="BS55" s="71"/>
      <c r="CA55" s="71"/>
      <c r="CB55" s="45"/>
      <c r="CC55" s="56"/>
      <c r="CD55" s="56"/>
      <c r="CE55" s="56"/>
      <c r="CF55" s="45"/>
      <c r="CG55" s="71"/>
      <c r="CH55" s="105"/>
      <c r="CI55" s="105"/>
      <c r="CJ55" s="111"/>
      <c r="CK55" s="105"/>
      <c r="CL55" s="106"/>
      <c r="CM55" s="111"/>
      <c r="CN55" s="111"/>
      <c r="CO55" s="111"/>
      <c r="CP55" s="111"/>
      <c r="CQ55" s="111"/>
      <c r="CR55" s="111"/>
      <c r="CS55" s="203"/>
      <c r="CV55" s="55"/>
      <c r="CX55" s="104"/>
      <c r="CY55" s="105"/>
      <c r="CZ55" s="105"/>
      <c r="DA55" s="105"/>
      <c r="DB55" s="105"/>
      <c r="DC55" s="105"/>
      <c r="DD55" s="105"/>
    </row>
    <row r="56" spans="1:311" s="7" customFormat="1">
      <c r="A56" s="71"/>
      <c r="F56" s="56"/>
      <c r="G56" s="56"/>
      <c r="H56" s="56"/>
      <c r="J56" s="56"/>
      <c r="K56" s="56"/>
      <c r="AV56" s="45"/>
      <c r="BD56" s="45"/>
      <c r="BL56" s="45"/>
      <c r="BU56" s="71"/>
      <c r="BV56" s="71"/>
      <c r="BW56" s="71"/>
      <c r="BX56" s="71"/>
      <c r="BY56" s="71"/>
      <c r="BZ56" s="71"/>
      <c r="CA56" s="71"/>
      <c r="CB56" s="45"/>
      <c r="CC56" s="45"/>
      <c r="CD56" s="45"/>
      <c r="CE56" s="45"/>
      <c r="CF56" s="45"/>
      <c r="CG56" s="71"/>
      <c r="CH56" s="105"/>
      <c r="CI56" s="105"/>
      <c r="CJ56" s="111"/>
      <c r="CK56" s="105"/>
      <c r="CL56" s="106"/>
      <c r="CM56" s="111"/>
      <c r="CN56" s="111"/>
      <c r="CO56" s="111"/>
      <c r="CP56" s="111"/>
      <c r="CQ56" s="111"/>
      <c r="CR56" s="111"/>
      <c r="CS56" s="203"/>
      <c r="CV56" s="204"/>
      <c r="CX56" s="104"/>
      <c r="CY56" s="105"/>
      <c r="CZ56" s="105"/>
      <c r="DA56" s="105"/>
      <c r="DB56" s="105"/>
      <c r="DC56" s="105"/>
      <c r="DD56" s="105"/>
    </row>
    <row r="57" spans="1:311" s="42" customFormat="1">
      <c r="F57" s="46"/>
      <c r="G57" s="46"/>
      <c r="H57" s="46"/>
      <c r="I57" s="46"/>
      <c r="J57" s="46"/>
      <c r="K57" s="46"/>
      <c r="L57" s="7"/>
      <c r="AV57" s="46"/>
      <c r="BD57" s="46"/>
      <c r="BL57" s="46"/>
      <c r="BU57" s="117"/>
      <c r="BV57" s="117"/>
      <c r="BW57" s="117"/>
      <c r="BY57" s="117"/>
      <c r="BZ57" s="117"/>
      <c r="CB57" s="46"/>
      <c r="CC57" s="46"/>
      <c r="CD57" s="46"/>
      <c r="CE57" s="46"/>
      <c r="CF57" s="46"/>
      <c r="CH57" s="181"/>
      <c r="CI57" s="181"/>
      <c r="CJ57" s="181"/>
      <c r="CK57" s="181"/>
      <c r="CL57" s="182"/>
      <c r="CM57" s="181"/>
      <c r="CN57" s="181"/>
      <c r="CO57" s="181"/>
      <c r="CP57" s="181"/>
      <c r="CQ57" s="181"/>
      <c r="CR57" s="181"/>
      <c r="CS57" s="183"/>
      <c r="CV57" s="204"/>
      <c r="CX57" s="184"/>
      <c r="CY57" s="181"/>
      <c r="CZ57" s="181"/>
      <c r="DA57" s="181"/>
      <c r="DB57" s="181"/>
      <c r="DC57" s="181"/>
      <c r="DD57" s="181"/>
    </row>
    <row r="58" spans="1:311" s="7" customFormat="1">
      <c r="A58" s="71"/>
      <c r="F58" s="56"/>
      <c r="G58" s="56"/>
      <c r="H58" s="56"/>
      <c r="J58" s="45"/>
      <c r="K58" s="56"/>
      <c r="AD58" s="71"/>
      <c r="AE58" s="71"/>
      <c r="AV58" s="45"/>
      <c r="BD58" s="45"/>
      <c r="BL58" s="45"/>
      <c r="BU58" s="71"/>
      <c r="BV58" s="71"/>
      <c r="BW58" s="71"/>
      <c r="BX58" s="71"/>
      <c r="BY58" s="71"/>
      <c r="BZ58" s="71"/>
      <c r="CA58" s="71"/>
      <c r="CB58" s="45"/>
      <c r="CC58" s="45"/>
      <c r="CD58" s="45"/>
      <c r="CE58" s="45"/>
      <c r="CF58" s="45"/>
      <c r="CG58" s="71"/>
      <c r="CH58" s="105"/>
      <c r="CI58" s="105"/>
      <c r="CJ58" s="105"/>
      <c r="CK58" s="105"/>
      <c r="CL58" s="106"/>
      <c r="CM58" s="105"/>
      <c r="CN58" s="105"/>
      <c r="CO58" s="105"/>
      <c r="CP58" s="105"/>
      <c r="CQ58" s="105"/>
      <c r="CR58" s="105"/>
      <c r="CS58" s="203"/>
      <c r="CV58" s="55"/>
      <c r="CX58" s="104"/>
      <c r="CY58" s="105"/>
      <c r="CZ58" s="105"/>
      <c r="DA58" s="105"/>
      <c r="DB58" s="105"/>
      <c r="DC58" s="105"/>
      <c r="DD58" s="105"/>
    </row>
    <row r="59" spans="1:311" s="7" customFormat="1">
      <c r="A59" s="71"/>
      <c r="F59" s="56"/>
      <c r="G59" s="56"/>
      <c r="H59" s="56"/>
      <c r="J59" s="45"/>
      <c r="K59" s="56"/>
      <c r="P59" s="42"/>
      <c r="Q59" s="42"/>
      <c r="R59" s="42"/>
      <c r="S59" s="42"/>
      <c r="T59" s="42"/>
      <c r="U59" s="42"/>
      <c r="V59" s="42"/>
      <c r="W59" s="42"/>
      <c r="X59" s="42"/>
      <c r="AV59" s="45"/>
      <c r="BD59" s="45"/>
      <c r="BL59" s="45"/>
      <c r="BU59" s="71"/>
      <c r="BV59" s="71"/>
      <c r="BW59" s="71"/>
      <c r="BX59" s="71"/>
      <c r="BY59" s="71"/>
      <c r="BZ59" s="71"/>
      <c r="CA59" s="71"/>
      <c r="CB59" s="45"/>
      <c r="CC59" s="45"/>
      <c r="CD59" s="45"/>
      <c r="CE59" s="56"/>
      <c r="CF59" s="45"/>
      <c r="CG59" s="71"/>
      <c r="CH59" s="105"/>
      <c r="CI59" s="105"/>
      <c r="CJ59" s="105"/>
      <c r="CK59" s="105"/>
      <c r="CL59" s="106"/>
      <c r="CM59" s="105"/>
      <c r="CN59" s="105"/>
      <c r="CO59" s="105"/>
      <c r="CP59" s="105"/>
      <c r="CQ59" s="105"/>
      <c r="CR59" s="105"/>
      <c r="CS59" s="105"/>
      <c r="CX59" s="104"/>
      <c r="CY59" s="105"/>
      <c r="CZ59" s="105"/>
      <c r="DA59" s="105"/>
      <c r="DB59" s="105"/>
      <c r="DC59" s="105"/>
      <c r="DD59" s="105"/>
    </row>
    <row r="60" spans="1:311" s="42" customFormat="1">
      <c r="F60" s="46"/>
      <c r="G60" s="46"/>
      <c r="H60" s="46"/>
      <c r="J60" s="46"/>
      <c r="K60" s="46"/>
      <c r="L60" s="7"/>
      <c r="AN60" s="46"/>
      <c r="AV60" s="46"/>
      <c r="BD60" s="46"/>
      <c r="CB60" s="46"/>
      <c r="CC60" s="46"/>
      <c r="CD60" s="46"/>
      <c r="CE60" s="46"/>
      <c r="CF60" s="46"/>
      <c r="CH60" s="181"/>
      <c r="CI60" s="181"/>
      <c r="CJ60" s="182"/>
      <c r="CK60" s="181"/>
      <c r="CL60" s="182"/>
      <c r="CM60" s="181"/>
      <c r="CN60" s="181"/>
      <c r="CO60" s="181"/>
      <c r="CP60" s="181"/>
      <c r="CQ60" s="181"/>
      <c r="CR60" s="181"/>
      <c r="CS60" s="183"/>
      <c r="CX60" s="184"/>
      <c r="CY60" s="181"/>
      <c r="CZ60" s="181"/>
      <c r="DA60" s="181"/>
      <c r="DB60" s="181"/>
      <c r="DC60" s="181"/>
      <c r="DD60" s="181"/>
    </row>
    <row r="61" spans="1:311" s="7" customFormat="1">
      <c r="F61" s="56"/>
      <c r="G61" s="56"/>
      <c r="H61" s="56"/>
      <c r="K61" s="56"/>
      <c r="CF61" s="56"/>
      <c r="CH61" s="105"/>
      <c r="CI61" s="105"/>
      <c r="CJ61" s="105"/>
      <c r="CK61" s="105"/>
      <c r="CL61" s="106"/>
      <c r="CM61" s="105"/>
      <c r="CN61" s="105"/>
      <c r="CO61" s="105"/>
      <c r="CP61" s="105"/>
      <c r="CQ61" s="105"/>
      <c r="CR61" s="105"/>
      <c r="CS61" s="105"/>
      <c r="CX61" s="104"/>
      <c r="CY61" s="105"/>
      <c r="CZ61" s="105"/>
      <c r="DA61" s="105"/>
      <c r="DB61" s="105"/>
      <c r="DC61" s="105"/>
      <c r="DD61" s="105"/>
    </row>
    <row r="62" spans="1:311" s="7" customFormat="1">
      <c r="F62" s="56"/>
      <c r="G62" s="56"/>
      <c r="H62" s="56"/>
      <c r="K62" s="56"/>
      <c r="CF62" s="56"/>
      <c r="CH62" s="105"/>
      <c r="CI62" s="105"/>
      <c r="CJ62" s="105"/>
      <c r="CK62" s="105"/>
      <c r="CL62" s="106"/>
      <c r="CM62" s="105"/>
      <c r="CN62" s="105"/>
      <c r="CO62" s="105"/>
      <c r="CP62" s="105"/>
      <c r="CQ62" s="105"/>
      <c r="CR62" s="105"/>
      <c r="CS62" s="105"/>
      <c r="CX62" s="104"/>
      <c r="CY62" s="105"/>
      <c r="CZ62" s="105"/>
      <c r="DA62" s="105"/>
      <c r="DB62" s="105"/>
      <c r="DC62" s="105"/>
      <c r="DD62" s="105"/>
    </row>
    <row r="63" spans="1:311" s="21" customFormat="1">
      <c r="A63" s="23"/>
      <c r="B63" s="191"/>
      <c r="I63" s="22"/>
      <c r="J63" s="22"/>
      <c r="K63" s="22"/>
      <c r="L63" s="22"/>
    </row>
    <row r="64" spans="1:311" s="21" customFormat="1">
      <c r="A64" s="23"/>
      <c r="B64" s="191"/>
      <c r="I64" s="22"/>
      <c r="J64" s="22"/>
      <c r="K64" s="22"/>
      <c r="L64" s="22"/>
    </row>
    <row r="65" spans="1:12" s="21" customFormat="1">
      <c r="A65" s="23"/>
      <c r="B65" s="191"/>
      <c r="I65" s="22"/>
      <c r="J65" s="22"/>
      <c r="K65" s="22"/>
      <c r="L65" s="22"/>
    </row>
    <row r="66" spans="1:12" s="21" customFormat="1">
      <c r="A66" s="23"/>
      <c r="B66" s="191"/>
      <c r="I66" s="22"/>
      <c r="J66" s="22"/>
      <c r="K66" s="22"/>
      <c r="L66" s="22"/>
    </row>
    <row r="67" spans="1:12" s="21" customFormat="1">
      <c r="A67" s="23"/>
      <c r="B67" s="191"/>
      <c r="I67" s="22"/>
      <c r="J67" s="22"/>
      <c r="K67" s="22"/>
      <c r="L67" s="22"/>
    </row>
    <row r="68" spans="1:12" s="21" customFormat="1">
      <c r="A68" s="23"/>
      <c r="B68" s="191"/>
      <c r="I68" s="22"/>
      <c r="J68" s="22"/>
      <c r="K68" s="22"/>
      <c r="L68" s="22"/>
    </row>
    <row r="69" spans="1:12" s="21" customFormat="1">
      <c r="A69" s="23"/>
      <c r="B69" s="191"/>
      <c r="I69" s="22"/>
      <c r="J69" s="22"/>
      <c r="K69" s="22"/>
      <c r="L69" s="2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2021-11-02T15:30:09Z</dcterms:created>
  <dcterms:modified xsi:type="dcterms:W3CDTF">2026-09-21T12:35:16Z</dcterms:modified>
</cp:coreProperties>
</file>