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 activeTab="4"/>
  </bookViews>
  <sheets>
    <sheet name="C" sheetId="1" r:id="rId1"/>
    <sheet name="D" sheetId="2" r:id="rId2"/>
    <sheet name="E" sheetId="3" r:id="rId3"/>
    <sheet name="F" sheetId="4" r:id="rId4"/>
    <sheet name="H" sheetId="5" r:id="rId5"/>
  </sheets>
  <externalReferences>
    <externalReference r:id="rId6"/>
  </externalReferences>
  <calcPr calcId="152511"/>
</workbook>
</file>

<file path=xl/calcChain.xml><?xml version="1.0" encoding="utf-8"?>
<calcChain xmlns="http://schemas.openxmlformats.org/spreadsheetml/2006/main">
  <c r="K11" i="4" l="1"/>
  <c r="J11" i="4"/>
  <c r="M11" i="4" s="1"/>
  <c r="O11" i="4" s="1"/>
  <c r="I11" i="4"/>
  <c r="L11" i="4" s="1"/>
  <c r="N11" i="4" s="1"/>
  <c r="K10" i="4"/>
  <c r="J10" i="4"/>
  <c r="I10" i="4"/>
  <c r="J9" i="4"/>
  <c r="M9" i="4" s="1"/>
  <c r="O9" i="4" s="1"/>
  <c r="I9" i="4"/>
  <c r="L9" i="4" s="1"/>
  <c r="K8" i="4"/>
  <c r="J8" i="4"/>
  <c r="I8" i="4"/>
  <c r="K7" i="4"/>
  <c r="J7" i="4"/>
  <c r="M7" i="4" s="1"/>
  <c r="O7" i="4" s="1"/>
  <c r="Q7" i="4" s="1"/>
  <c r="I7" i="4"/>
  <c r="L7" i="4" s="1"/>
  <c r="N7" i="4" s="1"/>
  <c r="K6" i="4"/>
  <c r="R8" i="4" s="1"/>
  <c r="J6" i="4"/>
  <c r="M6" i="4" s="1"/>
  <c r="O6" i="4" s="1"/>
  <c r="Q6" i="4" s="1"/>
  <c r="I6" i="4"/>
  <c r="L6" i="4" s="1"/>
  <c r="G5" i="4"/>
  <c r="J5" i="4" s="1"/>
  <c r="F5" i="4"/>
  <c r="I5" i="4" s="1"/>
  <c r="E5" i="4"/>
  <c r="K5" i="4" s="1"/>
  <c r="D5" i="4"/>
  <c r="C5" i="4"/>
  <c r="B5" i="4"/>
  <c r="G4" i="4"/>
  <c r="F4" i="4"/>
  <c r="E4" i="4"/>
  <c r="D4" i="4"/>
  <c r="C4" i="4"/>
  <c r="B4" i="4"/>
  <c r="M8" i="4" l="1"/>
  <c r="O8" i="4" s="1"/>
  <c r="R10" i="4"/>
  <c r="L8" i="4"/>
  <c r="K4" i="4"/>
  <c r="I4" i="4"/>
  <c r="J4" i="4"/>
  <c r="L5" i="4"/>
  <c r="N5" i="4" s="1"/>
  <c r="N8" i="4"/>
  <c r="P8" i="4" s="1"/>
  <c r="R7" i="4"/>
  <c r="L4" i="4"/>
  <c r="M4" i="4"/>
  <c r="O4" i="4" s="1"/>
  <c r="Q4" i="4" s="1"/>
  <c r="M5" i="4"/>
  <c r="O5" i="4" s="1"/>
  <c r="Q5" i="4" s="1"/>
  <c r="U9" i="4" s="1"/>
  <c r="S8" i="4"/>
  <c r="N6" i="4"/>
  <c r="P6" i="4" s="1"/>
  <c r="P7" i="4"/>
  <c r="Q8" i="4"/>
  <c r="S6" i="4" s="1"/>
  <c r="N9" i="4"/>
  <c r="P9" i="4" s="1"/>
  <c r="Q9" i="4"/>
  <c r="P11" i="4"/>
  <c r="Q11" i="4"/>
  <c r="M10" i="4"/>
  <c r="O10" i="4" s="1"/>
  <c r="Q10" i="4" s="1"/>
  <c r="L10" i="4"/>
  <c r="N10" i="4" s="1"/>
  <c r="P10" i="4" s="1"/>
  <c r="R11" i="4"/>
  <c r="U7" i="4" l="1"/>
  <c r="U8" i="4"/>
  <c r="S9" i="4"/>
  <c r="R9" i="4"/>
  <c r="S11" i="4"/>
  <c r="R6" i="4"/>
  <c r="U11" i="4"/>
  <c r="U10" i="4"/>
  <c r="N4" i="4"/>
  <c r="P4" i="4" s="1"/>
  <c r="S7" i="4"/>
  <c r="S10" i="4"/>
  <c r="P5" i="4"/>
  <c r="T9" i="4" s="1"/>
  <c r="T7" i="4" l="1"/>
  <c r="T8" i="4"/>
  <c r="T11" i="4"/>
  <c r="T10" i="4"/>
  <c r="Y16" i="3" l="1"/>
  <c r="P16" i="3"/>
  <c r="T16" i="3" s="1"/>
  <c r="O16" i="3"/>
  <c r="S16" i="3" s="1"/>
  <c r="N16" i="3"/>
  <c r="R16" i="3" s="1"/>
  <c r="M16" i="3"/>
  <c r="Q16" i="3" s="1"/>
  <c r="U16" i="3" s="1"/>
  <c r="AB15" i="3"/>
  <c r="AA15" i="3"/>
  <c r="Z15" i="3"/>
  <c r="Y15" i="3"/>
  <c r="P15" i="3"/>
  <c r="T15" i="3" s="1"/>
  <c r="O15" i="3"/>
  <c r="S15" i="3" s="1"/>
  <c r="N15" i="3"/>
  <c r="R15" i="3" s="1"/>
  <c r="M15" i="3"/>
  <c r="Q15" i="3" s="1"/>
  <c r="U15" i="3" s="1"/>
  <c r="Y14" i="3"/>
  <c r="P14" i="3"/>
  <c r="T14" i="3" s="1"/>
  <c r="O14" i="3"/>
  <c r="S14" i="3" s="1"/>
  <c r="N14" i="3"/>
  <c r="R14" i="3" s="1"/>
  <c r="M14" i="3"/>
  <c r="Q14" i="3" s="1"/>
  <c r="U14" i="3" s="1"/>
  <c r="AB13" i="3"/>
  <c r="AA13" i="3"/>
  <c r="Z13" i="3"/>
  <c r="Y13" i="3"/>
  <c r="R13" i="3"/>
  <c r="P13" i="3"/>
  <c r="T13" i="3" s="1"/>
  <c r="O13" i="3"/>
  <c r="S13" i="3" s="1"/>
  <c r="N13" i="3"/>
  <c r="M13" i="3"/>
  <c r="Q13" i="3" s="1"/>
  <c r="U13" i="3" s="1"/>
  <c r="E13" i="3"/>
  <c r="F13" i="3" s="1"/>
  <c r="E12" i="3"/>
  <c r="F12" i="3" s="1"/>
  <c r="E11" i="3"/>
  <c r="F11" i="3" s="1"/>
  <c r="E10" i="3"/>
  <c r="F10" i="3" s="1"/>
  <c r="Y9" i="3"/>
  <c r="W9" i="3"/>
  <c r="AA8" i="3" s="1"/>
  <c r="P9" i="3"/>
  <c r="T9" i="3" s="1"/>
  <c r="O9" i="3"/>
  <c r="S9" i="3" s="1"/>
  <c r="N9" i="3"/>
  <c r="R9" i="3" s="1"/>
  <c r="M9" i="3"/>
  <c r="Q9" i="3" s="1"/>
  <c r="U9" i="3" s="1"/>
  <c r="E9" i="3"/>
  <c r="F9" i="3" s="1"/>
  <c r="AB8" i="3"/>
  <c r="Z8" i="3"/>
  <c r="Y8" i="3"/>
  <c r="P8" i="3"/>
  <c r="T8" i="3" s="1"/>
  <c r="O8" i="3"/>
  <c r="S8" i="3" s="1"/>
  <c r="N8" i="3"/>
  <c r="R8" i="3" s="1"/>
  <c r="M8" i="3"/>
  <c r="Q8" i="3" s="1"/>
  <c r="U8" i="3" s="1"/>
  <c r="E8" i="3"/>
  <c r="F8" i="3" s="1"/>
  <c r="Y7" i="3"/>
  <c r="T7" i="3"/>
  <c r="P7" i="3"/>
  <c r="O7" i="3"/>
  <c r="S7" i="3" s="1"/>
  <c r="N7" i="3"/>
  <c r="R7" i="3" s="1"/>
  <c r="M7" i="3"/>
  <c r="Q7" i="3" s="1"/>
  <c r="U7" i="3" s="1"/>
  <c r="E7" i="3"/>
  <c r="F7" i="3" s="1"/>
  <c r="AB6" i="3"/>
  <c r="AA6" i="3"/>
  <c r="Z6" i="3"/>
  <c r="Y6" i="3"/>
  <c r="P6" i="3"/>
  <c r="T6" i="3" s="1"/>
  <c r="O6" i="3"/>
  <c r="S6" i="3" s="1"/>
  <c r="N6" i="3"/>
  <c r="R6" i="3" s="1"/>
  <c r="M6" i="3"/>
  <c r="Q6" i="3" s="1"/>
  <c r="U6" i="3" s="1"/>
  <c r="E6" i="3"/>
  <c r="F6" i="3" s="1"/>
  <c r="E5" i="3"/>
  <c r="F5" i="3" s="1"/>
  <c r="K9" i="2" l="1"/>
  <c r="J9" i="2"/>
  <c r="K8" i="2"/>
  <c r="L8" i="2" s="1"/>
  <c r="M8" i="2" s="1"/>
  <c r="N8" i="2" s="1"/>
  <c r="J8" i="2"/>
  <c r="K7" i="2"/>
  <c r="J7" i="2"/>
  <c r="K6" i="2"/>
  <c r="J6" i="2"/>
  <c r="K5" i="2"/>
  <c r="L5" i="2" s="1"/>
  <c r="M5" i="2" s="1"/>
  <c r="N5" i="2" s="1"/>
  <c r="J5" i="2"/>
  <c r="K4" i="2"/>
  <c r="J4" i="2"/>
  <c r="L4" i="2" l="1"/>
  <c r="M4" i="2" s="1"/>
  <c r="N4" i="2" s="1"/>
  <c r="L6" i="2"/>
  <c r="M6" i="2" s="1"/>
  <c r="N6" i="2" s="1"/>
  <c r="L7" i="2"/>
  <c r="M7" i="2" s="1"/>
  <c r="N7" i="2" s="1"/>
  <c r="L9" i="2"/>
  <c r="M9" i="2" s="1"/>
  <c r="N9" i="2" s="1"/>
</calcChain>
</file>

<file path=xl/sharedStrings.xml><?xml version="1.0" encoding="utf-8"?>
<sst xmlns="http://schemas.openxmlformats.org/spreadsheetml/2006/main" count="190" uniqueCount="70">
  <si>
    <t xml:space="preserve">% Nuclear NFAT translocation </t>
  </si>
  <si>
    <t xml:space="preserve">Repeat 1 </t>
  </si>
  <si>
    <t xml:space="preserve">Repeat 2 </t>
  </si>
  <si>
    <t>Datapoints plotted in box plot</t>
  </si>
  <si>
    <t>Scr shRNA</t>
  </si>
  <si>
    <t>STX11 shRNA</t>
  </si>
  <si>
    <t>Control</t>
  </si>
  <si>
    <t>Stimulated</t>
  </si>
  <si>
    <t xml:space="preserve">Control unstimulated </t>
  </si>
  <si>
    <t>anti-CD3 stimulated</t>
  </si>
  <si>
    <t>ddCt</t>
  </si>
  <si>
    <t>2^(-ddCt)</t>
  </si>
  <si>
    <t>IL-2</t>
  </si>
  <si>
    <t>Beta-actin</t>
  </si>
  <si>
    <t>Cq1</t>
  </si>
  <si>
    <t>Cq2</t>
  </si>
  <si>
    <t>Cq3</t>
  </si>
  <si>
    <t>Normalized Ct (Datapoint plotted)</t>
  </si>
  <si>
    <t>Datapoints plotted in bar plot is in bold</t>
  </si>
  <si>
    <t>Standard Concentration (pg/ml)</t>
  </si>
  <si>
    <t>Well 1</t>
  </si>
  <si>
    <t>Well 2</t>
  </si>
  <si>
    <t>Well 3</t>
  </si>
  <si>
    <t>Average</t>
  </si>
  <si>
    <t>Background subtracted</t>
  </si>
  <si>
    <t>ln(x) = (y-0.163)/0.049</t>
  </si>
  <si>
    <t>ln(x)/2.303</t>
  </si>
  <si>
    <t>x</t>
  </si>
  <si>
    <t>Stimulation time point</t>
  </si>
  <si>
    <t>Groups</t>
  </si>
  <si>
    <t>12 hrs</t>
  </si>
  <si>
    <t>Control unstimulated</t>
  </si>
  <si>
    <t>24 hrs</t>
  </si>
  <si>
    <t>HD</t>
  </si>
  <si>
    <t>ddCT [CT stimulated - CT unstimulated]</t>
  </si>
  <si>
    <t>2^-ddCT</t>
  </si>
  <si>
    <t>Normalized to HD Values</t>
  </si>
  <si>
    <t xml:space="preserve">Standard error </t>
  </si>
  <si>
    <t xml:space="preserve">Data points plotted in bar plot  </t>
  </si>
  <si>
    <t>Control Unstimulated</t>
  </si>
  <si>
    <t>a-CD3 stimulated</t>
  </si>
  <si>
    <t>PMA + Ionomycin stimulated</t>
  </si>
  <si>
    <t>unstimulated groups</t>
  </si>
  <si>
    <t>IL-2 (average)</t>
  </si>
  <si>
    <t>-</t>
  </si>
  <si>
    <t>b-actin (average)</t>
  </si>
  <si>
    <t>b-actin</t>
  </si>
  <si>
    <t>Figure 4D</t>
  </si>
  <si>
    <t>Figure 4E</t>
  </si>
  <si>
    <t>Figure 4F</t>
  </si>
  <si>
    <t>WT</t>
  </si>
  <si>
    <t>FHLH4</t>
  </si>
  <si>
    <t xml:space="preserve">% CD8+ CD107+ cells </t>
  </si>
  <si>
    <t>Stained Unstimulated</t>
  </si>
  <si>
    <t xml:space="preserve">anti-CD3 stimulated </t>
  </si>
  <si>
    <t xml:space="preserve">PMA &amp; Ionomycin Stimulated </t>
  </si>
  <si>
    <t xml:space="preserve">PMA &amp; Ionomycin stimulated </t>
  </si>
  <si>
    <t>Repeat 1</t>
  </si>
  <si>
    <t>Repeat 2</t>
  </si>
  <si>
    <t>Figure 4H</t>
  </si>
  <si>
    <t>Figure 4C</t>
  </si>
  <si>
    <t>Repeat 3</t>
  </si>
  <si>
    <t>Unstimulated (normalized to beta-actin)</t>
  </si>
  <si>
    <t>anti-CD3 stimulated (normalized to beta-actin)</t>
  </si>
  <si>
    <t>(Standard Curve) Absorbance at 450 nm</t>
  </si>
  <si>
    <t>Stimulated-Control (datapoints plotted)</t>
  </si>
  <si>
    <t xml:space="preserve">FHLH4 sample </t>
  </si>
  <si>
    <t xml:space="preserve">IL-2 CT values </t>
  </si>
  <si>
    <t>CTE ((IL-2)-(beta-actin) CT value)) of stimulated groups</t>
  </si>
  <si>
    <t>CTC (IL-2-betaactin CT value))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</si>
</sst>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484848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/>
    <xf numFmtId="0" fontId="2" fillId="0" borderId="12" xfId="0" applyFont="1" applyBorder="1" applyAlignment="1">
      <alignment horizontal="center" wrapText="1"/>
    </xf>
    <xf numFmtId="0" fontId="2" fillId="0" borderId="13" xfId="0" applyFont="1" applyBorder="1"/>
    <xf numFmtId="0" fontId="2" fillId="0" borderId="12" xfId="0" applyFont="1" applyBorder="1"/>
    <xf numFmtId="0" fontId="0" fillId="0" borderId="13" xfId="0" applyBorder="1"/>
    <xf numFmtId="0" fontId="0" fillId="0" borderId="12" xfId="0" applyBorder="1"/>
    <xf numFmtId="0" fontId="2" fillId="0" borderId="15" xfId="0" applyFont="1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6" fillId="0" borderId="13" xfId="0" applyFont="1" applyBorder="1"/>
    <xf numFmtId="0" fontId="1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Standard Curve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0.11451746398804061"/>
                  <c:y val="-0.1814021834225507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[1]Sheet1!$A$5:$A$12</c:f>
              <c:numCache>
                <c:formatCode>General</c:formatCode>
                <c:ptCount val="8"/>
                <c:pt idx="0">
                  <c:v>2000</c:v>
                </c:pt>
                <c:pt idx="1">
                  <c:v>1000</c:v>
                </c:pt>
                <c:pt idx="2">
                  <c:v>500</c:v>
                </c:pt>
                <c:pt idx="3">
                  <c:v>250</c:v>
                </c:pt>
                <c:pt idx="4">
                  <c:v>125</c:v>
                </c:pt>
                <c:pt idx="5">
                  <c:v>62.5</c:v>
                </c:pt>
                <c:pt idx="6">
                  <c:v>31.25</c:v>
                </c:pt>
                <c:pt idx="7">
                  <c:v>15.6</c:v>
                </c:pt>
              </c:numCache>
            </c:numRef>
          </c:xVal>
          <c:yVal>
            <c:numRef>
              <c:f>[1]Sheet1!$F$5:$F$12</c:f>
              <c:numCache>
                <c:formatCode>General</c:formatCode>
                <c:ptCount val="8"/>
                <c:pt idx="0">
                  <c:v>0.51166699999999998</c:v>
                </c:pt>
                <c:pt idx="1">
                  <c:v>0.50000033333333338</c:v>
                </c:pt>
                <c:pt idx="2">
                  <c:v>0.47100033333333341</c:v>
                </c:pt>
                <c:pt idx="3">
                  <c:v>0.45666699999999999</c:v>
                </c:pt>
                <c:pt idx="4">
                  <c:v>0.41900033333333331</c:v>
                </c:pt>
                <c:pt idx="5">
                  <c:v>0.38500033333333328</c:v>
                </c:pt>
                <c:pt idx="6">
                  <c:v>0.29666700000000001</c:v>
                </c:pt>
                <c:pt idx="7">
                  <c:v>0.29166700000000001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030-41C2-AAF3-D451201EB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5457744"/>
        <c:axId val="525458288"/>
      </c:scatterChart>
      <c:valAx>
        <c:axId val="525457744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Concentration (pg/ml)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5458288"/>
        <c:crosses val="autoZero"/>
        <c:crossBetween val="midCat"/>
      </c:valAx>
      <c:valAx>
        <c:axId val="525458288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Absorbance</a:t>
                </a:r>
                <a:r>
                  <a:rPr lang="en-US" baseline="0"/>
                  <a:t> at 450nm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5457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77787</xdr:colOff>
      <xdr:row>13</xdr:row>
      <xdr:rowOff>454422</xdr:rowOff>
    </xdr:from>
    <xdr:to>
      <xdr:col>6</xdr:col>
      <xdr:colOff>614758</xdr:colOff>
      <xdr:row>28</xdr:row>
      <xdr:rowOff>86122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8029CE5E-A88D-15DE-21D4-7441FC86D9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V%20lab/STX11%20Final%20Figures/Paper_2026/Raw%20data%20files/Figure%203/Figure%203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A5">
            <v>2000</v>
          </cell>
          <cell r="F5">
            <v>0.51166699999999998</v>
          </cell>
        </row>
        <row r="6">
          <cell r="A6">
            <v>1000</v>
          </cell>
          <cell r="F6">
            <v>0.50000033333333338</v>
          </cell>
        </row>
        <row r="7">
          <cell r="A7">
            <v>500</v>
          </cell>
          <cell r="F7">
            <v>0.47100033333333341</v>
          </cell>
        </row>
        <row r="8">
          <cell r="A8">
            <v>250</v>
          </cell>
          <cell r="F8">
            <v>0.45666699999999999</v>
          </cell>
        </row>
        <row r="9">
          <cell r="A9">
            <v>125</v>
          </cell>
          <cell r="F9">
            <v>0.41900033333333331</v>
          </cell>
        </row>
        <row r="10">
          <cell r="A10">
            <v>62.5</v>
          </cell>
          <cell r="F10">
            <v>0.38500033333333328</v>
          </cell>
        </row>
        <row r="11">
          <cell r="A11">
            <v>31.25</v>
          </cell>
          <cell r="F11">
            <v>0.29666700000000001</v>
          </cell>
        </row>
        <row r="12">
          <cell r="A12">
            <v>15.6</v>
          </cell>
          <cell r="F12">
            <v>0.29166700000000001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selection activeCell="E3" sqref="E3"/>
    </sheetView>
  </sheetViews>
  <sheetFormatPr defaultRowHeight="14.4" x14ac:dyDescent="0.3"/>
  <cols>
    <col min="2" max="2" width="10.88671875" customWidth="1"/>
    <col min="4" max="4" width="10.5546875" customWidth="1"/>
    <col min="8" max="8" width="10.88671875" customWidth="1"/>
    <col min="10" max="10" width="10" customWidth="1"/>
    <col min="12" max="12" width="10.21875" customWidth="1"/>
    <col min="14" max="14" width="10.44140625" customWidth="1"/>
  </cols>
  <sheetData>
    <row r="1" spans="1:22" ht="18" x14ac:dyDescent="0.35">
      <c r="A1" s="60" t="s">
        <v>60</v>
      </c>
      <c r="B1" s="60"/>
    </row>
    <row r="2" spans="1:22" x14ac:dyDescent="0.3">
      <c r="A2" s="62" t="s">
        <v>0</v>
      </c>
      <c r="B2" s="62"/>
      <c r="C2" s="62"/>
      <c r="D2" s="62"/>
      <c r="G2" s="39" t="s">
        <v>1</v>
      </c>
      <c r="H2" s="39"/>
      <c r="I2" s="39"/>
      <c r="J2" s="39"/>
      <c r="K2" s="39" t="s">
        <v>2</v>
      </c>
      <c r="L2" s="39"/>
      <c r="M2" s="39"/>
      <c r="N2" s="39"/>
      <c r="O2" s="39" t="s">
        <v>61</v>
      </c>
      <c r="P2" s="39"/>
      <c r="Q2" s="39"/>
      <c r="R2" s="39"/>
      <c r="S2" s="63"/>
      <c r="T2" s="63"/>
      <c r="U2" s="63"/>
      <c r="V2" s="63"/>
    </row>
    <row r="3" spans="1:22" x14ac:dyDescent="0.3">
      <c r="A3" s="39" t="s">
        <v>3</v>
      </c>
      <c r="B3" s="39"/>
      <c r="C3" s="39"/>
      <c r="D3" s="39"/>
      <c r="G3" s="39" t="s">
        <v>4</v>
      </c>
      <c r="H3" s="39"/>
      <c r="I3" s="39" t="s">
        <v>5</v>
      </c>
      <c r="J3" s="39"/>
      <c r="K3" s="39" t="s">
        <v>4</v>
      </c>
      <c r="L3" s="39"/>
      <c r="M3" s="39" t="s">
        <v>5</v>
      </c>
      <c r="N3" s="39"/>
      <c r="O3" s="39" t="s">
        <v>4</v>
      </c>
      <c r="P3" s="39"/>
      <c r="Q3" s="39" t="s">
        <v>5</v>
      </c>
      <c r="R3" s="39"/>
      <c r="S3" s="63"/>
      <c r="T3" s="63"/>
      <c r="U3" s="63"/>
      <c r="V3" s="63"/>
    </row>
    <row r="4" spans="1:22" x14ac:dyDescent="0.3">
      <c r="A4" s="39" t="s">
        <v>4</v>
      </c>
      <c r="B4" s="39"/>
      <c r="C4" s="39" t="s">
        <v>5</v>
      </c>
      <c r="D4" s="39"/>
      <c r="G4" s="1" t="s">
        <v>6</v>
      </c>
      <c r="H4" s="1" t="s">
        <v>7</v>
      </c>
      <c r="I4" s="1" t="s">
        <v>6</v>
      </c>
      <c r="J4" s="1" t="s">
        <v>7</v>
      </c>
      <c r="K4" s="1" t="s">
        <v>6</v>
      </c>
      <c r="L4" s="1" t="s">
        <v>7</v>
      </c>
      <c r="M4" s="1" t="s">
        <v>6</v>
      </c>
      <c r="N4" s="1" t="s">
        <v>7</v>
      </c>
      <c r="O4" s="1" t="s">
        <v>6</v>
      </c>
      <c r="P4" s="1" t="s">
        <v>7</v>
      </c>
      <c r="Q4" s="1" t="s">
        <v>6</v>
      </c>
      <c r="R4" s="1" t="s">
        <v>7</v>
      </c>
      <c r="S4" s="1"/>
      <c r="T4" s="1"/>
      <c r="U4" s="1"/>
      <c r="V4" s="1"/>
    </row>
    <row r="5" spans="1:22" x14ac:dyDescent="0.3">
      <c r="A5" s="1" t="s">
        <v>6</v>
      </c>
      <c r="B5" s="1" t="s">
        <v>7</v>
      </c>
      <c r="C5" s="1" t="s">
        <v>6</v>
      </c>
      <c r="D5" s="1" t="s">
        <v>7</v>
      </c>
      <c r="G5">
        <v>32.188200000000002</v>
      </c>
      <c r="H5">
        <v>58.987259999999999</v>
      </c>
      <c r="I5">
        <v>31.186630000000001</v>
      </c>
      <c r="J5">
        <v>33.178719999999998</v>
      </c>
      <c r="K5">
        <v>42.111910000000002</v>
      </c>
      <c r="L5">
        <v>61.27655</v>
      </c>
      <c r="M5">
        <v>42.62726</v>
      </c>
      <c r="N5">
        <v>25.68375</v>
      </c>
      <c r="O5">
        <v>23.12847</v>
      </c>
      <c r="P5" s="31">
        <v>74.445830000000001</v>
      </c>
      <c r="Q5" s="31">
        <v>17.162489999999998</v>
      </c>
      <c r="R5" s="31">
        <v>14.91255</v>
      </c>
    </row>
    <row r="6" spans="1:22" x14ac:dyDescent="0.3">
      <c r="A6" s="31">
        <v>28.811199999999999</v>
      </c>
      <c r="B6" s="31">
        <v>86.511690000000002</v>
      </c>
      <c r="C6" s="31">
        <v>21.096029999999999</v>
      </c>
      <c r="D6" s="31">
        <v>25.757149999999999</v>
      </c>
      <c r="G6">
        <v>20.421279999999999</v>
      </c>
      <c r="H6">
        <v>59.896009999999997</v>
      </c>
      <c r="I6">
        <v>33.405329999999999</v>
      </c>
      <c r="J6">
        <v>40.367469999999997</v>
      </c>
      <c r="K6">
        <v>48.019620000000003</v>
      </c>
      <c r="L6">
        <v>66.273139999999998</v>
      </c>
      <c r="M6">
        <v>51.350050000000003</v>
      </c>
      <c r="N6">
        <v>35.231099999999998</v>
      </c>
      <c r="O6">
        <v>34.794759999999997</v>
      </c>
      <c r="P6" s="31">
        <v>87.111930000000001</v>
      </c>
      <c r="Q6" s="31">
        <v>21.372540000000001</v>
      </c>
      <c r="R6" s="31">
        <v>30.163129999999999</v>
      </c>
    </row>
    <row r="7" spans="1:22" x14ac:dyDescent="0.3">
      <c r="A7" s="31">
        <v>43.123910000000002</v>
      </c>
      <c r="B7" s="31">
        <v>72.877799999999993</v>
      </c>
      <c r="C7" s="31">
        <v>25.28819</v>
      </c>
      <c r="D7" s="31">
        <v>22.424849999999999</v>
      </c>
      <c r="G7">
        <v>33.173949999999998</v>
      </c>
      <c r="H7">
        <v>62.208770000000001</v>
      </c>
      <c r="I7">
        <v>32.176589999999997</v>
      </c>
      <c r="J7">
        <v>28.527550000000002</v>
      </c>
      <c r="K7">
        <v>51.835909999999998</v>
      </c>
      <c r="L7">
        <v>47.602620000000002</v>
      </c>
      <c r="M7">
        <v>37.429760000000002</v>
      </c>
      <c r="N7">
        <v>27.855619999999998</v>
      </c>
      <c r="O7">
        <v>31.487660000000002</v>
      </c>
      <c r="P7" s="31">
        <v>51.652650000000001</v>
      </c>
      <c r="Q7" s="31">
        <v>15.217499999999999</v>
      </c>
      <c r="R7" s="31">
        <v>27.26774</v>
      </c>
    </row>
    <row r="8" spans="1:22" x14ac:dyDescent="0.3">
      <c r="A8" s="31">
        <v>29.155480000000001</v>
      </c>
      <c r="B8" s="31">
        <v>36.967219999999998</v>
      </c>
      <c r="C8" s="31">
        <v>33.770389999999999</v>
      </c>
      <c r="D8" s="31">
        <v>45.911830000000002</v>
      </c>
      <c r="G8">
        <v>39.126609999999999</v>
      </c>
      <c r="H8">
        <v>64.379260000000002</v>
      </c>
      <c r="I8">
        <v>24.012779999999999</v>
      </c>
      <c r="J8">
        <v>24.48911</v>
      </c>
      <c r="K8">
        <v>42.867080000000001</v>
      </c>
      <c r="L8">
        <v>49.042450000000002</v>
      </c>
      <c r="M8">
        <v>34.95908</v>
      </c>
      <c r="N8">
        <v>27.855619999999998</v>
      </c>
      <c r="O8">
        <v>49.082320000000003</v>
      </c>
      <c r="P8" s="31">
        <v>86.438119999999998</v>
      </c>
      <c r="Q8" s="31">
        <v>17.89124</v>
      </c>
      <c r="R8" s="31">
        <v>21.752300000000002</v>
      </c>
    </row>
    <row r="9" spans="1:22" x14ac:dyDescent="0.3">
      <c r="A9" s="31">
        <v>29.125630000000001</v>
      </c>
      <c r="B9" s="31">
        <v>79.313130000000001</v>
      </c>
      <c r="C9" s="31">
        <v>19.616199999999999</v>
      </c>
      <c r="D9" s="31">
        <v>14.96218</v>
      </c>
      <c r="G9">
        <v>29.954239999999999</v>
      </c>
      <c r="H9">
        <v>62.810519999999997</v>
      </c>
      <c r="I9">
        <v>36.387569999999997</v>
      </c>
      <c r="J9">
        <v>34.950609999999998</v>
      </c>
      <c r="K9">
        <v>46.567219999999999</v>
      </c>
      <c r="L9">
        <v>61.6997</v>
      </c>
      <c r="M9">
        <v>44.118450000000003</v>
      </c>
      <c r="N9">
        <v>28.840420000000002</v>
      </c>
      <c r="O9">
        <v>22.98771</v>
      </c>
      <c r="P9" s="31">
        <v>50.716050000000003</v>
      </c>
      <c r="Q9" s="31">
        <v>22.024740000000001</v>
      </c>
      <c r="R9" s="31">
        <v>12.06011</v>
      </c>
    </row>
    <row r="10" spans="1:22" x14ac:dyDescent="0.3">
      <c r="A10" s="31">
        <v>34.484560000000002</v>
      </c>
      <c r="B10" s="31">
        <v>51.56221</v>
      </c>
      <c r="C10" s="31">
        <v>17.935269999999999</v>
      </c>
      <c r="D10" s="31">
        <v>21.132180000000002</v>
      </c>
      <c r="G10">
        <v>37.452089999999998</v>
      </c>
      <c r="H10">
        <v>56.272790000000001</v>
      </c>
      <c r="I10">
        <v>27.150929999999999</v>
      </c>
      <c r="J10">
        <v>25.462980000000002</v>
      </c>
      <c r="K10">
        <v>31.225560000000002</v>
      </c>
      <c r="L10">
        <v>63.96217</v>
      </c>
      <c r="M10">
        <v>36.53586</v>
      </c>
      <c r="N10">
        <v>25.724679999999999</v>
      </c>
      <c r="O10">
        <v>30.19595</v>
      </c>
      <c r="P10" s="31">
        <v>88.301310000000001</v>
      </c>
      <c r="Q10" s="31">
        <v>22.1219</v>
      </c>
      <c r="R10" s="31">
        <v>17.425329999999999</v>
      </c>
    </row>
    <row r="11" spans="1:22" x14ac:dyDescent="0.3">
      <c r="A11" s="31">
        <v>31.656479999999998</v>
      </c>
      <c r="B11" s="31">
        <v>43.899459999999998</v>
      </c>
      <c r="C11" s="31">
        <v>18.058630000000001</v>
      </c>
      <c r="D11" s="31">
        <v>19.081669999999999</v>
      </c>
      <c r="G11">
        <v>44.531260000000003</v>
      </c>
      <c r="H11">
        <v>64.544579999999996</v>
      </c>
      <c r="I11">
        <v>20.852319999999999</v>
      </c>
      <c r="J11">
        <v>25.322399999999998</v>
      </c>
      <c r="K11">
        <v>35.04128</v>
      </c>
      <c r="L11">
        <v>66.76952</v>
      </c>
      <c r="M11">
        <v>25.64536</v>
      </c>
      <c r="N11">
        <v>35.676810000000003</v>
      </c>
      <c r="O11">
        <v>22.323740000000001</v>
      </c>
      <c r="P11" s="31">
        <v>59.242249999999999</v>
      </c>
      <c r="Q11" s="31">
        <v>13.05048</v>
      </c>
      <c r="R11" s="31">
        <v>32.876800000000003</v>
      </c>
    </row>
    <row r="12" spans="1:22" x14ac:dyDescent="0.3">
      <c r="A12" s="31">
        <v>23.12847</v>
      </c>
      <c r="B12" s="31">
        <v>74.445830000000001</v>
      </c>
      <c r="C12" s="31">
        <v>17.162489999999998</v>
      </c>
      <c r="D12" s="31">
        <v>14.91255</v>
      </c>
      <c r="G12">
        <v>31.738880000000002</v>
      </c>
      <c r="H12">
        <v>62.309890000000003</v>
      </c>
      <c r="I12">
        <v>32.479939999999999</v>
      </c>
      <c r="J12">
        <v>30.891539999999999</v>
      </c>
      <c r="K12">
        <v>28.811199999999999</v>
      </c>
      <c r="L12">
        <v>41.095480000000002</v>
      </c>
      <c r="M12">
        <v>19.7652</v>
      </c>
      <c r="N12" s="31">
        <v>25.757149999999999</v>
      </c>
      <c r="O12">
        <v>31.767469999999999</v>
      </c>
      <c r="P12" s="31">
        <v>84.367919999999998</v>
      </c>
      <c r="Q12" s="31">
        <v>16.38693</v>
      </c>
      <c r="R12" s="31">
        <v>45.833460000000002</v>
      </c>
    </row>
    <row r="13" spans="1:22" x14ac:dyDescent="0.3">
      <c r="A13" s="31">
        <v>34.794759999999997</v>
      </c>
      <c r="B13" s="31">
        <v>87.111930000000001</v>
      </c>
      <c r="C13" s="31">
        <v>21.372540000000001</v>
      </c>
      <c r="D13" s="31">
        <v>30.163129999999999</v>
      </c>
      <c r="G13">
        <v>40.228499999999997</v>
      </c>
      <c r="H13">
        <v>64.231769999999997</v>
      </c>
      <c r="I13">
        <v>30.176110000000001</v>
      </c>
      <c r="J13">
        <v>28.229410000000001</v>
      </c>
      <c r="K13">
        <v>43.123910000000002</v>
      </c>
      <c r="L13">
        <v>62.671169999999996</v>
      </c>
      <c r="M13">
        <v>21.927800000000001</v>
      </c>
      <c r="N13" s="31">
        <v>22.424849999999999</v>
      </c>
      <c r="O13">
        <v>41.696570000000001</v>
      </c>
      <c r="P13" s="31">
        <v>42.164720000000003</v>
      </c>
      <c r="Q13" s="31">
        <v>19.51887</v>
      </c>
      <c r="R13" s="31">
        <v>15.12252</v>
      </c>
    </row>
    <row r="14" spans="1:22" x14ac:dyDescent="0.3">
      <c r="A14" s="31">
        <v>31.487660000000002</v>
      </c>
      <c r="B14" s="31">
        <v>51.652650000000001</v>
      </c>
      <c r="C14" s="31">
        <v>15.217499999999999</v>
      </c>
      <c r="D14" s="31">
        <v>27.26774</v>
      </c>
      <c r="G14">
        <v>41.597760000000001</v>
      </c>
      <c r="H14">
        <v>58.57009</v>
      </c>
      <c r="I14">
        <v>24.44397</v>
      </c>
      <c r="J14">
        <v>32.473649999999999</v>
      </c>
      <c r="K14">
        <v>29.155480000000001</v>
      </c>
      <c r="L14">
        <v>54.020440000000001</v>
      </c>
      <c r="M14" s="31">
        <v>21.096029999999999</v>
      </c>
      <c r="N14" s="31">
        <v>45.911830000000002</v>
      </c>
      <c r="O14">
        <v>35.482349999999997</v>
      </c>
      <c r="P14" s="31">
        <v>69.90119</v>
      </c>
      <c r="Q14" s="31">
        <v>23.407319999999999</v>
      </c>
      <c r="R14" s="31">
        <v>12.438879999999999</v>
      </c>
    </row>
    <row r="15" spans="1:22" x14ac:dyDescent="0.3">
      <c r="A15" s="31">
        <v>49.082320000000003</v>
      </c>
      <c r="B15" s="31">
        <v>86.438119999999998</v>
      </c>
      <c r="C15" s="31">
        <v>17.89124</v>
      </c>
      <c r="D15" s="31">
        <v>21.752300000000002</v>
      </c>
      <c r="G15">
        <v>20.421279999999999</v>
      </c>
      <c r="H15">
        <v>53.790550000000003</v>
      </c>
      <c r="I15">
        <v>32.423020000000001</v>
      </c>
      <c r="J15">
        <v>23.36411</v>
      </c>
      <c r="K15">
        <v>29.125630000000001</v>
      </c>
      <c r="L15">
        <v>64.065730000000002</v>
      </c>
      <c r="M15" s="31">
        <v>25.28819</v>
      </c>
      <c r="N15" s="31">
        <v>14.96218</v>
      </c>
      <c r="O15">
        <v>22.745650000000001</v>
      </c>
      <c r="P15" s="31">
        <v>60.047910000000002</v>
      </c>
      <c r="Q15" s="31">
        <v>19.064080000000001</v>
      </c>
      <c r="R15" s="31">
        <v>17.056570000000001</v>
      </c>
    </row>
    <row r="16" spans="1:22" x14ac:dyDescent="0.3">
      <c r="A16" s="31">
        <v>22.98771</v>
      </c>
      <c r="B16" s="31">
        <v>50.716050000000003</v>
      </c>
      <c r="C16" s="31">
        <v>22.024740000000001</v>
      </c>
      <c r="D16" s="31">
        <v>12.06011</v>
      </c>
      <c r="G16">
        <v>33.173949999999998</v>
      </c>
      <c r="H16">
        <v>73.019090000000006</v>
      </c>
      <c r="I16">
        <v>27.847180000000002</v>
      </c>
      <c r="J16">
        <v>27.261019999999998</v>
      </c>
      <c r="K16">
        <v>34.484560000000002</v>
      </c>
      <c r="L16">
        <v>47.233420000000002</v>
      </c>
      <c r="M16" s="31">
        <v>33.770389999999999</v>
      </c>
      <c r="N16" s="31">
        <v>21.132180000000002</v>
      </c>
      <c r="O16">
        <v>38.25844</v>
      </c>
      <c r="P16" s="31">
        <v>84.186629999999994</v>
      </c>
      <c r="Q16" s="31">
        <v>20.73067</v>
      </c>
      <c r="R16" s="31">
        <v>19.615079999999999</v>
      </c>
    </row>
    <row r="17" spans="1:18" x14ac:dyDescent="0.3">
      <c r="A17" s="31">
        <v>30.19595</v>
      </c>
      <c r="B17" s="31">
        <v>88.301310000000001</v>
      </c>
      <c r="C17" s="31">
        <v>22.1219</v>
      </c>
      <c r="D17" s="31">
        <v>17.425329999999999</v>
      </c>
      <c r="G17">
        <v>43.164160000000003</v>
      </c>
      <c r="H17">
        <v>61.604419999999998</v>
      </c>
      <c r="I17">
        <v>21.78069</v>
      </c>
      <c r="J17">
        <v>14.014290000000001</v>
      </c>
      <c r="K17">
        <v>31.656479999999998</v>
      </c>
      <c r="L17">
        <v>70.923310000000001</v>
      </c>
      <c r="M17" s="31">
        <v>19.616199999999999</v>
      </c>
      <c r="N17" s="31">
        <v>19.081669999999999</v>
      </c>
      <c r="O17">
        <v>29.291219999999999</v>
      </c>
      <c r="P17" s="31">
        <v>52.222230000000003</v>
      </c>
      <c r="Q17" s="31">
        <v>13.486370000000001</v>
      </c>
      <c r="R17" s="31">
        <v>62.595469999999999</v>
      </c>
    </row>
    <row r="18" spans="1:18" x14ac:dyDescent="0.3">
      <c r="A18" s="31">
        <v>22.323740000000001</v>
      </c>
      <c r="B18" s="31">
        <v>59.242249999999999</v>
      </c>
      <c r="C18" s="31">
        <v>13.05048</v>
      </c>
      <c r="D18">
        <v>32.876800000000003</v>
      </c>
      <c r="G18">
        <v>33.21904</v>
      </c>
      <c r="H18">
        <v>57.845739999999999</v>
      </c>
      <c r="I18">
        <v>25.668310000000002</v>
      </c>
      <c r="J18">
        <v>31.998989999999999</v>
      </c>
      <c r="L18" s="31">
        <v>86.511690000000002</v>
      </c>
      <c r="M18" s="31">
        <v>17.935269999999999</v>
      </c>
      <c r="O18">
        <v>14.911580000000001</v>
      </c>
      <c r="P18" s="31">
        <v>58.474969999999999</v>
      </c>
      <c r="Q18" s="31"/>
      <c r="R18" s="31">
        <v>56.2986</v>
      </c>
    </row>
    <row r="19" spans="1:18" x14ac:dyDescent="0.3">
      <c r="A19" s="31">
        <v>31.767469999999999</v>
      </c>
      <c r="B19" s="31">
        <v>84.367919999999998</v>
      </c>
      <c r="C19" s="31">
        <v>16.38693</v>
      </c>
      <c r="D19" s="31">
        <v>45.833460000000002</v>
      </c>
      <c r="G19">
        <v>45.993519999999997</v>
      </c>
      <c r="H19">
        <v>66.636719999999997</v>
      </c>
      <c r="I19">
        <v>23.71679</v>
      </c>
      <c r="L19" s="31">
        <v>72.877799999999993</v>
      </c>
      <c r="M19" s="31">
        <v>18.058630000000001</v>
      </c>
      <c r="P19" s="31"/>
      <c r="Q19" s="31"/>
      <c r="R19" s="31">
        <v>55.300849999999997</v>
      </c>
    </row>
    <row r="20" spans="1:18" x14ac:dyDescent="0.3">
      <c r="A20" s="31">
        <v>41.696570000000001</v>
      </c>
      <c r="B20" s="31">
        <v>42.164720000000003</v>
      </c>
      <c r="C20" s="31">
        <v>19.51887</v>
      </c>
      <c r="D20" s="31">
        <v>15.12252</v>
      </c>
      <c r="H20">
        <v>57.12764</v>
      </c>
      <c r="I20">
        <v>28.247209999999999</v>
      </c>
      <c r="L20" s="31">
        <v>36.967219999999998</v>
      </c>
    </row>
    <row r="21" spans="1:18" x14ac:dyDescent="0.3">
      <c r="A21" s="31">
        <v>35.482349999999997</v>
      </c>
      <c r="B21" s="31">
        <v>69.90119</v>
      </c>
      <c r="C21" s="31">
        <v>23.407319999999999</v>
      </c>
      <c r="D21" s="31">
        <v>12.438879999999999</v>
      </c>
      <c r="H21">
        <v>63.837409999999998</v>
      </c>
      <c r="I21">
        <v>37.851930000000003</v>
      </c>
      <c r="L21" s="31">
        <v>79.313130000000001</v>
      </c>
    </row>
    <row r="22" spans="1:18" x14ac:dyDescent="0.3">
      <c r="A22" s="31">
        <v>22.745650000000001</v>
      </c>
      <c r="B22" s="31">
        <v>60.047910000000002</v>
      </c>
      <c r="C22" s="31">
        <v>19.064080000000001</v>
      </c>
      <c r="D22" s="31">
        <v>17.056570000000001</v>
      </c>
      <c r="H22">
        <v>67.960049999999995</v>
      </c>
      <c r="L22" s="31">
        <v>51.56221</v>
      </c>
    </row>
    <row r="23" spans="1:18" x14ac:dyDescent="0.3">
      <c r="A23" s="31">
        <v>38.25844</v>
      </c>
      <c r="B23" s="31">
        <v>84.186629999999994</v>
      </c>
      <c r="C23" s="31">
        <v>20.73067</v>
      </c>
      <c r="D23" s="31">
        <v>19.615079999999999</v>
      </c>
      <c r="H23">
        <v>53.16348</v>
      </c>
      <c r="L23" s="31">
        <v>43.899459999999998</v>
      </c>
    </row>
    <row r="24" spans="1:18" x14ac:dyDescent="0.3">
      <c r="A24" s="31">
        <v>29.291219999999999</v>
      </c>
      <c r="B24" s="31">
        <v>52.222230000000003</v>
      </c>
      <c r="C24" s="31">
        <v>13.486370000000001</v>
      </c>
      <c r="D24" s="31">
        <v>62.595469999999999</v>
      </c>
    </row>
    <row r="25" spans="1:18" x14ac:dyDescent="0.3">
      <c r="A25" s="31">
        <v>14.911580000000001</v>
      </c>
      <c r="B25" s="31">
        <v>58.474969999999999</v>
      </c>
      <c r="C25" s="31">
        <v>31.186630000000001</v>
      </c>
      <c r="D25" s="31">
        <v>56.2986</v>
      </c>
    </row>
    <row r="26" spans="1:18" x14ac:dyDescent="0.3">
      <c r="A26">
        <v>32.188200000000002</v>
      </c>
      <c r="B26">
        <v>58.987259999999999</v>
      </c>
      <c r="C26">
        <v>33.405329999999999</v>
      </c>
      <c r="D26" s="31">
        <v>55.300849999999997</v>
      </c>
    </row>
    <row r="27" spans="1:18" x14ac:dyDescent="0.3">
      <c r="A27">
        <v>20.421279999999999</v>
      </c>
      <c r="B27">
        <v>59.896009999999997</v>
      </c>
      <c r="C27">
        <v>32.176589999999997</v>
      </c>
      <c r="D27">
        <v>33.178719999999998</v>
      </c>
    </row>
    <row r="28" spans="1:18" x14ac:dyDescent="0.3">
      <c r="A28">
        <v>33.173949999999998</v>
      </c>
      <c r="B28">
        <v>62.208770000000001</v>
      </c>
      <c r="C28">
        <v>24.012779999999999</v>
      </c>
      <c r="D28">
        <v>40.367469999999997</v>
      </c>
    </row>
    <row r="29" spans="1:18" x14ac:dyDescent="0.3">
      <c r="A29">
        <v>39.126609999999999</v>
      </c>
      <c r="B29">
        <v>64.379260000000002</v>
      </c>
      <c r="C29">
        <v>36.387569999999997</v>
      </c>
      <c r="D29">
        <v>28.527550000000002</v>
      </c>
    </row>
    <row r="30" spans="1:18" x14ac:dyDescent="0.3">
      <c r="A30">
        <v>29.954239999999999</v>
      </c>
      <c r="B30">
        <v>62.810519999999997</v>
      </c>
      <c r="C30">
        <v>27.150929999999999</v>
      </c>
      <c r="D30">
        <v>24.48911</v>
      </c>
    </row>
    <row r="31" spans="1:18" x14ac:dyDescent="0.3">
      <c r="A31">
        <v>37.452089999999998</v>
      </c>
      <c r="B31">
        <v>56.272790000000001</v>
      </c>
      <c r="C31">
        <v>20.852319999999999</v>
      </c>
      <c r="D31">
        <v>34.950609999999998</v>
      </c>
    </row>
    <row r="32" spans="1:18" x14ac:dyDescent="0.3">
      <c r="A32">
        <v>44.531260000000003</v>
      </c>
      <c r="B32">
        <v>64.544579999999996</v>
      </c>
      <c r="C32">
        <v>32.479939999999999</v>
      </c>
      <c r="D32">
        <v>25.462980000000002</v>
      </c>
    </row>
    <row r="33" spans="1:4" x14ac:dyDescent="0.3">
      <c r="A33">
        <v>31.738880000000002</v>
      </c>
      <c r="B33">
        <v>62.309890000000003</v>
      </c>
      <c r="C33">
        <v>30.176110000000001</v>
      </c>
      <c r="D33">
        <v>25.322399999999998</v>
      </c>
    </row>
    <row r="34" spans="1:4" x14ac:dyDescent="0.3">
      <c r="A34">
        <v>40.228499999999997</v>
      </c>
      <c r="B34">
        <v>64.231769999999997</v>
      </c>
      <c r="C34">
        <v>24.44397</v>
      </c>
      <c r="D34">
        <v>30.891539999999999</v>
      </c>
    </row>
    <row r="35" spans="1:4" x14ac:dyDescent="0.3">
      <c r="A35">
        <v>41.597760000000001</v>
      </c>
      <c r="B35">
        <v>58.57009</v>
      </c>
      <c r="C35">
        <v>32.423020000000001</v>
      </c>
      <c r="D35">
        <v>28.229410000000001</v>
      </c>
    </row>
    <row r="36" spans="1:4" x14ac:dyDescent="0.3">
      <c r="A36">
        <v>20.421279999999999</v>
      </c>
      <c r="B36">
        <v>53.790550000000003</v>
      </c>
      <c r="C36">
        <v>27.847180000000002</v>
      </c>
      <c r="D36">
        <v>32.473649999999999</v>
      </c>
    </row>
    <row r="37" spans="1:4" x14ac:dyDescent="0.3">
      <c r="A37">
        <v>33.173949999999998</v>
      </c>
      <c r="B37">
        <v>73.019090000000006</v>
      </c>
      <c r="C37">
        <v>21.78069</v>
      </c>
      <c r="D37">
        <v>23.36411</v>
      </c>
    </row>
    <row r="38" spans="1:4" x14ac:dyDescent="0.3">
      <c r="A38">
        <v>43.164160000000003</v>
      </c>
      <c r="B38">
        <v>61.604419999999998</v>
      </c>
      <c r="C38">
        <v>25.668310000000002</v>
      </c>
      <c r="D38">
        <v>27.261019999999998</v>
      </c>
    </row>
    <row r="39" spans="1:4" x14ac:dyDescent="0.3">
      <c r="A39">
        <v>33.21904</v>
      </c>
      <c r="B39">
        <v>57.845739999999999</v>
      </c>
      <c r="C39">
        <v>23.71679</v>
      </c>
      <c r="D39">
        <v>14.014290000000001</v>
      </c>
    </row>
    <row r="40" spans="1:4" x14ac:dyDescent="0.3">
      <c r="A40">
        <v>45.993519999999997</v>
      </c>
      <c r="B40">
        <v>66.636719999999997</v>
      </c>
      <c r="C40">
        <v>28.247209999999999</v>
      </c>
      <c r="D40">
        <v>31.998989999999999</v>
      </c>
    </row>
    <row r="41" spans="1:4" x14ac:dyDescent="0.3">
      <c r="A41">
        <v>42.111910000000002</v>
      </c>
      <c r="B41">
        <v>57.12764</v>
      </c>
      <c r="C41">
        <v>37.851930000000003</v>
      </c>
      <c r="D41">
        <v>25.68375</v>
      </c>
    </row>
    <row r="42" spans="1:4" x14ac:dyDescent="0.3">
      <c r="A42">
        <v>48.019620000000003</v>
      </c>
      <c r="B42">
        <v>63.837409999999998</v>
      </c>
      <c r="C42">
        <v>42.62726</v>
      </c>
      <c r="D42">
        <v>35.231099999999998</v>
      </c>
    </row>
    <row r="43" spans="1:4" x14ac:dyDescent="0.3">
      <c r="A43">
        <v>51.835909999999998</v>
      </c>
      <c r="B43">
        <v>67.960049999999995</v>
      </c>
      <c r="C43">
        <v>51.350050000000003</v>
      </c>
      <c r="D43">
        <v>27.855619999999998</v>
      </c>
    </row>
    <row r="44" spans="1:4" x14ac:dyDescent="0.3">
      <c r="A44">
        <v>42.867080000000001</v>
      </c>
      <c r="B44">
        <v>53.16348</v>
      </c>
      <c r="C44">
        <v>37.429760000000002</v>
      </c>
      <c r="D44">
        <v>27.855619999999998</v>
      </c>
    </row>
    <row r="45" spans="1:4" x14ac:dyDescent="0.3">
      <c r="A45">
        <v>46.567219999999999</v>
      </c>
      <c r="B45">
        <v>61.27655</v>
      </c>
      <c r="C45">
        <v>34.95908</v>
      </c>
      <c r="D45">
        <v>28.840420000000002</v>
      </c>
    </row>
    <row r="46" spans="1:4" x14ac:dyDescent="0.3">
      <c r="A46">
        <v>31.225560000000002</v>
      </c>
      <c r="B46">
        <v>66.273139999999998</v>
      </c>
      <c r="C46">
        <v>44.118450000000003</v>
      </c>
      <c r="D46">
        <v>25.724679999999999</v>
      </c>
    </row>
    <row r="47" spans="1:4" x14ac:dyDescent="0.3">
      <c r="A47">
        <v>35.04128</v>
      </c>
      <c r="B47">
        <v>47.602620000000002</v>
      </c>
      <c r="C47">
        <v>36.53586</v>
      </c>
      <c r="D47">
        <v>35.676810000000003</v>
      </c>
    </row>
    <row r="48" spans="1:4" x14ac:dyDescent="0.3">
      <c r="B48">
        <v>49.042450000000002</v>
      </c>
      <c r="C48">
        <v>25.64536</v>
      </c>
    </row>
    <row r="49" spans="2:3" x14ac:dyDescent="0.3">
      <c r="B49">
        <v>61.6997</v>
      </c>
      <c r="C49">
        <v>19.7652</v>
      </c>
    </row>
    <row r="50" spans="2:3" x14ac:dyDescent="0.3">
      <c r="B50">
        <v>63.96217</v>
      </c>
      <c r="C50">
        <v>21.927800000000001</v>
      </c>
    </row>
    <row r="51" spans="2:3" x14ac:dyDescent="0.3">
      <c r="B51">
        <v>66.76952</v>
      </c>
    </row>
    <row r="52" spans="2:3" x14ac:dyDescent="0.3">
      <c r="B52">
        <v>41.095480000000002</v>
      </c>
    </row>
    <row r="53" spans="2:3" x14ac:dyDescent="0.3">
      <c r="B53">
        <v>62.671169999999996</v>
      </c>
    </row>
    <row r="54" spans="2:3" x14ac:dyDescent="0.3">
      <c r="B54">
        <v>54.020440000000001</v>
      </c>
    </row>
    <row r="55" spans="2:3" x14ac:dyDescent="0.3">
      <c r="B55">
        <v>64.065730000000002</v>
      </c>
    </row>
    <row r="56" spans="2:3" x14ac:dyDescent="0.3">
      <c r="B56">
        <v>47.233420000000002</v>
      </c>
    </row>
    <row r="57" spans="2:3" x14ac:dyDescent="0.3">
      <c r="B57">
        <v>70.923310000000001</v>
      </c>
    </row>
  </sheetData>
  <mergeCells count="14">
    <mergeCell ref="O3:P3"/>
    <mergeCell ref="Q3:R3"/>
    <mergeCell ref="A4:B4"/>
    <mergeCell ref="C4:D4"/>
    <mergeCell ref="A1:B1"/>
    <mergeCell ref="A3:D3"/>
    <mergeCell ref="O2:R2"/>
    <mergeCell ref="A2:D2"/>
    <mergeCell ref="G2:J2"/>
    <mergeCell ref="K2:N2"/>
    <mergeCell ref="G3:H3"/>
    <mergeCell ref="I3:J3"/>
    <mergeCell ref="K3:L3"/>
    <mergeCell ref="M3:N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="90" zoomScaleNormal="90" workbookViewId="0">
      <selection activeCell="I17" sqref="I17"/>
    </sheetView>
  </sheetViews>
  <sheetFormatPr defaultRowHeight="14.4" x14ac:dyDescent="0.3"/>
  <cols>
    <col min="10" max="10" width="13" customWidth="1"/>
    <col min="11" max="11" width="12.88671875" customWidth="1"/>
    <col min="14" max="14" width="16.21875" customWidth="1"/>
  </cols>
  <sheetData>
    <row r="1" spans="1:14" ht="18" x14ac:dyDescent="0.35">
      <c r="A1" s="3" t="s">
        <v>47</v>
      </c>
    </row>
    <row r="2" spans="1:14" ht="18" x14ac:dyDescent="0.35">
      <c r="A2" s="3"/>
      <c r="C2" s="61" t="s">
        <v>4</v>
      </c>
      <c r="D2" s="61"/>
      <c r="E2" s="61" t="s">
        <v>5</v>
      </c>
      <c r="F2" s="61"/>
    </row>
    <row r="3" spans="1:14" ht="57.6" x14ac:dyDescent="0.35">
      <c r="C3" s="5" t="s">
        <v>31</v>
      </c>
      <c r="D3" s="6" t="s">
        <v>9</v>
      </c>
      <c r="E3" s="5" t="s">
        <v>8</v>
      </c>
      <c r="F3" s="6" t="s">
        <v>9</v>
      </c>
      <c r="J3" s="5" t="s">
        <v>62</v>
      </c>
      <c r="K3" s="6" t="s">
        <v>63</v>
      </c>
      <c r="L3" s="1" t="s">
        <v>10</v>
      </c>
      <c r="M3" s="1" t="s">
        <v>11</v>
      </c>
      <c r="N3" s="16" t="s">
        <v>17</v>
      </c>
    </row>
    <row r="4" spans="1:14" x14ac:dyDescent="0.3">
      <c r="A4" s="40" t="s">
        <v>12</v>
      </c>
      <c r="B4" s="13" t="s">
        <v>14</v>
      </c>
      <c r="C4" s="8">
        <v>38.119999999999997</v>
      </c>
      <c r="D4" s="8">
        <v>32.700000000000003</v>
      </c>
      <c r="E4" s="8">
        <v>36.89</v>
      </c>
      <c r="F4" s="9">
        <v>34.450000000000003</v>
      </c>
      <c r="H4" s="40" t="s">
        <v>4</v>
      </c>
      <c r="I4" s="13" t="s">
        <v>14</v>
      </c>
      <c r="J4" s="8">
        <f>C4-C7</f>
        <v>18.939999999999998</v>
      </c>
      <c r="K4" s="8">
        <f>D4-D7</f>
        <v>14.190000000000001</v>
      </c>
      <c r="L4" s="8">
        <f>K4-J4</f>
        <v>-4.7499999999999964</v>
      </c>
      <c r="M4" s="9">
        <f>2^(-L4)</f>
        <v>26.908685288118793</v>
      </c>
      <c r="N4" s="1">
        <f>(M4/28.05138)*100</f>
        <v>95.926422472330387</v>
      </c>
    </row>
    <row r="5" spans="1:14" x14ac:dyDescent="0.3">
      <c r="A5" s="41"/>
      <c r="B5" s="14" t="s">
        <v>15</v>
      </c>
      <c r="C5">
        <v>37.79</v>
      </c>
      <c r="D5">
        <v>32.270000000000003</v>
      </c>
      <c r="E5">
        <v>35.15</v>
      </c>
      <c r="F5" s="10">
        <v>32.1</v>
      </c>
      <c r="H5" s="41"/>
      <c r="I5" s="14" t="s">
        <v>15</v>
      </c>
      <c r="J5">
        <f t="shared" ref="J5:J6" si="0">C5-C8</f>
        <v>19.27</v>
      </c>
      <c r="K5">
        <f>D5-D8</f>
        <v>14.460000000000004</v>
      </c>
      <c r="L5">
        <f t="shared" ref="L5:L9" si="1">K5-J5</f>
        <v>-4.8099999999999952</v>
      </c>
      <c r="M5" s="10">
        <f t="shared" ref="M5:M9" si="2">2^(-L5)</f>
        <v>28.051383082113031</v>
      </c>
      <c r="N5" s="1">
        <f>(M5/28.05138)*100</f>
        <v>100.00001098738468</v>
      </c>
    </row>
    <row r="6" spans="1:14" x14ac:dyDescent="0.3">
      <c r="A6" s="42"/>
      <c r="B6" s="15" t="s">
        <v>16</v>
      </c>
      <c r="C6" s="11">
        <v>37.954999999999998</v>
      </c>
      <c r="D6" s="11">
        <v>32.484999999999999</v>
      </c>
      <c r="E6" s="11">
        <v>36.019999999999996</v>
      </c>
      <c r="F6" s="12">
        <v>33.275000000000006</v>
      </c>
      <c r="H6" s="42"/>
      <c r="I6" s="15" t="s">
        <v>16</v>
      </c>
      <c r="J6" s="11">
        <f t="shared" si="0"/>
        <v>19.104999999999997</v>
      </c>
      <c r="K6" s="11">
        <f>D6-D9</f>
        <v>14.324999999999999</v>
      </c>
      <c r="L6" s="11">
        <f t="shared" si="1"/>
        <v>-4.7799999999999976</v>
      </c>
      <c r="M6" s="12">
        <f t="shared" si="2"/>
        <v>27.47409396600807</v>
      </c>
      <c r="N6" s="1">
        <f t="shared" ref="N6:N9" si="3">(M6/28.05138)*100</f>
        <v>97.942040519960401</v>
      </c>
    </row>
    <row r="7" spans="1:14" x14ac:dyDescent="0.3">
      <c r="A7" s="43" t="s">
        <v>13</v>
      </c>
      <c r="B7" s="13" t="s">
        <v>14</v>
      </c>
      <c r="C7" s="8">
        <v>19.18</v>
      </c>
      <c r="D7" s="8">
        <v>18.510000000000002</v>
      </c>
      <c r="E7" s="8">
        <v>18.04</v>
      </c>
      <c r="F7" s="9">
        <v>18.600000000000001</v>
      </c>
      <c r="H7" s="43" t="s">
        <v>5</v>
      </c>
      <c r="I7" s="13" t="s">
        <v>14</v>
      </c>
      <c r="J7" s="8">
        <f>E4-E7</f>
        <v>18.850000000000001</v>
      </c>
      <c r="K7" s="8">
        <f>F4-F7</f>
        <v>15.850000000000001</v>
      </c>
      <c r="L7" s="8">
        <f t="shared" si="1"/>
        <v>-3</v>
      </c>
      <c r="M7" s="9">
        <f t="shared" si="2"/>
        <v>8</v>
      </c>
      <c r="N7" s="1">
        <f t="shared" si="3"/>
        <v>28.519096030213127</v>
      </c>
    </row>
    <row r="8" spans="1:14" x14ac:dyDescent="0.3">
      <c r="A8" s="44"/>
      <c r="B8" s="14" t="s">
        <v>15</v>
      </c>
      <c r="C8">
        <v>18.52</v>
      </c>
      <c r="D8">
        <v>17.809999999999999</v>
      </c>
      <c r="E8">
        <v>17.68</v>
      </c>
      <c r="F8" s="10">
        <v>17.920000000000002</v>
      </c>
      <c r="H8" s="44"/>
      <c r="I8" s="14" t="s">
        <v>15</v>
      </c>
      <c r="J8">
        <f t="shared" ref="J8:K9" si="4">E5-E8</f>
        <v>17.47</v>
      </c>
      <c r="K8">
        <f t="shared" si="4"/>
        <v>14.18</v>
      </c>
      <c r="L8">
        <f t="shared" si="1"/>
        <v>-3.2899999999999991</v>
      </c>
      <c r="M8" s="10">
        <f t="shared" si="2"/>
        <v>9.7811222215365401</v>
      </c>
      <c r="N8" s="1">
        <f t="shared" si="3"/>
        <v>34.868595489906518</v>
      </c>
    </row>
    <row r="9" spans="1:14" x14ac:dyDescent="0.3">
      <c r="A9" s="45"/>
      <c r="B9" s="15" t="s">
        <v>16</v>
      </c>
      <c r="C9" s="11">
        <v>18.850000000000001</v>
      </c>
      <c r="D9" s="11">
        <v>18.16</v>
      </c>
      <c r="E9" s="11">
        <v>17.86</v>
      </c>
      <c r="F9" s="12">
        <v>18.260000000000002</v>
      </c>
      <c r="H9" s="45"/>
      <c r="I9" s="15" t="s">
        <v>16</v>
      </c>
      <c r="J9" s="11">
        <f t="shared" si="4"/>
        <v>18.159999999999997</v>
      </c>
      <c r="K9" s="11">
        <f t="shared" si="4"/>
        <v>15.015000000000004</v>
      </c>
      <c r="L9" s="11">
        <f t="shared" si="1"/>
        <v>-3.1449999999999925</v>
      </c>
      <c r="M9" s="12">
        <f t="shared" si="2"/>
        <v>8.8458452265621048</v>
      </c>
      <c r="N9" s="1">
        <f t="shared" si="3"/>
        <v>31.534438685590882</v>
      </c>
    </row>
  </sheetData>
  <mergeCells count="6">
    <mergeCell ref="A4:A6"/>
    <mergeCell ref="H4:H6"/>
    <mergeCell ref="A7:A9"/>
    <mergeCell ref="H7:H9"/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opLeftCell="L1" zoomScale="60" zoomScaleNormal="60" workbookViewId="0">
      <selection activeCell="AD5" sqref="AD5"/>
    </sheetView>
  </sheetViews>
  <sheetFormatPr defaultRowHeight="14.4" x14ac:dyDescent="0.3"/>
  <cols>
    <col min="1" max="1" width="16.44140625" customWidth="1"/>
    <col min="6" max="6" width="11.77734375" bestFit="1" customWidth="1"/>
    <col min="7" max="7" width="11.77734375" customWidth="1"/>
    <col min="17" max="20" width="14.33203125" customWidth="1"/>
  </cols>
  <sheetData>
    <row r="1" spans="1:32" ht="25.8" x14ac:dyDescent="0.5">
      <c r="A1" s="34" t="s">
        <v>48</v>
      </c>
    </row>
    <row r="2" spans="1:32" ht="15.6" x14ac:dyDescent="0.3">
      <c r="A2" s="17" t="s">
        <v>18</v>
      </c>
    </row>
    <row r="3" spans="1:32" ht="15" thickBot="1" x14ac:dyDescent="0.35">
      <c r="A3" s="1"/>
      <c r="B3" s="39" t="s">
        <v>64</v>
      </c>
      <c r="C3" s="39"/>
      <c r="D3" s="39"/>
      <c r="E3" s="39"/>
      <c r="F3" s="39"/>
      <c r="G3" s="4"/>
    </row>
    <row r="4" spans="1:32" ht="43.2" x14ac:dyDescent="0.3">
      <c r="A4" s="5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7" t="s">
        <v>24</v>
      </c>
      <c r="G4" s="7"/>
      <c r="H4" s="49" t="s">
        <v>5</v>
      </c>
      <c r="I4" s="50"/>
      <c r="J4" s="50"/>
      <c r="K4" s="50"/>
      <c r="L4" s="50"/>
      <c r="M4" s="51"/>
      <c r="N4" s="49" t="s">
        <v>25</v>
      </c>
      <c r="O4" s="50"/>
      <c r="P4" s="50"/>
      <c r="Q4" s="51"/>
      <c r="R4" s="49" t="s">
        <v>26</v>
      </c>
      <c r="S4" s="50"/>
      <c r="T4" s="50"/>
      <c r="U4" s="51"/>
      <c r="V4" s="49" t="s">
        <v>27</v>
      </c>
      <c r="W4" s="50"/>
      <c r="X4" s="50"/>
      <c r="Y4" s="51"/>
      <c r="Z4" s="46" t="s">
        <v>65</v>
      </c>
      <c r="AA4" s="47"/>
      <c r="AB4" s="48"/>
      <c r="AC4" s="64"/>
      <c r="AD4" s="1"/>
      <c r="AE4" s="1"/>
      <c r="AF4" s="1"/>
    </row>
    <row r="5" spans="1:32" ht="83.4" customHeight="1" x14ac:dyDescent="0.3">
      <c r="A5">
        <v>2000</v>
      </c>
      <c r="B5">
        <v>0.57099999999999995</v>
      </c>
      <c r="C5">
        <v>0.51900000000000002</v>
      </c>
      <c r="D5">
        <v>0.57499999999999996</v>
      </c>
      <c r="E5">
        <f>AVERAGE(B5:D5)</f>
        <v>0.55499999999999994</v>
      </c>
      <c r="F5">
        <f>(E5-0.043333)</f>
        <v>0.51166699999999998</v>
      </c>
      <c r="H5" s="18" t="s">
        <v>28</v>
      </c>
      <c r="I5" s="1" t="s">
        <v>29</v>
      </c>
      <c r="J5" s="1" t="s">
        <v>20</v>
      </c>
      <c r="K5" s="1" t="s">
        <v>21</v>
      </c>
      <c r="L5" s="1" t="s">
        <v>22</v>
      </c>
      <c r="M5" s="19" t="s">
        <v>23</v>
      </c>
      <c r="N5" s="20" t="s">
        <v>20</v>
      </c>
      <c r="O5" s="1" t="s">
        <v>21</v>
      </c>
      <c r="P5" s="1" t="s">
        <v>22</v>
      </c>
      <c r="Q5" s="19" t="s">
        <v>23</v>
      </c>
      <c r="R5" s="20" t="s">
        <v>20</v>
      </c>
      <c r="S5" s="1" t="s">
        <v>21</v>
      </c>
      <c r="T5" s="1" t="s">
        <v>22</v>
      </c>
      <c r="U5" s="19" t="s">
        <v>23</v>
      </c>
      <c r="V5" s="20" t="s">
        <v>20</v>
      </c>
      <c r="W5" s="1" t="s">
        <v>21</v>
      </c>
      <c r="X5" s="1" t="s">
        <v>22</v>
      </c>
      <c r="Y5" s="19" t="s">
        <v>23</v>
      </c>
      <c r="Z5" s="65" t="s">
        <v>20</v>
      </c>
      <c r="AA5" s="65" t="s">
        <v>21</v>
      </c>
      <c r="AB5" s="19" t="s">
        <v>22</v>
      </c>
      <c r="AE5" s="1"/>
    </row>
    <row r="6" spans="1:32" ht="43.2" x14ac:dyDescent="0.3">
      <c r="A6">
        <v>1000</v>
      </c>
      <c r="B6">
        <v>0.56799999999999995</v>
      </c>
      <c r="C6">
        <v>0.54200000000000004</v>
      </c>
      <c r="D6">
        <v>0.52</v>
      </c>
      <c r="E6">
        <f t="shared" ref="E6:E13" si="0">AVERAGE(B6:D6)</f>
        <v>0.54333333333333333</v>
      </c>
      <c r="F6">
        <f t="shared" ref="F6:F12" si="1">(E6-0.043333)</f>
        <v>0.50000033333333338</v>
      </c>
      <c r="H6" s="52" t="s">
        <v>30</v>
      </c>
      <c r="I6" s="7" t="s">
        <v>31</v>
      </c>
      <c r="J6">
        <v>0.497</v>
      </c>
      <c r="K6">
        <v>0.51900000000000002</v>
      </c>
      <c r="L6">
        <v>0.51100000000000001</v>
      </c>
      <c r="M6" s="21">
        <f>AVERAGE(J6:L6)</f>
        <v>0.50900000000000001</v>
      </c>
      <c r="N6" s="22">
        <f t="shared" ref="N6:Q9" si="2">(J6-0.163)/0.049</f>
        <v>6.816326530612244</v>
      </c>
      <c r="O6">
        <f t="shared" si="2"/>
        <v>7.2653061224489788</v>
      </c>
      <c r="P6">
        <f t="shared" si="2"/>
        <v>7.1020408163265296</v>
      </c>
      <c r="Q6" s="21">
        <f t="shared" si="2"/>
        <v>7.0612244897959178</v>
      </c>
      <c r="R6" s="22">
        <f t="shared" ref="R6:U9" si="3">(N6/2.303)</f>
        <v>2.9597596746036667</v>
      </c>
      <c r="S6">
        <f t="shared" si="3"/>
        <v>3.1547139046673811</v>
      </c>
      <c r="T6">
        <f t="shared" si="3"/>
        <v>3.0838214573714851</v>
      </c>
      <c r="U6" s="21">
        <f t="shared" si="3"/>
        <v>3.0660983455475113</v>
      </c>
      <c r="V6" s="22">
        <v>911.5</v>
      </c>
      <c r="W6">
        <v>1427.9</v>
      </c>
      <c r="X6">
        <v>1212.8900000000001</v>
      </c>
      <c r="Y6" s="21">
        <f>1164.38</f>
        <v>1164.3800000000001</v>
      </c>
      <c r="Z6" s="67">
        <f>(V7-V6)</f>
        <v>431.66000000000008</v>
      </c>
      <c r="AA6" s="67">
        <f>(W7-W6)</f>
        <v>633.77999999999975</v>
      </c>
      <c r="AB6" s="68">
        <f>(X7-X6)</f>
        <v>1024.1200000000001</v>
      </c>
    </row>
    <row r="7" spans="1:32" ht="43.2" x14ac:dyDescent="0.3">
      <c r="A7">
        <v>500</v>
      </c>
      <c r="B7">
        <v>0.47899999999999998</v>
      </c>
      <c r="C7">
        <v>0.55200000000000005</v>
      </c>
      <c r="D7">
        <v>0.51200000000000001</v>
      </c>
      <c r="E7">
        <f t="shared" si="0"/>
        <v>0.51433333333333342</v>
      </c>
      <c r="F7">
        <f t="shared" si="1"/>
        <v>0.47100033333333341</v>
      </c>
      <c r="H7" s="52"/>
      <c r="I7" s="7" t="s">
        <v>9</v>
      </c>
      <c r="J7">
        <v>0.51600000000000001</v>
      </c>
      <c r="K7">
        <v>0.53700000000000003</v>
      </c>
      <c r="L7">
        <v>0.54100000000000004</v>
      </c>
      <c r="M7" s="21">
        <f t="shared" ref="M7:M9" si="4">AVERAGE(J7:L7)</f>
        <v>0.53133333333333332</v>
      </c>
      <c r="N7" s="22">
        <f t="shared" si="2"/>
        <v>7.2040816326530601</v>
      </c>
      <c r="O7">
        <f t="shared" si="2"/>
        <v>7.6326530612244898</v>
      </c>
      <c r="P7">
        <f t="shared" si="2"/>
        <v>7.7142857142857144</v>
      </c>
      <c r="Q7" s="21">
        <f t="shared" si="2"/>
        <v>7.5170068027210872</v>
      </c>
      <c r="R7" s="22">
        <f t="shared" si="3"/>
        <v>3.1281292369314202</v>
      </c>
      <c r="S7">
        <f t="shared" si="3"/>
        <v>3.3142219110831479</v>
      </c>
      <c r="T7">
        <f t="shared" si="3"/>
        <v>3.3496681347310964</v>
      </c>
      <c r="U7" s="21">
        <f t="shared" si="3"/>
        <v>3.2640064275818879</v>
      </c>
      <c r="V7" s="22">
        <v>1343.16</v>
      </c>
      <c r="W7">
        <v>2061.6799999999998</v>
      </c>
      <c r="X7">
        <v>2237.0100000000002</v>
      </c>
      <c r="Y7" s="21">
        <f>1836.56</f>
        <v>1836.56</v>
      </c>
      <c r="Z7" s="67"/>
      <c r="AA7" s="67"/>
      <c r="AB7" s="68"/>
    </row>
    <row r="8" spans="1:32" ht="43.2" x14ac:dyDescent="0.3">
      <c r="A8">
        <v>250</v>
      </c>
      <c r="B8">
        <v>0.52800000000000002</v>
      </c>
      <c r="C8">
        <v>0.44500000000000001</v>
      </c>
      <c r="D8">
        <v>0.52700000000000002</v>
      </c>
      <c r="E8">
        <f t="shared" si="0"/>
        <v>0.5</v>
      </c>
      <c r="F8">
        <f t="shared" si="1"/>
        <v>0.45666699999999999</v>
      </c>
      <c r="H8" s="52" t="s">
        <v>32</v>
      </c>
      <c r="I8" s="7" t="s">
        <v>31</v>
      </c>
      <c r="J8">
        <v>0.48899999999999999</v>
      </c>
      <c r="K8">
        <v>0.44600000000000001</v>
      </c>
      <c r="L8">
        <v>0.53200000000000003</v>
      </c>
      <c r="M8" s="21">
        <f t="shared" si="4"/>
        <v>0.48900000000000005</v>
      </c>
      <c r="N8" s="22">
        <f t="shared" si="2"/>
        <v>6.6530612244897949</v>
      </c>
      <c r="O8">
        <f t="shared" si="2"/>
        <v>5.7755102040816331</v>
      </c>
      <c r="P8">
        <f t="shared" si="2"/>
        <v>7.5306122448979584</v>
      </c>
      <c r="Q8" s="21">
        <f t="shared" si="2"/>
        <v>6.6530612244897966</v>
      </c>
      <c r="R8" s="22">
        <f t="shared" si="3"/>
        <v>2.8888672273077702</v>
      </c>
      <c r="S8">
        <f t="shared" si="3"/>
        <v>2.5078203230923286</v>
      </c>
      <c r="T8">
        <f t="shared" si="3"/>
        <v>3.2699141315232128</v>
      </c>
      <c r="U8" s="21">
        <f t="shared" si="3"/>
        <v>2.8888672273077711</v>
      </c>
      <c r="V8" s="22">
        <v>774.22</v>
      </c>
      <c r="W8">
        <v>321.89999999999998</v>
      </c>
      <c r="X8">
        <v>1861</v>
      </c>
      <c r="Y8" s="21">
        <f>774.225</f>
        <v>774.22500000000002</v>
      </c>
      <c r="Z8" s="67">
        <f>(V9-V8)</f>
        <v>743.86999999999989</v>
      </c>
      <c r="AA8" s="67">
        <f>(W9-W8)</f>
        <v>1325.29</v>
      </c>
      <c r="AB8" s="68">
        <f>(X9-X8)</f>
        <v>772.65999999999985</v>
      </c>
    </row>
    <row r="9" spans="1:32" ht="43.8" thickBot="1" x14ac:dyDescent="0.35">
      <c r="A9">
        <v>125</v>
      </c>
      <c r="B9">
        <v>0.48799999999999999</v>
      </c>
      <c r="C9">
        <v>0.41899999999999998</v>
      </c>
      <c r="D9">
        <v>0.48</v>
      </c>
      <c r="E9">
        <f t="shared" si="0"/>
        <v>0.46233333333333332</v>
      </c>
      <c r="F9">
        <f t="shared" si="1"/>
        <v>0.41900033333333331</v>
      </c>
      <c r="H9" s="53"/>
      <c r="I9" s="23" t="s">
        <v>9</v>
      </c>
      <c r="J9" s="24">
        <v>0.52200000000000002</v>
      </c>
      <c r="K9" s="24">
        <v>0.52600000000000002</v>
      </c>
      <c r="L9" s="24">
        <v>0.54900000000000004</v>
      </c>
      <c r="M9" s="25">
        <f t="shared" si="4"/>
        <v>0.53233333333333333</v>
      </c>
      <c r="N9" s="26">
        <f t="shared" si="2"/>
        <v>7.3265306122448974</v>
      </c>
      <c r="O9" s="24">
        <f t="shared" si="2"/>
        <v>7.408163265306122</v>
      </c>
      <c r="P9" s="24">
        <f t="shared" si="2"/>
        <v>7.8775510204081636</v>
      </c>
      <c r="Q9" s="25">
        <f t="shared" si="2"/>
        <v>7.5374149659863932</v>
      </c>
      <c r="R9" s="26">
        <f t="shared" si="3"/>
        <v>3.1812985724033425</v>
      </c>
      <c r="S9" s="24">
        <f t="shared" si="3"/>
        <v>3.2167447960512905</v>
      </c>
      <c r="T9" s="24">
        <f t="shared" si="3"/>
        <v>3.4205605820269924</v>
      </c>
      <c r="U9" s="25">
        <f t="shared" si="3"/>
        <v>3.2728679834938745</v>
      </c>
      <c r="V9" s="26">
        <v>1518.09</v>
      </c>
      <c r="W9" s="24">
        <f>1647.19</f>
        <v>1647.19</v>
      </c>
      <c r="X9" s="24">
        <v>2633.66</v>
      </c>
      <c r="Y9" s="25">
        <f>1624.9</f>
        <v>1624.9</v>
      </c>
      <c r="Z9" s="54"/>
      <c r="AA9" s="54"/>
      <c r="AB9" s="69"/>
    </row>
    <row r="10" spans="1:32" ht="15" thickBot="1" x14ac:dyDescent="0.35">
      <c r="A10">
        <v>62.5</v>
      </c>
      <c r="B10">
        <v>0.40799999999999997</v>
      </c>
      <c r="C10">
        <v>0.41599999999999998</v>
      </c>
      <c r="D10">
        <v>0.46100000000000002</v>
      </c>
      <c r="E10">
        <f t="shared" si="0"/>
        <v>0.42833333333333329</v>
      </c>
      <c r="F10">
        <f t="shared" si="1"/>
        <v>0.38500033333333328</v>
      </c>
    </row>
    <row r="11" spans="1:32" ht="14.4" customHeight="1" x14ac:dyDescent="0.3">
      <c r="A11">
        <v>31.25</v>
      </c>
      <c r="B11">
        <v>0.32800000000000001</v>
      </c>
      <c r="C11">
        <v>0.34499999999999997</v>
      </c>
      <c r="D11">
        <v>0.34699999999999998</v>
      </c>
      <c r="E11">
        <f t="shared" si="0"/>
        <v>0.34</v>
      </c>
      <c r="F11">
        <f t="shared" si="1"/>
        <v>0.29666700000000001</v>
      </c>
      <c r="H11" s="49" t="s">
        <v>4</v>
      </c>
      <c r="I11" s="50"/>
      <c r="J11" s="50"/>
      <c r="K11" s="50"/>
      <c r="L11" s="50"/>
      <c r="M11" s="51"/>
      <c r="N11" s="49" t="s">
        <v>25</v>
      </c>
      <c r="O11" s="50"/>
      <c r="P11" s="50"/>
      <c r="Q11" s="51"/>
      <c r="R11" s="49" t="s">
        <v>26</v>
      </c>
      <c r="S11" s="50"/>
      <c r="T11" s="50"/>
      <c r="U11" s="51"/>
      <c r="V11" s="49" t="s">
        <v>27</v>
      </c>
      <c r="W11" s="50"/>
      <c r="X11" s="50"/>
      <c r="Y11" s="51"/>
      <c r="Z11" s="47"/>
      <c r="AA11" s="47"/>
      <c r="AB11" s="48"/>
      <c r="AC11" s="64"/>
    </row>
    <row r="12" spans="1:32" ht="43.2" x14ac:dyDescent="0.3">
      <c r="A12">
        <v>15.6</v>
      </c>
      <c r="B12">
        <v>0.33100000000000002</v>
      </c>
      <c r="C12">
        <v>0.33600000000000002</v>
      </c>
      <c r="D12">
        <v>0.33800000000000002</v>
      </c>
      <c r="E12">
        <f t="shared" si="0"/>
        <v>0.33500000000000002</v>
      </c>
      <c r="F12">
        <f t="shared" si="1"/>
        <v>0.29166700000000001</v>
      </c>
      <c r="H12" s="18" t="s">
        <v>28</v>
      </c>
      <c r="I12" s="1" t="s">
        <v>29</v>
      </c>
      <c r="J12" s="1" t="s">
        <v>20</v>
      </c>
      <c r="K12" s="1" t="s">
        <v>21</v>
      </c>
      <c r="L12" s="1" t="s">
        <v>22</v>
      </c>
      <c r="M12" s="19" t="s">
        <v>23</v>
      </c>
      <c r="N12" s="20" t="s">
        <v>20</v>
      </c>
      <c r="O12" s="1" t="s">
        <v>21</v>
      </c>
      <c r="P12" s="1" t="s">
        <v>22</v>
      </c>
      <c r="Q12" s="19" t="s">
        <v>23</v>
      </c>
      <c r="R12" s="20" t="s">
        <v>20</v>
      </c>
      <c r="S12" s="1" t="s">
        <v>21</v>
      </c>
      <c r="T12" s="1" t="s">
        <v>22</v>
      </c>
      <c r="U12" s="19" t="s">
        <v>23</v>
      </c>
      <c r="V12" s="20" t="s">
        <v>20</v>
      </c>
      <c r="W12" s="1" t="s">
        <v>21</v>
      </c>
      <c r="X12" s="1" t="s">
        <v>22</v>
      </c>
      <c r="Y12" s="27"/>
      <c r="Z12" s="65" t="s">
        <v>20</v>
      </c>
      <c r="AA12" s="65" t="s">
        <v>21</v>
      </c>
      <c r="AB12" s="19" t="s">
        <v>22</v>
      </c>
      <c r="AC12" s="65"/>
    </row>
    <row r="13" spans="1:32" ht="43.2" x14ac:dyDescent="0.3">
      <c r="A13">
        <v>0</v>
      </c>
      <c r="B13">
        <v>4.2999999999999997E-2</v>
      </c>
      <c r="C13">
        <v>4.2000000000000003E-2</v>
      </c>
      <c r="D13">
        <v>4.4999999999999998E-2</v>
      </c>
      <c r="E13">
        <f t="shared" si="0"/>
        <v>4.3333333333333335E-2</v>
      </c>
      <c r="F13">
        <f>(E13-E13)</f>
        <v>0</v>
      </c>
      <c r="H13" s="52" t="s">
        <v>30</v>
      </c>
      <c r="I13" s="7" t="s">
        <v>31</v>
      </c>
      <c r="J13">
        <v>0.52200000000000002</v>
      </c>
      <c r="K13">
        <v>0.54</v>
      </c>
      <c r="L13">
        <v>0.52400000000000002</v>
      </c>
      <c r="M13" s="21">
        <f>AVERAGE(J13:L13)</f>
        <v>0.52866666666666673</v>
      </c>
      <c r="N13" s="22">
        <f t="shared" ref="N13:Q16" si="5">(J13-0.163)/0.049</f>
        <v>7.3265306122448974</v>
      </c>
      <c r="O13">
        <f t="shared" si="5"/>
        <v>7.6938775510204076</v>
      </c>
      <c r="P13">
        <f t="shared" si="5"/>
        <v>7.3673469387755093</v>
      </c>
      <c r="Q13" s="21">
        <f t="shared" si="5"/>
        <v>7.462585034013606</v>
      </c>
      <c r="R13" s="22">
        <f t="shared" ref="R13:U16" si="6">(N13/2.303)</f>
        <v>3.1812985724033425</v>
      </c>
      <c r="S13">
        <f t="shared" si="6"/>
        <v>3.3408065788191088</v>
      </c>
      <c r="T13">
        <f t="shared" si="6"/>
        <v>3.1990216842273163</v>
      </c>
      <c r="U13" s="21">
        <f t="shared" si="6"/>
        <v>3.2403756118165896</v>
      </c>
      <c r="V13" s="22">
        <v>1518</v>
      </c>
      <c r="W13">
        <v>2191</v>
      </c>
      <c r="X13">
        <v>1581.32</v>
      </c>
      <c r="Y13" s="21">
        <f>1739.3</f>
        <v>1739.3</v>
      </c>
      <c r="Z13" s="67">
        <f>(V14-V13)</f>
        <v>4318.6099999999997</v>
      </c>
      <c r="AA13" s="67">
        <f>(W14-W13)</f>
        <v>2106.71</v>
      </c>
      <c r="AB13" s="68">
        <f>(X14-X13)</f>
        <v>8139.43</v>
      </c>
      <c r="AC13" s="66"/>
    </row>
    <row r="14" spans="1:32" ht="43.2" x14ac:dyDescent="0.3">
      <c r="H14" s="52"/>
      <c r="I14" s="7" t="s">
        <v>9</v>
      </c>
      <c r="J14">
        <v>0.58799999999999997</v>
      </c>
      <c r="K14">
        <v>0.57299999999999995</v>
      </c>
      <c r="L14">
        <v>0.61299999999999999</v>
      </c>
      <c r="M14" s="21">
        <f t="shared" ref="M14:M15" si="7">AVERAGE(J14:L14)</f>
        <v>0.59133333333333338</v>
      </c>
      <c r="N14" s="22">
        <f t="shared" si="5"/>
        <v>8.6734693877550999</v>
      </c>
      <c r="O14">
        <f t="shared" si="5"/>
        <v>8.3673469387755084</v>
      </c>
      <c r="P14">
        <f t="shared" si="5"/>
        <v>9.1836734693877542</v>
      </c>
      <c r="Q14" s="21">
        <f t="shared" si="5"/>
        <v>8.7414965986394559</v>
      </c>
      <c r="R14" s="22">
        <f t="shared" si="6"/>
        <v>3.7661612625944856</v>
      </c>
      <c r="S14">
        <f t="shared" si="6"/>
        <v>3.6332379239146801</v>
      </c>
      <c r="T14">
        <f t="shared" si="6"/>
        <v>3.9877001603941618</v>
      </c>
      <c r="U14" s="21">
        <f t="shared" si="6"/>
        <v>3.79569978230111</v>
      </c>
      <c r="V14" s="22">
        <v>5836.61</v>
      </c>
      <c r="W14">
        <v>4297.71</v>
      </c>
      <c r="X14">
        <v>9720.75</v>
      </c>
      <c r="Y14" s="21">
        <f>6247.4</f>
        <v>6247.4</v>
      </c>
      <c r="Z14" s="67"/>
      <c r="AA14" s="67"/>
      <c r="AB14" s="68"/>
      <c r="AC14" s="66"/>
    </row>
    <row r="15" spans="1:32" ht="43.2" x14ac:dyDescent="0.3">
      <c r="H15" s="52" t="s">
        <v>32</v>
      </c>
      <c r="I15" s="7" t="s">
        <v>31</v>
      </c>
      <c r="J15">
        <v>0.52800000000000002</v>
      </c>
      <c r="K15">
        <v>0.52500000000000002</v>
      </c>
      <c r="L15">
        <v>0.56599999999999995</v>
      </c>
      <c r="M15" s="21">
        <f t="shared" si="7"/>
        <v>0.53966666666666663</v>
      </c>
      <c r="N15" s="22">
        <f t="shared" si="5"/>
        <v>7.4489795918367339</v>
      </c>
      <c r="O15">
        <f t="shared" si="5"/>
        <v>7.3877551020408161</v>
      </c>
      <c r="P15">
        <f t="shared" si="5"/>
        <v>8.224489795918366</v>
      </c>
      <c r="Q15" s="21">
        <f t="shared" si="5"/>
        <v>7.6870748299319711</v>
      </c>
      <c r="R15" s="22">
        <f t="shared" si="6"/>
        <v>3.2344679078752643</v>
      </c>
      <c r="S15">
        <f t="shared" si="6"/>
        <v>3.2078832401393038</v>
      </c>
      <c r="T15">
        <f t="shared" si="6"/>
        <v>3.5712070325307712</v>
      </c>
      <c r="U15" s="21">
        <f t="shared" si="6"/>
        <v>3.3378527268484461</v>
      </c>
      <c r="V15" s="22">
        <v>1715.8</v>
      </c>
      <c r="W15">
        <v>1613.9</v>
      </c>
      <c r="X15">
        <v>3725.69</v>
      </c>
      <c r="Y15" s="21">
        <f>2176.9</f>
        <v>2176.9</v>
      </c>
      <c r="Z15" s="67">
        <f>(V16-V15)</f>
        <v>58039.799999999996</v>
      </c>
      <c r="AA15" s="67">
        <f>(W16-W15)</f>
        <v>23748.67</v>
      </c>
      <c r="AB15" s="68">
        <f>(X16-X15)</f>
        <v>26749.54</v>
      </c>
      <c r="AC15" s="66"/>
    </row>
    <row r="16" spans="1:32" ht="43.8" thickBot="1" x14ac:dyDescent="0.35">
      <c r="H16" s="53"/>
      <c r="I16" s="23" t="s">
        <v>9</v>
      </c>
      <c r="J16" s="24">
        <v>0.70199999999999996</v>
      </c>
      <c r="K16" s="24">
        <v>0.66</v>
      </c>
      <c r="L16" s="24">
        <v>0.66900000000000004</v>
      </c>
      <c r="M16" s="25">
        <f>AVERAGE(J16:L16)</f>
        <v>0.67700000000000005</v>
      </c>
      <c r="N16" s="26">
        <f t="shared" si="5"/>
        <v>10.999999999999998</v>
      </c>
      <c r="O16" s="24">
        <f t="shared" si="5"/>
        <v>10.142857142857142</v>
      </c>
      <c r="P16" s="24">
        <f t="shared" si="5"/>
        <v>10.326530612244898</v>
      </c>
      <c r="Q16" s="25">
        <f t="shared" si="5"/>
        <v>10.489795918367347</v>
      </c>
      <c r="R16" s="26">
        <f t="shared" si="6"/>
        <v>4.7763786365610068</v>
      </c>
      <c r="S16" s="24">
        <f t="shared" si="6"/>
        <v>4.4041932882575523</v>
      </c>
      <c r="T16" s="24">
        <f t="shared" si="6"/>
        <v>4.4839472914654355</v>
      </c>
      <c r="U16" s="25">
        <f t="shared" si="6"/>
        <v>4.5548397387613324</v>
      </c>
      <c r="V16" s="26">
        <v>59755.6</v>
      </c>
      <c r="W16" s="24">
        <v>25362.57</v>
      </c>
      <c r="X16" s="24">
        <v>30475.23</v>
      </c>
      <c r="Y16" s="25">
        <f>35878.95</f>
        <v>35878.949999999997</v>
      </c>
      <c r="Z16" s="54"/>
      <c r="AA16" s="54"/>
      <c r="AB16" s="69"/>
      <c r="AC16" s="66"/>
    </row>
  </sheetData>
  <mergeCells count="29">
    <mergeCell ref="AC13:AC14"/>
    <mergeCell ref="H15:H16"/>
    <mergeCell ref="Z15:Z16"/>
    <mergeCell ref="AA15:AA16"/>
    <mergeCell ref="AB15:AB16"/>
    <mergeCell ref="AC15:AC16"/>
    <mergeCell ref="H13:H14"/>
    <mergeCell ref="Z13:Z14"/>
    <mergeCell ref="AA13:AA14"/>
    <mergeCell ref="AB13:AB14"/>
    <mergeCell ref="H11:M11"/>
    <mergeCell ref="N11:Q11"/>
    <mergeCell ref="R11:U11"/>
    <mergeCell ref="V11:Y11"/>
    <mergeCell ref="Z11:AB11"/>
    <mergeCell ref="H6:H7"/>
    <mergeCell ref="Z6:Z7"/>
    <mergeCell ref="AA6:AA7"/>
    <mergeCell ref="AB6:AB7"/>
    <mergeCell ref="H8:H9"/>
    <mergeCell ref="Z8:Z9"/>
    <mergeCell ref="AA8:AA9"/>
    <mergeCell ref="AB8:AB9"/>
    <mergeCell ref="B3:F3"/>
    <mergeCell ref="H4:M4"/>
    <mergeCell ref="N4:Q4"/>
    <mergeCell ref="R4:U4"/>
    <mergeCell ref="V4:Y4"/>
    <mergeCell ref="Z4:AB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opLeftCell="H1" zoomScale="90" zoomScaleNormal="90" workbookViewId="0">
      <selection activeCell="U16" sqref="U16"/>
    </sheetView>
  </sheetViews>
  <sheetFormatPr defaultRowHeight="14.4" x14ac:dyDescent="0.3"/>
  <cols>
    <col min="4" max="4" width="11.88671875" customWidth="1"/>
    <col min="7" max="7" width="11.77734375" customWidth="1"/>
    <col min="10" max="10" width="15.5546875" customWidth="1"/>
    <col min="11" max="11" width="11.88671875" customWidth="1"/>
    <col min="13" max="13" width="13.5546875" customWidth="1"/>
  </cols>
  <sheetData>
    <row r="1" spans="1:23" ht="18" x14ac:dyDescent="0.35">
      <c r="A1" s="3" t="s">
        <v>49</v>
      </c>
    </row>
    <row r="2" spans="1:23" ht="28.95" customHeight="1" x14ac:dyDescent="0.3">
      <c r="A2" s="2"/>
      <c r="B2" s="39" t="s">
        <v>33</v>
      </c>
      <c r="C2" s="39"/>
      <c r="D2" s="39"/>
      <c r="E2" s="39" t="s">
        <v>66</v>
      </c>
      <c r="F2" s="39"/>
      <c r="G2" s="39"/>
      <c r="H2" s="2"/>
      <c r="I2" s="58" t="s">
        <v>68</v>
      </c>
      <c r="J2" s="58"/>
      <c r="K2" s="7" t="s">
        <v>69</v>
      </c>
      <c r="L2" s="58" t="s">
        <v>34</v>
      </c>
      <c r="M2" s="58"/>
      <c r="N2" s="39" t="s">
        <v>35</v>
      </c>
      <c r="O2" s="39"/>
      <c r="P2" s="58" t="s">
        <v>36</v>
      </c>
      <c r="Q2" s="58"/>
      <c r="R2" s="58" t="s">
        <v>37</v>
      </c>
      <c r="S2" s="58"/>
      <c r="T2" s="55" t="s">
        <v>38</v>
      </c>
      <c r="U2" s="55"/>
      <c r="V2" s="29"/>
    </row>
    <row r="3" spans="1:23" ht="72" x14ac:dyDescent="0.3">
      <c r="B3" s="7" t="s">
        <v>39</v>
      </c>
      <c r="C3" s="7" t="s">
        <v>40</v>
      </c>
      <c r="D3" s="5" t="s">
        <v>41</v>
      </c>
      <c r="E3" s="7" t="s">
        <v>39</v>
      </c>
      <c r="F3" s="7" t="s">
        <v>40</v>
      </c>
      <c r="G3" s="5" t="s">
        <v>41</v>
      </c>
      <c r="H3" s="7"/>
      <c r="I3" s="7" t="s">
        <v>40</v>
      </c>
      <c r="J3" s="5" t="s">
        <v>41</v>
      </c>
      <c r="K3" s="7" t="s">
        <v>42</v>
      </c>
      <c r="L3" s="7" t="s">
        <v>40</v>
      </c>
      <c r="M3" s="5" t="s">
        <v>41</v>
      </c>
      <c r="N3" s="7" t="s">
        <v>40</v>
      </c>
      <c r="O3" s="5" t="s">
        <v>41</v>
      </c>
      <c r="P3" s="7" t="s">
        <v>40</v>
      </c>
      <c r="Q3" s="5" t="s">
        <v>41</v>
      </c>
      <c r="R3" s="7" t="s">
        <v>40</v>
      </c>
      <c r="S3" s="5" t="s">
        <v>41</v>
      </c>
      <c r="T3" s="30" t="s">
        <v>40</v>
      </c>
      <c r="U3" s="29" t="s">
        <v>41</v>
      </c>
      <c r="V3" s="29"/>
    </row>
    <row r="4" spans="1:23" ht="43.2" x14ac:dyDescent="0.3">
      <c r="A4" s="38" t="s">
        <v>43</v>
      </c>
      <c r="B4">
        <f>(34.12+33.9+34)/3</f>
        <v>34.006666666666668</v>
      </c>
      <c r="C4">
        <f>(25.83+25.9+25.86)/3</f>
        <v>25.863333333333333</v>
      </c>
      <c r="D4">
        <f>(20.16+19.9+20.39)/3</f>
        <v>20.150000000000002</v>
      </c>
      <c r="E4">
        <f>(35.44+34.72+34.22)/3</f>
        <v>34.793333333333329</v>
      </c>
      <c r="F4">
        <f>(27.49+27.99+28.11)/3</f>
        <v>27.863333333333333</v>
      </c>
      <c r="G4">
        <f>(19.23+19.29+19.25)/3</f>
        <v>19.256666666666664</v>
      </c>
      <c r="H4" s="1" t="s">
        <v>33</v>
      </c>
      <c r="I4">
        <f>(C4-C5)</f>
        <v>8.2166666666666686</v>
      </c>
      <c r="J4">
        <f>(D4-D5)</f>
        <v>-1.0833333333333321</v>
      </c>
      <c r="K4">
        <f>(B4-B5)</f>
        <v>15.990000000000002</v>
      </c>
      <c r="L4">
        <f>(I4-K4)</f>
        <v>-7.7733333333333334</v>
      </c>
      <c r="M4">
        <f>(J4-K4)</f>
        <v>-17.073333333333334</v>
      </c>
      <c r="N4">
        <f t="shared" ref="N4:O11" si="0">2^(-L4)</f>
        <v>218.77943661181422</v>
      </c>
      <c r="O4">
        <f t="shared" si="0"/>
        <v>137906.72954336437</v>
      </c>
      <c r="P4" s="31">
        <f>(N4/N4)*100</f>
        <v>100</v>
      </c>
      <c r="Q4" s="31">
        <f>(O4/O4)*100</f>
        <v>100</v>
      </c>
      <c r="R4" t="s">
        <v>44</v>
      </c>
      <c r="S4" t="s">
        <v>44</v>
      </c>
      <c r="T4" t="s">
        <v>44</v>
      </c>
      <c r="U4" t="s">
        <v>44</v>
      </c>
    </row>
    <row r="5" spans="1:23" ht="43.2" x14ac:dyDescent="0.3">
      <c r="A5" s="38" t="s">
        <v>45</v>
      </c>
      <c r="B5">
        <f>(18.29+17.86+17.9)/3</f>
        <v>18.016666666666666</v>
      </c>
      <c r="C5">
        <f>(17.7+17.43+17.81)/3</f>
        <v>17.646666666666665</v>
      </c>
      <c r="D5">
        <f>(21.64+21.47+20.59)/3</f>
        <v>21.233333333333334</v>
      </c>
      <c r="E5">
        <f>(19.1+18.97+18.86)/3</f>
        <v>18.976666666666667</v>
      </c>
      <c r="F5">
        <f>(18.28+17.84+18.1)/3</f>
        <v>18.073333333333334</v>
      </c>
      <c r="G5">
        <f>(20.26+19.9+20.39)/3</f>
        <v>20.183333333333334</v>
      </c>
      <c r="H5" s="1" t="s">
        <v>51</v>
      </c>
      <c r="I5">
        <f>(F4-F5)</f>
        <v>9.7899999999999991</v>
      </c>
      <c r="J5">
        <f>(G4-G5)</f>
        <v>-0.92666666666666941</v>
      </c>
      <c r="K5">
        <f>(E4-E5)</f>
        <v>15.816666666666663</v>
      </c>
      <c r="L5">
        <f>(I5-K5)</f>
        <v>-6.0266666666666637</v>
      </c>
      <c r="M5">
        <f>(J5-K5)</f>
        <v>-16.743333333333332</v>
      </c>
      <c r="N5">
        <f t="shared" si="0"/>
        <v>65.193971837266574</v>
      </c>
      <c r="O5">
        <f t="shared" si="0"/>
        <v>109709.83470706856</v>
      </c>
      <c r="P5" s="31">
        <f>(N5/N4)*100</f>
        <v>29.798948588089591</v>
      </c>
      <c r="Q5" s="31">
        <f>(O5/O4)*100</f>
        <v>79.55364837549179</v>
      </c>
      <c r="R5" t="s">
        <v>44</v>
      </c>
      <c r="S5" t="s">
        <v>44</v>
      </c>
      <c r="T5" t="s">
        <v>44</v>
      </c>
      <c r="U5" t="s">
        <v>44</v>
      </c>
    </row>
    <row r="6" spans="1:23" x14ac:dyDescent="0.3">
      <c r="A6" s="58" t="s">
        <v>67</v>
      </c>
      <c r="B6">
        <v>34.119999999999997</v>
      </c>
      <c r="C6">
        <v>25.83</v>
      </c>
      <c r="D6">
        <v>20.16</v>
      </c>
      <c r="E6">
        <v>35.44</v>
      </c>
      <c r="F6">
        <v>27.49</v>
      </c>
      <c r="G6">
        <v>19.25</v>
      </c>
      <c r="H6" s="56" t="s">
        <v>33</v>
      </c>
      <c r="I6">
        <f t="shared" ref="I6:J8" si="1">(C6-C9)</f>
        <v>8.129999999999999</v>
      </c>
      <c r="J6">
        <f t="shared" si="1"/>
        <v>-1.4800000000000004</v>
      </c>
      <c r="K6">
        <f>(B6-B9)</f>
        <v>15.829999999999998</v>
      </c>
      <c r="L6">
        <f>(I6-K6)</f>
        <v>-7.6999999999999993</v>
      </c>
      <c r="M6">
        <f>(J6-K6)</f>
        <v>-17.309999999999999</v>
      </c>
      <c r="N6">
        <f t="shared" si="0"/>
        <v>207.93661346719605</v>
      </c>
      <c r="O6">
        <f t="shared" si="0"/>
        <v>162490.96764640257</v>
      </c>
      <c r="P6">
        <f>(N6/N8)*100</f>
        <v>78.45840978967496</v>
      </c>
      <c r="Q6">
        <f>(O6/O7)*100</f>
        <v>81.225239635623481</v>
      </c>
      <c r="R6" s="57">
        <f>_xlfn.STDEV.S(P6:P8)/SQRT(COUNT(P6:P8))</f>
        <v>8.5334736805791085</v>
      </c>
      <c r="S6" s="57">
        <f>_xlfn.STDEV.S(Q6:Q8)/SQRT(COUNT(Q6:Q8))</f>
        <v>6.3538287319860141</v>
      </c>
      <c r="T6" s="32">
        <v>100</v>
      </c>
      <c r="U6" s="32">
        <v>100</v>
      </c>
      <c r="V6" s="32"/>
    </row>
    <row r="7" spans="1:23" x14ac:dyDescent="0.3">
      <c r="A7" s="58"/>
      <c r="B7">
        <v>33.9</v>
      </c>
      <c r="C7">
        <v>25.9</v>
      </c>
      <c r="D7">
        <v>19.899999999999999</v>
      </c>
      <c r="E7">
        <v>34.72</v>
      </c>
      <c r="F7">
        <v>27.99</v>
      </c>
      <c r="G7">
        <v>19.29</v>
      </c>
      <c r="H7" s="56"/>
      <c r="I7">
        <f t="shared" si="1"/>
        <v>8.4699999999999989</v>
      </c>
      <c r="J7">
        <f t="shared" si="1"/>
        <v>-1.5700000000000003</v>
      </c>
      <c r="K7">
        <f t="shared" ref="K7:K8" si="2">(B7-B10)</f>
        <v>16.04</v>
      </c>
      <c r="L7">
        <f t="shared" ref="L7:L8" si="3">(I7-K7)</f>
        <v>-7.57</v>
      </c>
      <c r="M7">
        <f>(J7-K7)</f>
        <v>-17.61</v>
      </c>
      <c r="N7">
        <f t="shared" si="0"/>
        <v>190.01901704051826</v>
      </c>
      <c r="O7">
        <f>2^(-M7)</f>
        <v>200049.84703687823</v>
      </c>
      <c r="P7">
        <f>(N7/N8)*100</f>
        <v>71.697762400791348</v>
      </c>
      <c r="Q7">
        <f>(O7/O7)*100</f>
        <v>100</v>
      </c>
      <c r="R7" s="57">
        <f>_xlfn.STDEV.S(K3:K7)/SQRT(COUNT(K3:K7))</f>
        <v>5.6328648720404814E-2</v>
      </c>
      <c r="S7" s="57">
        <f>_xlfn.STDEV.S(L3:L7)/SQRT(COUNT(L3:L7))</f>
        <v>0.41574202961113488</v>
      </c>
      <c r="T7" s="32">
        <f>T6+R6</f>
        <v>108.53347368057911</v>
      </c>
      <c r="U7" s="32">
        <f>U6+S6</f>
        <v>106.35382873198601</v>
      </c>
      <c r="V7" s="32"/>
    </row>
    <row r="8" spans="1:23" x14ac:dyDescent="0.3">
      <c r="A8" s="58"/>
      <c r="B8">
        <v>34</v>
      </c>
      <c r="C8">
        <v>25.86</v>
      </c>
      <c r="D8">
        <v>20.39</v>
      </c>
      <c r="E8">
        <v>34.22</v>
      </c>
      <c r="F8">
        <v>28.11</v>
      </c>
      <c r="G8">
        <v>19.23</v>
      </c>
      <c r="H8" s="56"/>
      <c r="I8">
        <f t="shared" si="1"/>
        <v>8.0500000000000007</v>
      </c>
      <c r="J8">
        <f t="shared" si="1"/>
        <v>-1.1999999999999993</v>
      </c>
      <c r="K8">
        <f t="shared" si="2"/>
        <v>16.100000000000001</v>
      </c>
      <c r="L8">
        <f t="shared" si="3"/>
        <v>-8.0500000000000007</v>
      </c>
      <c r="M8">
        <f t="shared" ref="M8" si="4">(J8-K8)</f>
        <v>-17.3</v>
      </c>
      <c r="N8">
        <f t="shared" si="0"/>
        <v>265.02782050339272</v>
      </c>
      <c r="O8">
        <f>2^(-M8)</f>
        <v>161368.56054594496</v>
      </c>
      <c r="P8">
        <f>(N8/N8)*100</f>
        <v>100</v>
      </c>
      <c r="Q8">
        <f>(O8/O7)*100</f>
        <v>80.664175922212749</v>
      </c>
      <c r="R8" s="57">
        <f t="shared" ref="R8:S8" si="5">_xlfn.STDEV.S(K6:K8)/SQRT(COUNT(K6:K8))</f>
        <v>8.1853527718725297E-2</v>
      </c>
      <c r="S8" s="57">
        <f t="shared" si="5"/>
        <v>0.14333333333333356</v>
      </c>
      <c r="T8" s="32">
        <f>T6-R6</f>
        <v>91.466526319420893</v>
      </c>
      <c r="U8" s="32">
        <f>U6-S6</f>
        <v>93.646171268013987</v>
      </c>
      <c r="V8" s="32"/>
    </row>
    <row r="9" spans="1:23" x14ac:dyDescent="0.3">
      <c r="A9" s="58" t="s">
        <v>46</v>
      </c>
      <c r="B9">
        <v>18.29</v>
      </c>
      <c r="C9">
        <v>17.7</v>
      </c>
      <c r="D9">
        <v>21.64</v>
      </c>
      <c r="E9">
        <v>19.100000000000001</v>
      </c>
      <c r="F9">
        <v>18.28</v>
      </c>
      <c r="G9">
        <v>20.16</v>
      </c>
      <c r="H9" s="56" t="s">
        <v>51</v>
      </c>
      <c r="I9">
        <f t="shared" ref="I9:J11" si="6">(F6-F9)</f>
        <v>9.2099999999999973</v>
      </c>
      <c r="J9">
        <f t="shared" si="6"/>
        <v>-0.91000000000000014</v>
      </c>
      <c r="K9">
        <v>15.34</v>
      </c>
      <c r="L9">
        <f>(I9-K9)</f>
        <v>-6.1300000000000026</v>
      </c>
      <c r="M9">
        <f>(J9-K9)</f>
        <v>-16.25</v>
      </c>
      <c r="N9">
        <f t="shared" si="0"/>
        <v>70.034796880687423</v>
      </c>
      <c r="O9">
        <f>2^(-M9)</f>
        <v>77935.87748881834</v>
      </c>
      <c r="P9">
        <f>(N9/N8)*100</f>
        <v>26.425451014034536</v>
      </c>
      <c r="Q9">
        <f>(O9/O7)*100</f>
        <v>38.958228983025037</v>
      </c>
      <c r="R9" s="57">
        <f>_xlfn.STDEV.S(P9:P11)/SQRT(COUNT(P9:P11))</f>
        <v>3.3021915615322568</v>
      </c>
      <c r="S9" s="57">
        <f>_xlfn.STDEV.S(Q9:Q11)/SQRT(COUNT(Q9:Q11))</f>
        <v>2.334901729394991</v>
      </c>
      <c r="T9" s="32">
        <f>P5</f>
        <v>29.798948588089591</v>
      </c>
      <c r="U9" s="32">
        <f>Q5</f>
        <v>79.55364837549179</v>
      </c>
      <c r="V9" s="32"/>
    </row>
    <row r="10" spans="1:23" x14ac:dyDescent="0.3">
      <c r="A10" s="58"/>
      <c r="B10">
        <v>17.86</v>
      </c>
      <c r="C10">
        <v>17.43</v>
      </c>
      <c r="D10">
        <v>21.47</v>
      </c>
      <c r="E10">
        <v>18.97</v>
      </c>
      <c r="F10">
        <v>17.84</v>
      </c>
      <c r="G10">
        <v>19.899999999999999</v>
      </c>
      <c r="H10" s="56"/>
      <c r="I10">
        <f t="shared" si="6"/>
        <v>10.149999999999999</v>
      </c>
      <c r="J10">
        <f t="shared" si="6"/>
        <v>-0.60999999999999943</v>
      </c>
      <c r="K10">
        <f t="shared" ref="K10:K11" si="7">(E7-E10)</f>
        <v>15.75</v>
      </c>
      <c r="L10">
        <f t="shared" ref="L10:L11" si="8">(I10-K10)</f>
        <v>-5.6000000000000014</v>
      </c>
      <c r="M10">
        <f>(J10-K10)</f>
        <v>-16.36</v>
      </c>
      <c r="N10">
        <f t="shared" si="0"/>
        <v>48.502930128332785</v>
      </c>
      <c r="O10">
        <f>2^(-M10)</f>
        <v>84110.599622682377</v>
      </c>
      <c r="P10">
        <f>(N10/N8)*100</f>
        <v>18.301071199320329</v>
      </c>
      <c r="Q10">
        <f>(O10/O7)*100</f>
        <v>42.04482076268571</v>
      </c>
      <c r="R10" s="57">
        <f t="shared" ref="R10:S11" si="9">_xlfn.STDEV.S(K8:K10)/SQRT(COUNT(K8:K10))</f>
        <v>0.21962088546705555</v>
      </c>
      <c r="S10" s="57">
        <f t="shared" si="9"/>
        <v>0.74422965392261542</v>
      </c>
      <c r="T10" s="32">
        <f>T9+R9</f>
        <v>33.101140149621848</v>
      </c>
      <c r="U10" s="32">
        <f>U9+S9</f>
        <v>81.888550104886775</v>
      </c>
      <c r="V10" s="32"/>
      <c r="W10" s="33"/>
    </row>
    <row r="11" spans="1:23" x14ac:dyDescent="0.3">
      <c r="A11" s="58"/>
      <c r="B11">
        <v>17.899999999999999</v>
      </c>
      <c r="C11">
        <v>17.809999999999999</v>
      </c>
      <c r="D11">
        <v>21.59</v>
      </c>
      <c r="E11">
        <v>18.86</v>
      </c>
      <c r="F11">
        <v>18.100000000000001</v>
      </c>
      <c r="G11">
        <v>20.39</v>
      </c>
      <c r="H11" s="56"/>
      <c r="I11">
        <f t="shared" si="6"/>
        <v>10.009999999999998</v>
      </c>
      <c r="J11">
        <f t="shared" si="6"/>
        <v>-1.1600000000000001</v>
      </c>
      <c r="K11">
        <f t="shared" si="7"/>
        <v>15.36</v>
      </c>
      <c r="L11">
        <f t="shared" si="8"/>
        <v>-5.3500000000000014</v>
      </c>
      <c r="M11">
        <f>(J11-K11)</f>
        <v>-16.52</v>
      </c>
      <c r="N11">
        <f t="shared" si="0"/>
        <v>40.785940074216427</v>
      </c>
      <c r="O11">
        <f>2^(-M11)</f>
        <v>93975.6911339652</v>
      </c>
      <c r="P11">
        <f>(N11/N8)*100</f>
        <v>15.389305166811463</v>
      </c>
      <c r="Q11">
        <f>(O11/O7)*100</f>
        <v>46.976137460700599</v>
      </c>
      <c r="R11" s="57">
        <f t="shared" si="9"/>
        <v>0.1334582747944508</v>
      </c>
      <c r="S11" s="57">
        <f t="shared" si="9"/>
        <v>0.22995168574676278</v>
      </c>
      <c r="T11" s="32">
        <f>T9-R9</f>
        <v>26.496757026557333</v>
      </c>
      <c r="U11" s="32">
        <f>U9-S9</f>
        <v>77.218746646096804</v>
      </c>
      <c r="V11" s="32"/>
    </row>
    <row r="12" spans="1:23" x14ac:dyDescent="0.3">
      <c r="T12" s="28"/>
      <c r="U12" s="28"/>
      <c r="V12" s="28"/>
    </row>
    <row r="13" spans="1:23" x14ac:dyDescent="0.3">
      <c r="T13" s="28"/>
      <c r="U13" s="28"/>
      <c r="V13" s="28"/>
    </row>
    <row r="14" spans="1:23" x14ac:dyDescent="0.3">
      <c r="T14" s="28"/>
      <c r="U14" s="28"/>
      <c r="V14" s="28"/>
    </row>
    <row r="15" spans="1:23" x14ac:dyDescent="0.3">
      <c r="T15" s="28"/>
      <c r="U15" s="28"/>
      <c r="V15" s="28"/>
    </row>
  </sheetData>
  <mergeCells count="16">
    <mergeCell ref="A9:A11"/>
    <mergeCell ref="H9:H11"/>
    <mergeCell ref="R9:R11"/>
    <mergeCell ref="S9:S11"/>
    <mergeCell ref="R2:S2"/>
    <mergeCell ref="T2:U2"/>
    <mergeCell ref="A6:A8"/>
    <mergeCell ref="H6:H8"/>
    <mergeCell ref="R6:R8"/>
    <mergeCell ref="S6:S8"/>
    <mergeCell ref="B2:D2"/>
    <mergeCell ref="E2:G2"/>
    <mergeCell ref="I2:J2"/>
    <mergeCell ref="L2:M2"/>
    <mergeCell ref="N2:O2"/>
    <mergeCell ref="P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H18" sqref="H18"/>
    </sheetView>
  </sheetViews>
  <sheetFormatPr defaultRowHeight="14.4" x14ac:dyDescent="0.3"/>
  <cols>
    <col min="2" max="2" width="12.21875" customWidth="1"/>
    <col min="3" max="3" width="10.77734375" customWidth="1"/>
    <col min="4" max="4" width="9.21875" customWidth="1"/>
    <col min="5" max="5" width="10.6640625" customWidth="1"/>
    <col min="6" max="6" width="9.109375" customWidth="1"/>
    <col min="7" max="7" width="13.44140625" customWidth="1"/>
    <col min="8" max="8" width="14.5546875" customWidth="1"/>
  </cols>
  <sheetData>
    <row r="1" spans="1:8" ht="17.399999999999999" x14ac:dyDescent="0.3">
      <c r="A1" s="35" t="s">
        <v>59</v>
      </c>
    </row>
    <row r="2" spans="1:8" x14ac:dyDescent="0.3">
      <c r="C2" s="36" t="s">
        <v>50</v>
      </c>
      <c r="D2" s="36" t="s">
        <v>51</v>
      </c>
      <c r="E2" s="36" t="s">
        <v>50</v>
      </c>
      <c r="F2" s="36" t="s">
        <v>51</v>
      </c>
      <c r="G2" s="36" t="s">
        <v>50</v>
      </c>
      <c r="H2" s="36" t="s">
        <v>51</v>
      </c>
    </row>
    <row r="3" spans="1:8" ht="40.200000000000003" x14ac:dyDescent="0.3">
      <c r="A3" s="37"/>
      <c r="B3" s="59" t="s">
        <v>52</v>
      </c>
      <c r="C3" s="36" t="s">
        <v>53</v>
      </c>
      <c r="D3" s="36" t="s">
        <v>53</v>
      </c>
      <c r="E3" s="36" t="s">
        <v>9</v>
      </c>
      <c r="F3" s="36" t="s">
        <v>54</v>
      </c>
      <c r="G3" s="36" t="s">
        <v>55</v>
      </c>
      <c r="H3" s="36" t="s">
        <v>56</v>
      </c>
    </row>
    <row r="4" spans="1:8" x14ac:dyDescent="0.3">
      <c r="A4" s="37" t="s">
        <v>57</v>
      </c>
      <c r="B4" s="59"/>
      <c r="C4">
        <v>2.4700000000000002</v>
      </c>
      <c r="D4">
        <v>4.1900000000000004</v>
      </c>
      <c r="E4">
        <v>18.3</v>
      </c>
      <c r="F4">
        <v>9.6199999999999992</v>
      </c>
      <c r="G4">
        <v>90.4</v>
      </c>
      <c r="H4">
        <v>91.9</v>
      </c>
    </row>
    <row r="5" spans="1:8" x14ac:dyDescent="0.3">
      <c r="A5" s="37" t="s">
        <v>58</v>
      </c>
      <c r="B5" s="59"/>
      <c r="C5">
        <v>3.05</v>
      </c>
      <c r="D5">
        <v>4.03</v>
      </c>
      <c r="E5">
        <v>17.2</v>
      </c>
      <c r="F5">
        <v>8.4600000000000009</v>
      </c>
      <c r="G5">
        <v>92.1</v>
      </c>
      <c r="H5">
        <v>89.5</v>
      </c>
    </row>
    <row r="7" spans="1:8" x14ac:dyDescent="0.3">
      <c r="C7" s="36"/>
      <c r="D7" s="36"/>
      <c r="E7" s="36"/>
      <c r="F7" s="36"/>
      <c r="G7" s="36"/>
      <c r="H7" s="36"/>
    </row>
    <row r="8" spans="1:8" x14ac:dyDescent="0.3">
      <c r="C8" s="36"/>
      <c r="D8" s="36"/>
      <c r="E8" s="36"/>
      <c r="F8" s="36"/>
      <c r="G8" s="36"/>
      <c r="H8" s="36"/>
    </row>
  </sheetData>
  <mergeCells count="1">
    <mergeCell ref="B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</vt:lpstr>
      <vt:lpstr>D</vt:lpstr>
      <vt:lpstr>E</vt:lpstr>
      <vt:lpstr>F</vt:lpstr>
      <vt:lpstr>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2026-09-11T07:30:41Z</dcterms:modified>
</cp:coreProperties>
</file>