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8e943b9406d820e6/Documents/Seagate Backup/Sozzani et al-2016/FINAL FILES/Suppl Tables/"/>
    </mc:Choice>
  </mc:AlternateContent>
  <bookViews>
    <workbookView xWindow="0" yWindow="0" windowWidth="24000" windowHeight="10320"/>
  </bookViews>
  <sheets>
    <sheet name="Fig 4 SD 1- SCR NB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1" i="1" l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G42" i="1" s="1"/>
  <c r="G43" i="1" s="1"/>
  <c r="F25" i="1"/>
  <c r="G24" i="1"/>
  <c r="F24" i="1"/>
  <c r="F42" i="1" s="1"/>
  <c r="F43" i="1" s="1"/>
  <c r="G19" i="1"/>
  <c r="G16" i="1"/>
  <c r="F16" i="1"/>
  <c r="G15" i="1"/>
  <c r="F15" i="1"/>
  <c r="G14" i="1"/>
  <c r="F14" i="1"/>
  <c r="G13" i="1"/>
  <c r="G20" i="1" s="1"/>
  <c r="G21" i="1" s="1"/>
  <c r="F13" i="1"/>
  <c r="G11" i="1"/>
  <c r="F11" i="1"/>
  <c r="G10" i="1"/>
  <c r="F10" i="1"/>
  <c r="G9" i="1"/>
  <c r="F9" i="1"/>
  <c r="F20" i="1" s="1"/>
  <c r="F21" i="1" s="1"/>
  <c r="F19" i="1" l="1"/>
  <c r="F41" i="1"/>
</calcChain>
</file>

<file path=xl/sharedStrings.xml><?xml version="1.0" encoding="utf-8"?>
<sst xmlns="http://schemas.openxmlformats.org/spreadsheetml/2006/main" count="140" uniqueCount="47">
  <si>
    <t>Filename</t>
  </si>
  <si>
    <t>Instrument</t>
  </si>
  <si>
    <t>Line</t>
  </si>
  <si>
    <t>Location</t>
  </si>
  <si>
    <t>Pixel Size (μm)</t>
  </si>
  <si>
    <t>% Monomer</t>
  </si>
  <si>
    <t>% Dimer</t>
  </si>
  <si>
    <t>SCRSCRGFP_1</t>
  </si>
  <si>
    <t>Zeiss 780</t>
  </si>
  <si>
    <t>SCRSCRGFP</t>
  </si>
  <si>
    <t>Endodermis</t>
  </si>
  <si>
    <t>SCRSCRGFP_2</t>
  </si>
  <si>
    <t>SCN</t>
  </si>
  <si>
    <t>SCRSCRGFP_3</t>
  </si>
  <si>
    <t>SCRSCRGFP_4</t>
  </si>
  <si>
    <t>SCRSCRGFP_5</t>
  </si>
  <si>
    <t>SCRSCRGFP_6</t>
  </si>
  <si>
    <t>SCRSCRGFP_7</t>
  </si>
  <si>
    <t>SCRSCRGFP_8</t>
  </si>
  <si>
    <t>Endodermis/SCN</t>
  </si>
  <si>
    <t>SCRSCRGFP_9</t>
  </si>
  <si>
    <t>SCRSCRGFP_10</t>
  </si>
  <si>
    <t>SCRSCRGFP_11</t>
  </si>
  <si>
    <t>SCRSCRGFP_12</t>
  </si>
  <si>
    <t>SCRSCRGFP_13</t>
  </si>
  <si>
    <t>Average:</t>
  </si>
  <si>
    <t>SD:</t>
  </si>
  <si>
    <t>SE:</t>
  </si>
  <si>
    <t>Image</t>
  </si>
  <si>
    <t>SHRSHRGFP_SCRSCRmCherry_1</t>
  </si>
  <si>
    <t>SCRSCRmCherry</t>
  </si>
  <si>
    <t>SHRSHRGFP_SCRSCRmCherry_2</t>
  </si>
  <si>
    <t>SHRSHRGFP_SCRSCRmCherry_3</t>
  </si>
  <si>
    <t>SHRSHRGFP_SCRSCRmCherry_4</t>
  </si>
  <si>
    <t>SHRSHRGFP_SCRSCRmCherry_5</t>
  </si>
  <si>
    <t>SHRSHRGFP_SCRSCRmCherry_6</t>
  </si>
  <si>
    <t>SHRSHRGFP_SCRSCRmCherry_7</t>
  </si>
  <si>
    <t>SHRSHRGFP_SCRSCRmCherry_8</t>
  </si>
  <si>
    <t>SHRSHRGFP_SCRSCRmCherry_9</t>
  </si>
  <si>
    <t>SHRSHRGFP_SCRSCRmCherry_10</t>
  </si>
  <si>
    <t>SHRSHRGFP_SCRSCRmCherry_11</t>
  </si>
  <si>
    <t>SHRSHRGFP_SCRSCRmCherry_12</t>
  </si>
  <si>
    <t>SHRSHRGFP_SCRSCRmCherry_13</t>
  </si>
  <si>
    <t>SHRSHRGFP_SCRSCRmCherry_14</t>
  </si>
  <si>
    <t>SHRSHRGFP_SCRSCRmCherry_15</t>
  </si>
  <si>
    <t>SHRSHRGFP_SCRSCRmCherry_16</t>
  </si>
  <si>
    <t>SHRSHRGFP_SCRSCRmCherry_17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</si>
</sst>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2" fontId="0" fillId="0" borderId="1" xfId="0" applyNumberFormat="1" applyBorder="1" applyAlignment="1">
      <alignment horizontal="center"/>
    </xf>
    <xf numFmtId="10" fontId="0" fillId="0" borderId="0" xfId="0" applyNumberFormat="1" applyFill="1" applyAlignment="1">
      <alignment horizontal="center"/>
    </xf>
    <xf numFmtId="10" fontId="0" fillId="0" borderId="0" xfId="0" applyNumberFormat="1" applyFill="1" applyBorder="1" applyAlignment="1">
      <alignment horizontal="center"/>
    </xf>
    <xf numFmtId="10" fontId="0" fillId="0" borderId="0" xfId="0" applyNumberFormat="1"/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600075</xdr:colOff>
      <xdr:row>4</xdr:row>
      <xdr:rowOff>0</xdr:rowOff>
    </xdr:to>
    <xdr:sp macro="" textlink="">
      <xdr:nvSpPr>
        <xdr:cNvPr id="2" name="TextBox 1"/>
        <xdr:cNvSpPr txBox="1"/>
      </xdr:nvSpPr>
      <xdr:spPr>
        <a:xfrm>
          <a:off x="0" y="0"/>
          <a:ext cx="7486650" cy="762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Figure 4-Source data 1</a:t>
          </a:r>
          <a:r>
            <a:rPr lang="en-US" sz="1100"/>
            <a:t>. Oligomeric state of SCR:SCR-GFP</a:t>
          </a:r>
          <a:r>
            <a:rPr lang="en-US" sz="1100" baseline="0"/>
            <a:t> and SCR:SCR-mCherry </a:t>
          </a:r>
          <a:r>
            <a:rPr lang="en-US" sz="1100"/>
            <a:t>lines obtained using N&amp;B with the Zeiss 780 instrument.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pixel dwell time was 12.61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l-G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μ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 for all images. The green laser intensity ranged from 1% to 2%, and the red laser intensity ranged from 0.8% to 1%.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/>
            <a:t>SCN: stem cell niche; SD: standard deviation; SE: standard error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43"/>
  <sheetViews>
    <sheetView tabSelected="1" workbookViewId="0">
      <selection activeCell="D32" sqref="D32"/>
    </sheetView>
  </sheetViews>
  <sheetFormatPr defaultRowHeight="15" x14ac:dyDescent="0.25"/>
  <cols>
    <col min="1" max="1" width="28.140625" style="5" bestFit="1" customWidth="1"/>
    <col min="2" max="2" width="10.85546875" bestFit="1" customWidth="1"/>
    <col min="3" max="3" width="15.28515625" bestFit="1" customWidth="1"/>
    <col min="4" max="4" width="16.7109375" style="7" customWidth="1"/>
    <col min="5" max="5" width="14.28515625" style="8" bestFit="1" customWidth="1"/>
    <col min="6" max="6" width="18" style="9" bestFit="1" customWidth="1"/>
    <col min="7" max="7" width="9.28515625" style="9" customWidth="1"/>
  </cols>
  <sheetData>
    <row r="5" spans="1:7" x14ac:dyDescent="0.25">
      <c r="A5" s="1" t="s">
        <v>0</v>
      </c>
      <c r="B5" s="2" t="s">
        <v>1</v>
      </c>
      <c r="C5" s="2" t="s">
        <v>2</v>
      </c>
      <c r="D5" s="2" t="s">
        <v>3</v>
      </c>
      <c r="E5" s="3" t="s">
        <v>4</v>
      </c>
      <c r="F5" s="4" t="s">
        <v>5</v>
      </c>
      <c r="G5" s="4" t="s">
        <v>6</v>
      </c>
    </row>
    <row r="6" spans="1:7" x14ac:dyDescent="0.25">
      <c r="A6" s="5" t="s">
        <v>7</v>
      </c>
      <c r="B6" s="6" t="s">
        <v>8</v>
      </c>
      <c r="C6" s="6" t="s">
        <v>9</v>
      </c>
      <c r="D6" s="7" t="s">
        <v>10</v>
      </c>
      <c r="E6" s="8">
        <v>0.1</v>
      </c>
      <c r="F6" s="9">
        <v>0.94339622641509435</v>
      </c>
      <c r="G6" s="9">
        <v>5.6603773584905662E-2</v>
      </c>
    </row>
    <row r="7" spans="1:7" x14ac:dyDescent="0.25">
      <c r="A7" s="5" t="s">
        <v>11</v>
      </c>
      <c r="B7" s="6" t="s">
        <v>8</v>
      </c>
      <c r="C7" s="6" t="s">
        <v>9</v>
      </c>
      <c r="D7" s="7" t="s">
        <v>12</v>
      </c>
      <c r="E7" s="8">
        <v>0.1</v>
      </c>
      <c r="F7" s="9">
        <v>0.96147611328311244</v>
      </c>
      <c r="G7" s="9">
        <v>3.8523886716887577E-2</v>
      </c>
    </row>
    <row r="8" spans="1:7" x14ac:dyDescent="0.25">
      <c r="A8" s="5" t="s">
        <v>13</v>
      </c>
      <c r="B8" s="6" t="s">
        <v>8</v>
      </c>
      <c r="C8" s="6" t="s">
        <v>9</v>
      </c>
      <c r="D8" s="7" t="s">
        <v>10</v>
      </c>
      <c r="E8" s="8">
        <v>0.05</v>
      </c>
      <c r="F8" s="9">
        <v>0.97234173325138296</v>
      </c>
      <c r="G8" s="9">
        <v>2.7658266748617086E-2</v>
      </c>
    </row>
    <row r="9" spans="1:7" x14ac:dyDescent="0.25">
      <c r="A9" s="5" t="s">
        <v>14</v>
      </c>
      <c r="B9" s="6" t="s">
        <v>8</v>
      </c>
      <c r="C9" s="6" t="s">
        <v>9</v>
      </c>
      <c r="D9" s="7" t="s">
        <v>10</v>
      </c>
      <c r="E9" s="8">
        <v>0.1</v>
      </c>
      <c r="F9" s="9">
        <f>7402/(7402+634)</f>
        <v>0.92110502737680433</v>
      </c>
      <c r="G9" s="9">
        <f>634/(7402+634)</f>
        <v>7.8894972623195614E-2</v>
      </c>
    </row>
    <row r="10" spans="1:7" x14ac:dyDescent="0.25">
      <c r="A10" s="5" t="s">
        <v>15</v>
      </c>
      <c r="B10" s="6" t="s">
        <v>8</v>
      </c>
      <c r="C10" s="6" t="s">
        <v>9</v>
      </c>
      <c r="D10" s="7" t="s">
        <v>10</v>
      </c>
      <c r="E10" s="8">
        <v>0.1</v>
      </c>
      <c r="F10" s="9">
        <f>18195/(18195+1511)</f>
        <v>0.92332284583375623</v>
      </c>
      <c r="G10" s="9">
        <f>1511/(18195+1511)</f>
        <v>7.667715416624378E-2</v>
      </c>
    </row>
    <row r="11" spans="1:7" x14ac:dyDescent="0.25">
      <c r="A11" s="5" t="s">
        <v>16</v>
      </c>
      <c r="B11" s="6" t="s">
        <v>8</v>
      </c>
      <c r="C11" s="6" t="s">
        <v>9</v>
      </c>
      <c r="D11" s="7" t="s">
        <v>10</v>
      </c>
      <c r="E11" s="8">
        <v>0.1</v>
      </c>
      <c r="F11" s="9">
        <f>5420/(5420+494)</f>
        <v>0.91646939465674671</v>
      </c>
      <c r="G11" s="9">
        <f>494/(5420+494)</f>
        <v>8.3530605343253295E-2</v>
      </c>
    </row>
    <row r="12" spans="1:7" x14ac:dyDescent="0.25">
      <c r="A12" s="5" t="s">
        <v>17</v>
      </c>
      <c r="B12" s="6" t="s">
        <v>8</v>
      </c>
      <c r="C12" s="6" t="s">
        <v>9</v>
      </c>
      <c r="D12" s="7" t="s">
        <v>10</v>
      </c>
      <c r="E12" s="8">
        <v>0.1</v>
      </c>
      <c r="F12" s="9">
        <v>0.96852813394087101</v>
      </c>
      <c r="G12" s="9">
        <v>3.147186605912896E-2</v>
      </c>
    </row>
    <row r="13" spans="1:7" x14ac:dyDescent="0.25">
      <c r="A13" s="5" t="s">
        <v>18</v>
      </c>
      <c r="B13" s="6" t="s">
        <v>8</v>
      </c>
      <c r="C13" s="6" t="s">
        <v>9</v>
      </c>
      <c r="D13" s="7" t="s">
        <v>19</v>
      </c>
      <c r="E13" s="8">
        <v>0.1</v>
      </c>
      <c r="F13" s="9">
        <f>6480/(6480+435)</f>
        <v>0.93709327548806942</v>
      </c>
      <c r="G13" s="9">
        <f>435/(6480+435)</f>
        <v>6.2906724511930592E-2</v>
      </c>
    </row>
    <row r="14" spans="1:7" x14ac:dyDescent="0.25">
      <c r="A14" s="5" t="s">
        <v>20</v>
      </c>
      <c r="B14" s="6" t="s">
        <v>8</v>
      </c>
      <c r="C14" s="6" t="s">
        <v>9</v>
      </c>
      <c r="D14" s="7" t="s">
        <v>19</v>
      </c>
      <c r="E14" s="8">
        <v>0.1</v>
      </c>
      <c r="F14" s="9">
        <f>4552/(4552+387)</f>
        <v>0.92164405750151857</v>
      </c>
      <c r="G14" s="9">
        <f>387/(4552+387)</f>
        <v>7.8355942498481476E-2</v>
      </c>
    </row>
    <row r="15" spans="1:7" x14ac:dyDescent="0.25">
      <c r="A15" s="5" t="s">
        <v>21</v>
      </c>
      <c r="B15" s="6" t="s">
        <v>8</v>
      </c>
      <c r="C15" s="6" t="s">
        <v>9</v>
      </c>
      <c r="D15" s="7" t="s">
        <v>10</v>
      </c>
      <c r="E15" s="8">
        <v>0.1</v>
      </c>
      <c r="F15" s="9">
        <f>15200/(15200+928)</f>
        <v>0.94246031746031744</v>
      </c>
      <c r="G15" s="9">
        <f>928/(15200+928)</f>
        <v>5.7539682539682536E-2</v>
      </c>
    </row>
    <row r="16" spans="1:7" x14ac:dyDescent="0.25">
      <c r="A16" s="5" t="s">
        <v>22</v>
      </c>
      <c r="B16" s="6" t="s">
        <v>8</v>
      </c>
      <c r="C16" s="6" t="s">
        <v>9</v>
      </c>
      <c r="D16" s="7" t="s">
        <v>10</v>
      </c>
      <c r="E16" s="8">
        <v>0.1</v>
      </c>
      <c r="F16" s="9">
        <f>6637/(6637+549)</f>
        <v>0.92360144725855831</v>
      </c>
      <c r="G16" s="9">
        <f>549/(6637+549)</f>
        <v>7.6398552741441694E-2</v>
      </c>
    </row>
    <row r="17" spans="1:10" x14ac:dyDescent="0.25">
      <c r="A17" s="5" t="s">
        <v>23</v>
      </c>
      <c r="B17" s="6" t="s">
        <v>8</v>
      </c>
      <c r="C17" s="6" t="s">
        <v>9</v>
      </c>
      <c r="D17" s="7" t="s">
        <v>10</v>
      </c>
      <c r="E17" s="8">
        <v>0.1</v>
      </c>
      <c r="F17" s="9">
        <v>0.99038642789820919</v>
      </c>
      <c r="G17" s="9">
        <v>9.6135721017907641E-3</v>
      </c>
    </row>
    <row r="18" spans="1:10" x14ac:dyDescent="0.25">
      <c r="A18" s="1" t="s">
        <v>24</v>
      </c>
      <c r="B18" s="2" t="s">
        <v>8</v>
      </c>
      <c r="C18" s="2" t="s">
        <v>9</v>
      </c>
      <c r="D18" s="2" t="s">
        <v>10</v>
      </c>
      <c r="E18" s="10">
        <v>0.1</v>
      </c>
      <c r="F18" s="4">
        <v>0.97083725305738477</v>
      </c>
      <c r="G18" s="4">
        <v>2.9162746942615239E-2</v>
      </c>
    </row>
    <row r="19" spans="1:10" x14ac:dyDescent="0.25">
      <c r="E19" s="8" t="s">
        <v>25</v>
      </c>
      <c r="F19" s="11">
        <f>AVERAGE(F6:F18)</f>
        <v>0.9455894041093712</v>
      </c>
      <c r="G19" s="11">
        <f>AVERAGE(G6:G18)</f>
        <v>5.4410595890628792E-2</v>
      </c>
      <c r="H19" s="9"/>
      <c r="I19" s="9"/>
      <c r="J19" s="9"/>
    </row>
    <row r="20" spans="1:10" x14ac:dyDescent="0.25">
      <c r="E20" s="8" t="s">
        <v>26</v>
      </c>
      <c r="F20" s="11">
        <f>STDEV(F6:F18)</f>
        <v>2.4538034663574088E-2</v>
      </c>
      <c r="G20" s="11">
        <f>STDEV(G6:G18)</f>
        <v>2.4538034663574106E-2</v>
      </c>
      <c r="H20" s="9"/>
      <c r="I20" s="9"/>
      <c r="J20" s="9"/>
    </row>
    <row r="21" spans="1:10" x14ac:dyDescent="0.25">
      <c r="E21" s="8" t="s">
        <v>27</v>
      </c>
      <c r="F21" s="12">
        <f>F20/SQRT(COUNTA($A$6:$A$18))</f>
        <v>6.8056263214330108E-3</v>
      </c>
      <c r="G21" s="12">
        <f>G20/SQRT(COUNTA($A$6:$A$18))</f>
        <v>6.8056263214330151E-3</v>
      </c>
      <c r="H21" s="9"/>
      <c r="I21" s="9"/>
      <c r="J21" s="9"/>
    </row>
    <row r="22" spans="1:10" x14ac:dyDescent="0.25">
      <c r="F22" s="13"/>
      <c r="G22" s="13"/>
    </row>
    <row r="23" spans="1:10" x14ac:dyDescent="0.25">
      <c r="A23" s="1" t="s">
        <v>28</v>
      </c>
      <c r="B23" s="2" t="s">
        <v>1</v>
      </c>
      <c r="C23" s="2" t="s">
        <v>2</v>
      </c>
      <c r="D23" s="2" t="s">
        <v>3</v>
      </c>
      <c r="E23" s="3" t="s">
        <v>4</v>
      </c>
      <c r="F23" s="4" t="s">
        <v>5</v>
      </c>
      <c r="G23" s="4" t="s">
        <v>6</v>
      </c>
    </row>
    <row r="24" spans="1:10" x14ac:dyDescent="0.25">
      <c r="A24" s="5" t="s">
        <v>29</v>
      </c>
      <c r="B24" s="6" t="s">
        <v>8</v>
      </c>
      <c r="C24" s="6" t="s">
        <v>30</v>
      </c>
      <c r="D24" s="7" t="s">
        <v>10</v>
      </c>
      <c r="E24" s="8">
        <v>0.1</v>
      </c>
      <c r="F24" s="9">
        <f>4779/(4779+419)</f>
        <v>0.91939207387456712</v>
      </c>
      <c r="G24" s="9">
        <f>419/(4779+419)</f>
        <v>8.0607926125432855E-2</v>
      </c>
    </row>
    <row r="25" spans="1:10" x14ac:dyDescent="0.25">
      <c r="A25" s="5" t="s">
        <v>31</v>
      </c>
      <c r="B25" s="6" t="s">
        <v>8</v>
      </c>
      <c r="C25" s="6" t="s">
        <v>30</v>
      </c>
      <c r="D25" s="7" t="s">
        <v>12</v>
      </c>
      <c r="E25" s="8">
        <v>0.1</v>
      </c>
      <c r="F25" s="9">
        <f>8631/(8631+711)</f>
        <v>0.9238921001926782</v>
      </c>
      <c r="G25" s="9">
        <f>711/(8631+711)</f>
        <v>7.6107899807321772E-2</v>
      </c>
    </row>
    <row r="26" spans="1:10" x14ac:dyDescent="0.25">
      <c r="A26" s="5" t="s">
        <v>32</v>
      </c>
      <c r="B26" s="6" t="s">
        <v>8</v>
      </c>
      <c r="C26" s="6" t="s">
        <v>30</v>
      </c>
      <c r="D26" s="7" t="s">
        <v>10</v>
      </c>
      <c r="E26" s="8">
        <v>0.1</v>
      </c>
      <c r="F26" s="9">
        <f>8932/(8932+174)</f>
        <v>0.98089171974522293</v>
      </c>
      <c r="G26" s="9">
        <f>174/(8932+174)</f>
        <v>1.9108280254777069E-2</v>
      </c>
    </row>
    <row r="27" spans="1:10" x14ac:dyDescent="0.25">
      <c r="A27" s="5" t="s">
        <v>33</v>
      </c>
      <c r="B27" s="6" t="s">
        <v>8</v>
      </c>
      <c r="C27" s="6" t="s">
        <v>30</v>
      </c>
      <c r="D27" s="7" t="s">
        <v>10</v>
      </c>
      <c r="E27" s="8">
        <v>0.1</v>
      </c>
      <c r="F27" s="9">
        <f>14094/(14094+834)</f>
        <v>0.94413183279742763</v>
      </c>
      <c r="G27" s="9">
        <f>834/(14094+834)</f>
        <v>5.5868167202572344E-2</v>
      </c>
    </row>
    <row r="28" spans="1:10" x14ac:dyDescent="0.25">
      <c r="A28" s="5" t="s">
        <v>34</v>
      </c>
      <c r="B28" s="6" t="s">
        <v>8</v>
      </c>
      <c r="C28" s="6" t="s">
        <v>30</v>
      </c>
      <c r="D28" s="7" t="s">
        <v>10</v>
      </c>
      <c r="E28" s="8">
        <v>0.1</v>
      </c>
      <c r="F28" s="9">
        <f>5420/(5420+494)</f>
        <v>0.91646939465674671</v>
      </c>
      <c r="G28" s="9">
        <f>494/(5420+494)</f>
        <v>8.3530605343253295E-2</v>
      </c>
    </row>
    <row r="29" spans="1:10" x14ac:dyDescent="0.25">
      <c r="A29" s="5" t="s">
        <v>35</v>
      </c>
      <c r="B29" s="6" t="s">
        <v>8</v>
      </c>
      <c r="C29" s="6" t="s">
        <v>30</v>
      </c>
      <c r="D29" s="7" t="s">
        <v>10</v>
      </c>
      <c r="E29" s="8">
        <v>0.1</v>
      </c>
      <c r="F29" s="9">
        <f>9243/(9243+645)</f>
        <v>0.93476941747572817</v>
      </c>
      <c r="G29" s="9">
        <f>645/(9243+645)</f>
        <v>6.5230582524271843E-2</v>
      </c>
    </row>
    <row r="30" spans="1:10" x14ac:dyDescent="0.25">
      <c r="A30" s="5" t="s">
        <v>36</v>
      </c>
      <c r="B30" s="6" t="s">
        <v>8</v>
      </c>
      <c r="C30" s="6" t="s">
        <v>30</v>
      </c>
      <c r="D30" s="7" t="s">
        <v>10</v>
      </c>
      <c r="E30" s="8">
        <v>0.1</v>
      </c>
      <c r="F30" s="9">
        <f>10659/(10659+382)</f>
        <v>0.96540168463001541</v>
      </c>
      <c r="G30" s="9">
        <f>382/(10659+382)</f>
        <v>3.4598315369984603E-2</v>
      </c>
    </row>
    <row r="31" spans="1:10" x14ac:dyDescent="0.25">
      <c r="A31" s="5" t="s">
        <v>37</v>
      </c>
      <c r="B31" s="6" t="s">
        <v>8</v>
      </c>
      <c r="C31" s="6" t="s">
        <v>30</v>
      </c>
      <c r="D31" s="7" t="s">
        <v>10</v>
      </c>
      <c r="E31" s="8">
        <v>0.1</v>
      </c>
      <c r="F31" s="9">
        <f>12699/(12699+658)</f>
        <v>0.95073744104215019</v>
      </c>
      <c r="G31" s="9">
        <f>658/(12699+658)</f>
        <v>4.9262558957849818E-2</v>
      </c>
    </row>
    <row r="32" spans="1:10" x14ac:dyDescent="0.25">
      <c r="A32" s="5" t="s">
        <v>38</v>
      </c>
      <c r="B32" s="6" t="s">
        <v>8</v>
      </c>
      <c r="C32" s="6" t="s">
        <v>30</v>
      </c>
      <c r="D32" s="7" t="s">
        <v>10</v>
      </c>
      <c r="E32" s="8">
        <v>0.1</v>
      </c>
      <c r="F32" s="9">
        <f>16090/(16090+972)</f>
        <v>0.94303129762044313</v>
      </c>
      <c r="G32" s="9">
        <f>972/(16090+972)</f>
        <v>5.696870237955691E-2</v>
      </c>
    </row>
    <row r="33" spans="1:7" x14ac:dyDescent="0.25">
      <c r="A33" s="5" t="s">
        <v>39</v>
      </c>
      <c r="B33" s="6" t="s">
        <v>8</v>
      </c>
      <c r="C33" s="6" t="s">
        <v>30</v>
      </c>
      <c r="D33" s="7" t="s">
        <v>12</v>
      </c>
      <c r="E33" s="8">
        <v>0.1</v>
      </c>
      <c r="F33" s="9">
        <f>9347/(9347+382)</f>
        <v>0.9607359440846952</v>
      </c>
      <c r="G33" s="9">
        <f>382/(9347+382)</f>
        <v>3.9264055915304762E-2</v>
      </c>
    </row>
    <row r="34" spans="1:7" x14ac:dyDescent="0.25">
      <c r="A34" s="5" t="s">
        <v>40</v>
      </c>
      <c r="B34" s="14" t="s">
        <v>8</v>
      </c>
      <c r="C34" s="14" t="s">
        <v>30</v>
      </c>
      <c r="D34" s="14" t="s">
        <v>10</v>
      </c>
      <c r="E34" s="15">
        <v>0.1</v>
      </c>
      <c r="F34" s="12">
        <f>11860/(11860+324)</f>
        <v>0.97340774786605389</v>
      </c>
      <c r="G34" s="12">
        <f>324/(11860+324)</f>
        <v>2.659225213394616E-2</v>
      </c>
    </row>
    <row r="35" spans="1:7" x14ac:dyDescent="0.25">
      <c r="A35" s="5" t="s">
        <v>41</v>
      </c>
      <c r="B35" s="14" t="s">
        <v>8</v>
      </c>
      <c r="C35" s="14" t="s">
        <v>30</v>
      </c>
      <c r="D35" s="7" t="s">
        <v>10</v>
      </c>
      <c r="E35" s="8">
        <v>0.1</v>
      </c>
      <c r="F35" s="9">
        <f>10817/(10817+435)</f>
        <v>0.96134020618556704</v>
      </c>
      <c r="G35" s="9">
        <f>435/(10817+435)</f>
        <v>3.8659793814432991E-2</v>
      </c>
    </row>
    <row r="36" spans="1:7" x14ac:dyDescent="0.25">
      <c r="A36" s="5" t="s">
        <v>42</v>
      </c>
      <c r="B36" s="14" t="s">
        <v>8</v>
      </c>
      <c r="C36" s="14" t="s">
        <v>30</v>
      </c>
      <c r="D36" s="7" t="s">
        <v>12</v>
      </c>
      <c r="E36" s="8">
        <v>0.1</v>
      </c>
      <c r="F36" s="9">
        <f>16745/(16745+908)</f>
        <v>0.94856398345890214</v>
      </c>
      <c r="G36" s="9">
        <f>908/(16745+908)</f>
        <v>5.1436016541097827E-2</v>
      </c>
    </row>
    <row r="37" spans="1:7" x14ac:dyDescent="0.25">
      <c r="A37" s="5" t="s">
        <v>43</v>
      </c>
      <c r="B37" s="14" t="s">
        <v>8</v>
      </c>
      <c r="C37" s="14" t="s">
        <v>30</v>
      </c>
      <c r="D37" s="7" t="s">
        <v>12</v>
      </c>
      <c r="E37" s="8">
        <v>0.1</v>
      </c>
      <c r="F37" s="9">
        <f>15583/(15583+453)</f>
        <v>0.97175106011474188</v>
      </c>
      <c r="G37" s="9">
        <f>453/(15583+453)</f>
        <v>2.824893988525817E-2</v>
      </c>
    </row>
    <row r="38" spans="1:7" x14ac:dyDescent="0.25">
      <c r="A38" s="5" t="s">
        <v>44</v>
      </c>
      <c r="B38" s="14" t="s">
        <v>8</v>
      </c>
      <c r="C38" s="14" t="s">
        <v>30</v>
      </c>
      <c r="D38" s="7" t="s">
        <v>10</v>
      </c>
      <c r="E38" s="8">
        <v>0.1</v>
      </c>
      <c r="F38" s="9">
        <f>11065/(11065+206)</f>
        <v>0.98172300594445927</v>
      </c>
      <c r="G38" s="9">
        <f>206/(11065+206)</f>
        <v>1.8276994055540768E-2</v>
      </c>
    </row>
    <row r="39" spans="1:7" x14ac:dyDescent="0.25">
      <c r="A39" s="5" t="s">
        <v>45</v>
      </c>
      <c r="B39" s="14" t="s">
        <v>8</v>
      </c>
      <c r="C39" s="14" t="s">
        <v>30</v>
      </c>
      <c r="D39" s="7" t="s">
        <v>10</v>
      </c>
      <c r="E39" s="8">
        <v>0.1</v>
      </c>
      <c r="F39" s="9">
        <f>7722/(7722+269)</f>
        <v>0.96633712927042925</v>
      </c>
      <c r="G39" s="9">
        <f>269/(7722+269)</f>
        <v>3.3662870729570769E-2</v>
      </c>
    </row>
    <row r="40" spans="1:7" x14ac:dyDescent="0.25">
      <c r="A40" s="1" t="s">
        <v>46</v>
      </c>
      <c r="B40" s="16" t="s">
        <v>8</v>
      </c>
      <c r="C40" s="16" t="s">
        <v>30</v>
      </c>
      <c r="D40" s="2" t="s">
        <v>12</v>
      </c>
      <c r="E40" s="10">
        <v>0.1</v>
      </c>
      <c r="F40" s="4">
        <f>10346/(10346+407)</f>
        <v>0.96215009764716819</v>
      </c>
      <c r="G40" s="4">
        <f>407/(10346+407)</f>
        <v>3.7849902352831769E-2</v>
      </c>
    </row>
    <row r="41" spans="1:7" x14ac:dyDescent="0.25">
      <c r="E41" s="8" t="s">
        <v>25</v>
      </c>
      <c r="F41" s="9">
        <f>AVERAGE(F24:F40)</f>
        <v>0.95321918450629373</v>
      </c>
      <c r="G41" s="9">
        <f>AVERAGE(G24:G40)</f>
        <v>4.6780815493706093E-2</v>
      </c>
    </row>
    <row r="42" spans="1:7" x14ac:dyDescent="0.25">
      <c r="E42" s="8" t="s">
        <v>26</v>
      </c>
      <c r="F42" s="9">
        <f>STDEV(F24:F40)</f>
        <v>2.0557006715656238E-2</v>
      </c>
      <c r="G42" s="9">
        <f>STDEV(G24:G40)</f>
        <v>2.0557006715656259E-2</v>
      </c>
    </row>
    <row r="43" spans="1:7" x14ac:dyDescent="0.25">
      <c r="E43" s="8" t="s">
        <v>27</v>
      </c>
      <c r="F43" s="9">
        <f>F42/SQRT(COUNTA($A$24:$A$40))</f>
        <v>4.9858064726577798E-3</v>
      </c>
      <c r="G43" s="9">
        <f>G42/SQRT(COUNTA($A$24:$A$40))</f>
        <v>4.9858064726577851E-3</v>
      </c>
    </row>
  </sheetData>
  <pageMargins left="0.7" right="0.7" top="0.75" bottom="0.75" header="0.3" footer="0.3"/>
  <pageSetup scale="8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4 SD 1- SCR NB</vt:lpstr>
    </vt:vector>
  </TitlesOfParts>
  <Company>CALS CAAT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Clark</dc:creator>
  <cp:lastModifiedBy>Natalie Clark</cp:lastModifiedBy>
  <dcterms:created xsi:type="dcterms:W3CDTF">2016-05-31T18:44:02Z</dcterms:created>
  <dcterms:modified xsi:type="dcterms:W3CDTF">2016-05-31T18:44:10Z</dcterms:modified>
</cp:coreProperties>
</file>