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8e943b9406d820e6/Documents/Seagate Backup/Sozzani et al-2016/FINAL FILES/Suppl Tables/"/>
    </mc:Choice>
  </mc:AlternateContent>
  <bookViews>
    <workbookView xWindow="0" yWindow="0" windowWidth="24000" windowHeight="10320"/>
  </bookViews>
  <sheets>
    <sheet name="Fig 3 SD 1- SHR NB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4" i="1" l="1"/>
  <c r="E84" i="1"/>
  <c r="F83" i="1"/>
  <c r="E83" i="1"/>
  <c r="F82" i="1"/>
  <c r="E82" i="1"/>
  <c r="F81" i="1"/>
  <c r="E81" i="1"/>
  <c r="F80" i="1"/>
  <c r="E80" i="1"/>
  <c r="F79" i="1"/>
  <c r="E79" i="1"/>
  <c r="F78" i="1"/>
  <c r="F86" i="1" s="1"/>
  <c r="F87" i="1" s="1"/>
  <c r="E78" i="1"/>
  <c r="E86" i="1" s="1"/>
  <c r="E87" i="1" s="1"/>
  <c r="F77" i="1"/>
  <c r="F85" i="1" s="1"/>
  <c r="E77" i="1"/>
  <c r="E85" i="1" s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F72" i="1" s="1"/>
  <c r="E61" i="1"/>
  <c r="E72" i="1" s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F53" i="1" s="1"/>
  <c r="F54" i="1" s="1"/>
  <c r="E42" i="1"/>
  <c r="E53" i="1" s="1"/>
  <c r="E54" i="1" s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F57" i="1" s="1"/>
  <c r="F58" i="1" s="1"/>
  <c r="E7" i="1"/>
  <c r="E37" i="1" s="1"/>
  <c r="E73" i="1" l="1"/>
  <c r="E74" i="1" s="1"/>
  <c r="E56" i="1"/>
  <c r="E89" i="1"/>
  <c r="F56" i="1"/>
  <c r="F89" i="1"/>
  <c r="E38" i="1"/>
  <c r="E39" i="1" s="1"/>
  <c r="E52" i="1"/>
  <c r="E57" i="1"/>
  <c r="E58" i="1" s="1"/>
  <c r="E90" i="1"/>
  <c r="E91" i="1" s="1"/>
  <c r="F73" i="1"/>
  <c r="F74" i="1" s="1"/>
  <c r="F37" i="1"/>
  <c r="F38" i="1"/>
  <c r="F39" i="1" s="1"/>
  <c r="F52" i="1"/>
  <c r="F90" i="1"/>
  <c r="F91" i="1" s="1"/>
</calcChain>
</file>

<file path=xl/sharedStrings.xml><?xml version="1.0" encoding="utf-8"?>
<sst xmlns="http://schemas.openxmlformats.org/spreadsheetml/2006/main" count="219" uniqueCount="81">
  <si>
    <t>Filename</t>
  </si>
  <si>
    <t>Instrument</t>
  </si>
  <si>
    <t>Location</t>
  </si>
  <si>
    <t>Pixel Size (μm)</t>
  </si>
  <si>
    <t>% Monomer</t>
  </si>
  <si>
    <t xml:space="preserve"> % Dimer</t>
  </si>
  <si>
    <t>SHRSHRGFP_780_Vasc_1</t>
  </si>
  <si>
    <t>Zeiss 780</t>
  </si>
  <si>
    <t>Vasculature/endodermis</t>
  </si>
  <si>
    <t>SHRSHRGFP_780_Vasc_2</t>
  </si>
  <si>
    <t>SHRSHRGFP_780_Vasc_3</t>
  </si>
  <si>
    <t>Vasculature</t>
  </si>
  <si>
    <t>SHRSHRGFP_780_Vasc_4</t>
  </si>
  <si>
    <t>SHRSHRGFP_780_Vasc_5</t>
  </si>
  <si>
    <t>SHRSHRGFP_780_Vasc_6</t>
  </si>
  <si>
    <t>SHRSHRGFP_780_Vasc_7</t>
  </si>
  <si>
    <t>SCN and vasculature</t>
  </si>
  <si>
    <t>SHRSHRGFP_780_Vasc_8</t>
  </si>
  <si>
    <t>Vasculature/Endodermis</t>
  </si>
  <si>
    <t>SHRSHRGFP_780_Vasc_9</t>
  </si>
  <si>
    <t>SHRSHRGFP_780_Vasc_10</t>
  </si>
  <si>
    <t>SHRSHRGFP_780_Vasc_11</t>
  </si>
  <si>
    <t>SHRSHRGFP_780_Vasc_12</t>
  </si>
  <si>
    <t>SHRSHRGFP_780_Vasc_13</t>
  </si>
  <si>
    <t>SHRSHRGFP_780_Vasc_14</t>
  </si>
  <si>
    <t>SHRSHRGFP_780_Vasc_15</t>
  </si>
  <si>
    <t>SHRSHRGFP_780_Vasc_16</t>
  </si>
  <si>
    <t>SHRSHRGFP_780_Vasc_17</t>
  </si>
  <si>
    <t>SHRSHRGFP_780_Vasc_18</t>
  </si>
  <si>
    <t>SHRSHRGFP_780_Vasc_19</t>
  </si>
  <si>
    <t>SHRSHRGFP_780_Vasc_20</t>
  </si>
  <si>
    <t>SHRSHRGFP_780_Vasc_21</t>
  </si>
  <si>
    <t>SHRSHRGFP_780_Vasc_22</t>
  </si>
  <si>
    <t>SHRSHRGFP_780_Vasc_23</t>
  </si>
  <si>
    <t>SHRSHRGFP_780_Vasc_24</t>
  </si>
  <si>
    <t>SHRSHRGFP_780_Vasc_25</t>
  </si>
  <si>
    <t>SHRSHRGFP_780_Vasc_26</t>
  </si>
  <si>
    <t>SHRSHRGFP_780_Vasc_27</t>
  </si>
  <si>
    <t>SHRSHRGFP_780_Vasc_28</t>
  </si>
  <si>
    <t>SHRSHRGFP_780_Vasc_29</t>
  </si>
  <si>
    <t>SHRSHRGFP_780_Vasc_30</t>
  </si>
  <si>
    <t>Average:</t>
  </si>
  <si>
    <t>SD:</t>
  </si>
  <si>
    <t>SE:</t>
  </si>
  <si>
    <t>SHRSHRGFP_710_Vasc_1</t>
  </si>
  <si>
    <t>Zeiss 710</t>
  </si>
  <si>
    <t>Vasculature/SCN</t>
  </si>
  <si>
    <t>SHRSHRGFP_710_Vasc_2</t>
  </si>
  <si>
    <t>SHRSHRGFP_710_Vasc_3</t>
  </si>
  <si>
    <t>SHRSHRGFP_710_Vasc_4</t>
  </si>
  <si>
    <t>SHRSHRGFP_710_Vasc_5</t>
  </si>
  <si>
    <t>SHRSHRGFP_710_Vasc_6</t>
  </si>
  <si>
    <t>SHRSHRGFP_710_Vasc_7</t>
  </si>
  <si>
    <t>SHRSHRGFP_710_Vasc_8</t>
  </si>
  <si>
    <t>SHRSHRGFP_710_Vasc_9</t>
  </si>
  <si>
    <t>SCN</t>
  </si>
  <si>
    <t>SHRSHRGFP_710_Vasc_10</t>
  </si>
  <si>
    <t>Grand Mean:</t>
  </si>
  <si>
    <t>Grand SD:</t>
  </si>
  <si>
    <t>Grand SE:</t>
  </si>
  <si>
    <t>SHRSHRGFP_780_Endo_1</t>
  </si>
  <si>
    <t>Endodermis</t>
  </si>
  <si>
    <t>SHRSHRGFP_780_Endo_2</t>
  </si>
  <si>
    <t>SHRSHRGFP_780_Endo_3</t>
  </si>
  <si>
    <t>SHRSHRGFP_780_Endo_4</t>
  </si>
  <si>
    <t>SHRSHRGFP_780_Endo_5</t>
  </si>
  <si>
    <t>SHRSHRGFP_780_Endo_6</t>
  </si>
  <si>
    <t>SHRSHRGFP_780_Endo_7</t>
  </si>
  <si>
    <t>SHRSHRGFP_780_Endo_8</t>
  </si>
  <si>
    <t>SHRSHRGFP_780_Endo_9</t>
  </si>
  <si>
    <t>SHRSHRGFP_780_Endo_10</t>
  </si>
  <si>
    <t>SHRSHRGFP_780_Endo_11</t>
  </si>
  <si>
    <t>SHRSHRGFP_710_Endo_1</t>
  </si>
  <si>
    <t>SHRSHRGFP_710_Endo_2</t>
  </si>
  <si>
    <t>SHRSHRGFP_710_Endo_3</t>
  </si>
  <si>
    <t>SHRSHRGFP_710_Endo_4</t>
  </si>
  <si>
    <t xml:space="preserve"> Endodermis</t>
  </si>
  <si>
    <t>SHRSHRGFP_710_Endo_5</t>
  </si>
  <si>
    <t>SHRSHRGFP_710_Endo_6</t>
  </si>
  <si>
    <t>SHRSHRGFP_710_Endo_7</t>
  </si>
  <si>
    <t>SHRSHRGFP_710_Endo_8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</si>
</sst>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10" fontId="0" fillId="0" borderId="0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0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1" xfId="0" applyBorder="1"/>
    <xf numFmtId="2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10" fontId="0" fillId="0" borderId="0" xfId="0" applyNumberFormat="1" applyFill="1" applyAlignment="1">
      <alignment horizontal="center"/>
    </xf>
    <xf numFmtId="0" fontId="0" fillId="0" borderId="0" xfId="0" applyFill="1" applyBorder="1"/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10" fontId="0" fillId="0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10" fontId="1" fillId="0" borderId="3" xfId="0" applyNumberFormat="1" applyFont="1" applyBorder="1" applyAlignment="1">
      <alignment horizontal="center"/>
    </xf>
    <xf numFmtId="10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0" fontId="1" fillId="0" borderId="0" xfId="0" applyNumberFormat="1" applyFont="1" applyBorder="1" applyAlignment="1">
      <alignment horizontal="center"/>
    </xf>
    <xf numFmtId="10" fontId="1" fillId="0" borderId="6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10" fontId="1" fillId="0" borderId="8" xfId="0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6</xdr:col>
      <xdr:colOff>190500</xdr:colOff>
      <xdr:row>4</xdr:row>
      <xdr:rowOff>99060</xdr:rowOff>
    </xdr:to>
    <xdr:sp macro="" textlink="">
      <xdr:nvSpPr>
        <xdr:cNvPr id="2" name="TextBox 1"/>
        <xdr:cNvSpPr txBox="1"/>
      </xdr:nvSpPr>
      <xdr:spPr>
        <a:xfrm>
          <a:off x="0" y="1"/>
          <a:ext cx="6572250" cy="86105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Figure 3-Source data 1</a:t>
          </a:r>
          <a:r>
            <a:rPr lang="en-US" sz="1100"/>
            <a:t>. Oligomeric </a:t>
          </a:r>
          <a:r>
            <a:rPr lang="en-US" sz="1100" baseline="0"/>
            <a:t>state</a:t>
          </a:r>
          <a:r>
            <a:rPr lang="en-US" sz="1100"/>
            <a:t> of SHR:SHR-GFP in </a:t>
          </a:r>
          <a:r>
            <a:rPr lang="en-US" sz="1100" i="1"/>
            <a:t>shr2</a:t>
          </a:r>
          <a:r>
            <a:rPr lang="en-US" sz="1100"/>
            <a:t> line obtained using N&amp;B with the Zeiss 780 and Zeiss 710 instruments. Images were taken in both the vasculature and the endodermis.</a:t>
          </a:r>
          <a:r>
            <a:rPr lang="en-US" sz="1100" baseline="0"/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pixel dwell time was 12.61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l-G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μ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 for all images. The green laser intensity ranged from 1% to 3%. </a:t>
          </a:r>
          <a:r>
            <a:rPr lang="en-US" sz="1100"/>
            <a:t>SCN: stem cell niche; SD: standard deviation; SE: standard error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G91"/>
  <sheetViews>
    <sheetView tabSelected="1" workbookViewId="0">
      <selection activeCell="L85" sqref="L85"/>
    </sheetView>
  </sheetViews>
  <sheetFormatPr defaultRowHeight="15" x14ac:dyDescent="0.25"/>
  <cols>
    <col min="1" max="1" width="23" style="20" bestFit="1" customWidth="1"/>
    <col min="2" max="2" width="11" style="20" bestFit="1" customWidth="1"/>
    <col min="3" max="3" width="23.42578125" bestFit="1" customWidth="1"/>
    <col min="4" max="4" width="14.28515625" bestFit="1" customWidth="1"/>
    <col min="5" max="6" width="12" bestFit="1" customWidth="1"/>
  </cols>
  <sheetData>
    <row r="6" spans="1:6" x14ac:dyDescent="0.25">
      <c r="A6" s="1" t="s">
        <v>0</v>
      </c>
      <c r="B6" s="2" t="s">
        <v>1</v>
      </c>
      <c r="C6" s="2" t="s">
        <v>2</v>
      </c>
      <c r="D6" s="3" t="s">
        <v>3</v>
      </c>
      <c r="E6" s="4" t="s">
        <v>4</v>
      </c>
      <c r="F6" s="4" t="s">
        <v>5</v>
      </c>
    </row>
    <row r="7" spans="1:6" x14ac:dyDescent="0.25">
      <c r="A7" s="5" t="s">
        <v>6</v>
      </c>
      <c r="B7" s="6" t="s">
        <v>7</v>
      </c>
      <c r="C7" s="7" t="s">
        <v>8</v>
      </c>
      <c r="D7" s="8">
        <v>0.1</v>
      </c>
      <c r="E7" s="9">
        <f>49472/(49472+507)</f>
        <v>0.98985573941055238</v>
      </c>
      <c r="F7" s="9">
        <f>507/(49472+507)</f>
        <v>1.0144260589447568E-2</v>
      </c>
    </row>
    <row r="8" spans="1:6" x14ac:dyDescent="0.25">
      <c r="A8" s="5" t="s">
        <v>9</v>
      </c>
      <c r="B8" s="6" t="s">
        <v>7</v>
      </c>
      <c r="C8" s="10" t="s">
        <v>8</v>
      </c>
      <c r="D8" s="11">
        <v>0.1</v>
      </c>
      <c r="E8" s="12">
        <f>57427/(57427+1532)</f>
        <v>0.97401584151698639</v>
      </c>
      <c r="F8" s="12">
        <f>1532/(57427+1532)</f>
        <v>2.5984158483013619E-2</v>
      </c>
    </row>
    <row r="9" spans="1:6" x14ac:dyDescent="0.25">
      <c r="A9" s="5" t="s">
        <v>10</v>
      </c>
      <c r="B9" s="6" t="s">
        <v>7</v>
      </c>
      <c r="C9" s="13" t="s">
        <v>11</v>
      </c>
      <c r="D9" s="14">
        <v>0.05</v>
      </c>
      <c r="E9" s="12">
        <f>64650/(64650+510)</f>
        <v>0.99217311233885819</v>
      </c>
      <c r="F9" s="12">
        <f>510/(64650+510)</f>
        <v>7.8268876611418056E-3</v>
      </c>
    </row>
    <row r="10" spans="1:6" x14ac:dyDescent="0.25">
      <c r="A10" s="5" t="s">
        <v>12</v>
      </c>
      <c r="B10" s="6" t="s">
        <v>7</v>
      </c>
      <c r="C10" s="10" t="s">
        <v>11</v>
      </c>
      <c r="D10" s="11">
        <v>0.1</v>
      </c>
      <c r="E10" s="12">
        <f>63764/(63764+1910)</f>
        <v>0.97091695343667206</v>
      </c>
      <c r="F10" s="12">
        <f>1910/(63764+1910)</f>
        <v>2.9083046563327952E-2</v>
      </c>
    </row>
    <row r="11" spans="1:6" x14ac:dyDescent="0.25">
      <c r="A11" s="5" t="s">
        <v>13</v>
      </c>
      <c r="B11" s="6" t="s">
        <v>7</v>
      </c>
      <c r="C11" s="7" t="s">
        <v>8</v>
      </c>
      <c r="D11" s="8">
        <v>0.1</v>
      </c>
      <c r="E11" s="9">
        <f>34887/(34887+156)</f>
        <v>0.99554832634192281</v>
      </c>
      <c r="F11" s="9">
        <f>156/(34887+156)</f>
        <v>4.4516736580772192E-3</v>
      </c>
    </row>
    <row r="12" spans="1:6" x14ac:dyDescent="0.25">
      <c r="A12" s="5" t="s">
        <v>14</v>
      </c>
      <c r="B12" s="6" t="s">
        <v>7</v>
      </c>
      <c r="C12" s="7" t="s">
        <v>8</v>
      </c>
      <c r="D12" s="8">
        <v>0.1</v>
      </c>
      <c r="E12" s="9">
        <f>43960/(43960+972)</f>
        <v>0.97836731060268856</v>
      </c>
      <c r="F12" s="9">
        <f>972/(43960+972)</f>
        <v>2.1632689397311493E-2</v>
      </c>
    </row>
    <row r="13" spans="1:6" x14ac:dyDescent="0.25">
      <c r="A13" s="5" t="s">
        <v>15</v>
      </c>
      <c r="B13" s="6" t="s">
        <v>7</v>
      </c>
      <c r="C13" s="7" t="s">
        <v>16</v>
      </c>
      <c r="D13" s="8">
        <v>0.1</v>
      </c>
      <c r="E13" s="9">
        <f>44932/(44932+430)</f>
        <v>0.9905207001454962</v>
      </c>
      <c r="F13" s="9">
        <f>430/(44932+430)</f>
        <v>9.4792998545037699E-3</v>
      </c>
    </row>
    <row r="14" spans="1:6" x14ac:dyDescent="0.25">
      <c r="A14" s="5" t="s">
        <v>17</v>
      </c>
      <c r="B14" s="6" t="s">
        <v>7</v>
      </c>
      <c r="C14" s="10" t="s">
        <v>18</v>
      </c>
      <c r="D14" s="14">
        <v>0.05</v>
      </c>
      <c r="E14" s="12">
        <f>39830/(39830+667)</f>
        <v>0.98352964417117317</v>
      </c>
      <c r="F14" s="12">
        <f>667/(39830+667)</f>
        <v>1.6470355828826826E-2</v>
      </c>
    </row>
    <row r="15" spans="1:6" x14ac:dyDescent="0.25">
      <c r="A15" s="5" t="s">
        <v>19</v>
      </c>
      <c r="B15" s="6" t="s">
        <v>7</v>
      </c>
      <c r="C15" s="10" t="s">
        <v>18</v>
      </c>
      <c r="D15" s="14">
        <v>0.05</v>
      </c>
      <c r="E15" s="12">
        <f>40450/(40450+371)</f>
        <v>0.99091154062859799</v>
      </c>
      <c r="F15" s="12">
        <f>371/(40450+371)</f>
        <v>9.0884593714019753E-3</v>
      </c>
    </row>
    <row r="16" spans="1:6" x14ac:dyDescent="0.25">
      <c r="A16" s="5" t="s">
        <v>20</v>
      </c>
      <c r="B16" s="6" t="s">
        <v>7</v>
      </c>
      <c r="C16" s="10" t="s">
        <v>18</v>
      </c>
      <c r="D16" s="14">
        <v>0.05</v>
      </c>
      <c r="E16" s="12">
        <f>32563/(32563+727)</f>
        <v>0.97816161009312108</v>
      </c>
      <c r="F16" s="12">
        <f>727/(32563+727)</f>
        <v>2.1838389906878943E-2</v>
      </c>
    </row>
    <row r="17" spans="1:6" x14ac:dyDescent="0.25">
      <c r="A17" s="5" t="s">
        <v>21</v>
      </c>
      <c r="B17" s="6" t="s">
        <v>7</v>
      </c>
      <c r="C17" s="7" t="s">
        <v>8</v>
      </c>
      <c r="D17" s="8">
        <v>0.1</v>
      </c>
      <c r="E17" s="9">
        <f>50990/(50990+1192)</f>
        <v>0.97715687401786055</v>
      </c>
      <c r="F17" s="9">
        <f>1192/(50990+1192)</f>
        <v>2.2843125982139435E-2</v>
      </c>
    </row>
    <row r="18" spans="1:6" x14ac:dyDescent="0.25">
      <c r="A18" s="5" t="s">
        <v>22</v>
      </c>
      <c r="B18" s="6" t="s">
        <v>7</v>
      </c>
      <c r="C18" s="7" t="s">
        <v>8</v>
      </c>
      <c r="D18" s="8">
        <v>0.1</v>
      </c>
      <c r="E18" s="9">
        <f>50057/(50057+980)</f>
        <v>0.98079824441091756</v>
      </c>
      <c r="F18" s="9">
        <f>980/(50057+980)</f>
        <v>1.920175558908243E-2</v>
      </c>
    </row>
    <row r="19" spans="1:6" x14ac:dyDescent="0.25">
      <c r="A19" s="5" t="s">
        <v>23</v>
      </c>
      <c r="B19" s="6" t="s">
        <v>7</v>
      </c>
      <c r="C19" s="7" t="s">
        <v>16</v>
      </c>
      <c r="D19" s="8">
        <v>0.1</v>
      </c>
      <c r="E19" s="9">
        <f>47058/(47058+1046)</f>
        <v>0.97825544653251284</v>
      </c>
      <c r="F19" s="9">
        <f>1046/(47058+1046)</f>
        <v>2.1744553467487111E-2</v>
      </c>
    </row>
    <row r="20" spans="1:6" x14ac:dyDescent="0.25">
      <c r="A20" s="5" t="s">
        <v>24</v>
      </c>
      <c r="B20" s="6" t="s">
        <v>7</v>
      </c>
      <c r="C20" s="7" t="s">
        <v>16</v>
      </c>
      <c r="D20" s="8">
        <v>0.1</v>
      </c>
      <c r="E20" s="9">
        <f>55115/(55115+609)</f>
        <v>0.9890711363146939</v>
      </c>
      <c r="F20" s="9">
        <f>609/(55115+609)</f>
        <v>1.0928863685306153E-2</v>
      </c>
    </row>
    <row r="21" spans="1:6" x14ac:dyDescent="0.25">
      <c r="A21" s="5" t="s">
        <v>25</v>
      </c>
      <c r="B21" s="6" t="s">
        <v>7</v>
      </c>
      <c r="C21" s="6" t="s">
        <v>8</v>
      </c>
      <c r="D21" s="15">
        <v>0.1</v>
      </c>
      <c r="E21" s="16">
        <f>56252/(56252+676)</f>
        <v>0.98812535132096679</v>
      </c>
      <c r="F21" s="16">
        <f>676/(56252+676)</f>
        <v>1.1874648679033165E-2</v>
      </c>
    </row>
    <row r="22" spans="1:6" x14ac:dyDescent="0.25">
      <c r="A22" s="5" t="s">
        <v>26</v>
      </c>
      <c r="B22" s="6" t="s">
        <v>7</v>
      </c>
      <c r="C22" s="6" t="s">
        <v>8</v>
      </c>
      <c r="D22" s="15">
        <v>0.1</v>
      </c>
      <c r="E22" s="16">
        <f>58937/(58937+552)</f>
        <v>0.99072097362537614</v>
      </c>
      <c r="F22" s="16">
        <f>552/(58937+552)</f>
        <v>9.2790263746238798E-3</v>
      </c>
    </row>
    <row r="23" spans="1:6" x14ac:dyDescent="0.25">
      <c r="A23" s="5" t="s">
        <v>27</v>
      </c>
      <c r="B23" s="6" t="s">
        <v>7</v>
      </c>
      <c r="C23" s="7" t="s">
        <v>8</v>
      </c>
      <c r="D23" s="8">
        <v>0.1</v>
      </c>
      <c r="E23" s="9">
        <f>55402/(55402+723)</f>
        <v>0.98711804008908688</v>
      </c>
      <c r="F23" s="9">
        <f>723/(55402+723)</f>
        <v>1.288195991091314E-2</v>
      </c>
    </row>
    <row r="24" spans="1:6" x14ac:dyDescent="0.25">
      <c r="A24" s="5" t="s">
        <v>28</v>
      </c>
      <c r="B24" s="6" t="s">
        <v>7</v>
      </c>
      <c r="C24" s="7" t="s">
        <v>16</v>
      </c>
      <c r="D24" s="8">
        <v>0.1</v>
      </c>
      <c r="E24" s="9">
        <f>48407/(48407+2026)</f>
        <v>0.95982789046854244</v>
      </c>
      <c r="F24" s="9">
        <f>2026/(48407+2026)</f>
        <v>4.0172109531457577E-2</v>
      </c>
    </row>
    <row r="25" spans="1:6" x14ac:dyDescent="0.25">
      <c r="A25" s="5" t="s">
        <v>29</v>
      </c>
      <c r="B25" s="6" t="s">
        <v>7</v>
      </c>
      <c r="C25" s="6" t="s">
        <v>8</v>
      </c>
      <c r="D25" s="15">
        <v>0.1</v>
      </c>
      <c r="E25" s="16">
        <f>55385/(55385+934)</f>
        <v>0.98341589871979262</v>
      </c>
      <c r="F25" s="16">
        <f>934/(55385+934)</f>
        <v>1.6584101280207389E-2</v>
      </c>
    </row>
    <row r="26" spans="1:6" x14ac:dyDescent="0.25">
      <c r="A26" s="5" t="s">
        <v>30</v>
      </c>
      <c r="B26" s="6" t="s">
        <v>7</v>
      </c>
      <c r="C26" s="6" t="s">
        <v>8</v>
      </c>
      <c r="D26" s="15">
        <v>0.1</v>
      </c>
      <c r="E26" s="16">
        <f>50744/(50744+1646)</f>
        <v>0.96858179041801873</v>
      </c>
      <c r="F26" s="16">
        <f>1646/(50744+1646)</f>
        <v>3.1418209581981292E-2</v>
      </c>
    </row>
    <row r="27" spans="1:6" x14ac:dyDescent="0.25">
      <c r="A27" s="5" t="s">
        <v>31</v>
      </c>
      <c r="B27" s="6" t="s">
        <v>7</v>
      </c>
      <c r="C27" s="7" t="s">
        <v>16</v>
      </c>
      <c r="D27" s="8">
        <v>0.1</v>
      </c>
      <c r="E27" s="9">
        <f>52167/(52167+1247)</f>
        <v>0.97665406073314109</v>
      </c>
      <c r="F27" s="9">
        <f>1247/(52167+1247)</f>
        <v>2.3345939266858875E-2</v>
      </c>
    </row>
    <row r="28" spans="1:6" x14ac:dyDescent="0.25">
      <c r="A28" s="5" t="s">
        <v>32</v>
      </c>
      <c r="B28" s="6" t="s">
        <v>7</v>
      </c>
      <c r="C28" s="6" t="s">
        <v>8</v>
      </c>
      <c r="D28" s="15">
        <v>0.1</v>
      </c>
      <c r="E28" s="16">
        <f>38826/(38826+1133)</f>
        <v>0.97164593708551261</v>
      </c>
      <c r="F28" s="16">
        <f>1133/(38826+1133)</f>
        <v>2.835406291448735E-2</v>
      </c>
    </row>
    <row r="29" spans="1:6" x14ac:dyDescent="0.25">
      <c r="A29" s="5" t="s">
        <v>33</v>
      </c>
      <c r="B29" s="6" t="s">
        <v>7</v>
      </c>
      <c r="C29" s="7" t="s">
        <v>16</v>
      </c>
      <c r="D29" s="8">
        <v>0.1</v>
      </c>
      <c r="E29" s="9">
        <f>42534/(42534+881)</f>
        <v>0.97970747437521599</v>
      </c>
      <c r="F29" s="9">
        <f>881/(42534+881)</f>
        <v>2.029252562478406E-2</v>
      </c>
    </row>
    <row r="30" spans="1:6" x14ac:dyDescent="0.25">
      <c r="A30" s="5" t="s">
        <v>34</v>
      </c>
      <c r="B30" s="6" t="s">
        <v>7</v>
      </c>
      <c r="C30" s="6" t="s">
        <v>11</v>
      </c>
      <c r="D30" s="17">
        <v>0.05</v>
      </c>
      <c r="E30" s="16">
        <f>9945/(9945+264)</f>
        <v>0.97414046429620926</v>
      </c>
      <c r="F30" s="16">
        <f>264/(9945+264)</f>
        <v>2.5859535703790772E-2</v>
      </c>
    </row>
    <row r="31" spans="1:6" x14ac:dyDescent="0.25">
      <c r="A31" s="5" t="s">
        <v>35</v>
      </c>
      <c r="B31" s="6" t="s">
        <v>7</v>
      </c>
      <c r="C31" s="6" t="s">
        <v>11</v>
      </c>
      <c r="D31" s="17">
        <v>0.05</v>
      </c>
      <c r="E31" s="16">
        <f>63305/(63305+1558)</f>
        <v>0.97598014276243772</v>
      </c>
      <c r="F31" s="16">
        <f>1558/(63305+1558)</f>
        <v>2.4019857237562246E-2</v>
      </c>
    </row>
    <row r="32" spans="1:6" x14ac:dyDescent="0.25">
      <c r="A32" s="5" t="s">
        <v>36</v>
      </c>
      <c r="B32" s="6" t="s">
        <v>7</v>
      </c>
      <c r="C32" s="6" t="s">
        <v>11</v>
      </c>
      <c r="D32" s="17">
        <v>0.05</v>
      </c>
      <c r="E32" s="16">
        <f>63427/(63427+1403)</f>
        <v>0.97835878451334257</v>
      </c>
      <c r="F32" s="16">
        <f>1403/(63427+1403)</f>
        <v>2.1641215486657411E-2</v>
      </c>
    </row>
    <row r="33" spans="1:6" x14ac:dyDescent="0.25">
      <c r="A33" s="5" t="s">
        <v>37</v>
      </c>
      <c r="B33" s="6" t="s">
        <v>7</v>
      </c>
      <c r="C33" s="6" t="s">
        <v>11</v>
      </c>
      <c r="D33" s="17">
        <v>0.05</v>
      </c>
      <c r="E33" s="16">
        <f>63012/(63012+1674)</f>
        <v>0.97412113904090525</v>
      </c>
      <c r="F33" s="16">
        <f>1674/(63012+1674)</f>
        <v>2.5878860959094703E-2</v>
      </c>
    </row>
    <row r="34" spans="1:6" x14ac:dyDescent="0.25">
      <c r="A34" s="5" t="s">
        <v>38</v>
      </c>
      <c r="B34" s="6" t="s">
        <v>7</v>
      </c>
      <c r="C34" s="6" t="s">
        <v>11</v>
      </c>
      <c r="D34" s="17">
        <v>0.05</v>
      </c>
      <c r="E34" s="16">
        <f>63043/(63043+1978)</f>
        <v>0.9695790590732225</v>
      </c>
      <c r="F34" s="16">
        <f>1978/(63043+1978)</f>
        <v>3.0420940926777502E-2</v>
      </c>
    </row>
    <row r="35" spans="1:6" x14ac:dyDescent="0.25">
      <c r="A35" s="5" t="s">
        <v>39</v>
      </c>
      <c r="B35" s="6" t="s">
        <v>7</v>
      </c>
      <c r="C35" s="6" t="s">
        <v>8</v>
      </c>
      <c r="D35" s="17">
        <v>0.05</v>
      </c>
      <c r="E35" s="16">
        <f>49021/(49021+1264)</f>
        <v>0.9748632793079447</v>
      </c>
      <c r="F35" s="16">
        <f>1264/(49021+1264)</f>
        <v>2.5136720692055286E-2</v>
      </c>
    </row>
    <row r="36" spans="1:6" x14ac:dyDescent="0.25">
      <c r="A36" s="18" t="s">
        <v>40</v>
      </c>
      <c r="B36" s="2" t="s">
        <v>7</v>
      </c>
      <c r="C36" s="2" t="s">
        <v>11</v>
      </c>
      <c r="D36" s="19">
        <v>0.05</v>
      </c>
      <c r="E36" s="4">
        <f>17517/(17517+164)</f>
        <v>0.99072450653243593</v>
      </c>
      <c r="F36" s="4">
        <f>164/(17517+164)</f>
        <v>9.275493467564051E-3</v>
      </c>
    </row>
    <row r="37" spans="1:6" x14ac:dyDescent="0.25">
      <c r="D37" s="20" t="s">
        <v>41</v>
      </c>
      <c r="E37" s="21">
        <f>AVERAGE(E7:E36)</f>
        <v>0.98042824241080662</v>
      </c>
      <c r="F37" s="21">
        <f>AVERAGE(F7:F36)</f>
        <v>1.9571757589193165E-2</v>
      </c>
    </row>
    <row r="38" spans="1:6" x14ac:dyDescent="0.25">
      <c r="D38" s="20" t="s">
        <v>42</v>
      </c>
      <c r="E38" s="21">
        <f>STDEV(E7:E36)</f>
        <v>8.5934661853657411E-3</v>
      </c>
      <c r="F38" s="21">
        <f>STDEV(F7:F36)</f>
        <v>8.5934661853657359E-3</v>
      </c>
    </row>
    <row r="39" spans="1:6" x14ac:dyDescent="0.25">
      <c r="D39" s="20" t="s">
        <v>43</v>
      </c>
      <c r="E39" s="21">
        <f>E38/SQRT(COUNTA($A$7:$A$36))</f>
        <v>1.5689450922942291E-3</v>
      </c>
      <c r="F39" s="21">
        <f>F38/SQRT(COUNTA($A$7:$A$36))</f>
        <v>1.5689450922942282E-3</v>
      </c>
    </row>
    <row r="41" spans="1:6" x14ac:dyDescent="0.25">
      <c r="A41" s="18" t="s">
        <v>0</v>
      </c>
      <c r="B41" s="2" t="s">
        <v>1</v>
      </c>
      <c r="C41" s="2" t="s">
        <v>2</v>
      </c>
      <c r="D41" s="3" t="s">
        <v>3</v>
      </c>
      <c r="E41" s="4" t="s">
        <v>4</v>
      </c>
      <c r="F41" s="4" t="s">
        <v>5</v>
      </c>
    </row>
    <row r="42" spans="1:6" x14ac:dyDescent="0.25">
      <c r="A42" s="22" t="s">
        <v>44</v>
      </c>
      <c r="B42" s="20" t="s">
        <v>45</v>
      </c>
      <c r="C42" s="23" t="s">
        <v>46</v>
      </c>
      <c r="D42" s="24">
        <v>0.1</v>
      </c>
      <c r="E42" s="9">
        <f>41051/(41051+2398)</f>
        <v>0.94480885636033052</v>
      </c>
      <c r="F42" s="9">
        <f>2398/(41051+2398)</f>
        <v>5.5191143639669496E-2</v>
      </c>
    </row>
    <row r="43" spans="1:6" x14ac:dyDescent="0.25">
      <c r="A43" s="22" t="s">
        <v>47</v>
      </c>
      <c r="B43" s="20" t="s">
        <v>45</v>
      </c>
      <c r="C43" s="23" t="s">
        <v>46</v>
      </c>
      <c r="D43" s="24">
        <v>0.1</v>
      </c>
      <c r="E43" s="9">
        <f>40127/(40127+2161)</f>
        <v>0.94889803253878169</v>
      </c>
      <c r="F43" s="9">
        <f>2161/(40127+2161)</f>
        <v>5.1101967461218312E-2</v>
      </c>
    </row>
    <row r="44" spans="1:6" x14ac:dyDescent="0.25">
      <c r="A44" s="22" t="s">
        <v>48</v>
      </c>
      <c r="B44" s="20" t="s">
        <v>45</v>
      </c>
      <c r="C44" s="7" t="s">
        <v>46</v>
      </c>
      <c r="D44" s="8">
        <v>0.1</v>
      </c>
      <c r="E44" s="9">
        <f>45629/(45629+800)</f>
        <v>0.98276938982101703</v>
      </c>
      <c r="F44" s="9">
        <f>800/(45629+800)</f>
        <v>1.7230610178982964E-2</v>
      </c>
    </row>
    <row r="45" spans="1:6" x14ac:dyDescent="0.25">
      <c r="A45" s="22" t="s">
        <v>49</v>
      </c>
      <c r="B45" s="20" t="s">
        <v>45</v>
      </c>
      <c r="C45" s="7" t="s">
        <v>46</v>
      </c>
      <c r="D45" s="8">
        <v>0.1</v>
      </c>
      <c r="E45" s="9">
        <f>44580/(44580+764)</f>
        <v>0.98315102328863802</v>
      </c>
      <c r="F45" s="9">
        <f>764/(44580+764)</f>
        <v>1.6848976711362033E-2</v>
      </c>
    </row>
    <row r="46" spans="1:6" x14ac:dyDescent="0.25">
      <c r="A46" s="22" t="s">
        <v>50</v>
      </c>
      <c r="B46" s="20" t="s">
        <v>45</v>
      </c>
      <c r="C46" s="7" t="s">
        <v>46</v>
      </c>
      <c r="D46" s="8">
        <v>0.1</v>
      </c>
      <c r="E46" s="9">
        <f>32969/(32969+1188)</f>
        <v>0.96521942793570858</v>
      </c>
      <c r="F46" s="9">
        <f>1188/(32969+1188)</f>
        <v>3.478057206429136E-2</v>
      </c>
    </row>
    <row r="47" spans="1:6" x14ac:dyDescent="0.25">
      <c r="A47" s="22" t="s">
        <v>51</v>
      </c>
      <c r="B47" s="20" t="s">
        <v>45</v>
      </c>
      <c r="C47" s="7" t="s">
        <v>46</v>
      </c>
      <c r="D47" s="8">
        <v>0.1</v>
      </c>
      <c r="E47" s="9">
        <f>33850/(33850+727)</f>
        <v>0.97897446279318623</v>
      </c>
      <c r="F47" s="9">
        <f>727/(33850+727)</f>
        <v>2.1025537206813778E-2</v>
      </c>
    </row>
    <row r="48" spans="1:6" x14ac:dyDescent="0.25">
      <c r="A48" s="22" t="s">
        <v>52</v>
      </c>
      <c r="B48" s="20" t="s">
        <v>45</v>
      </c>
      <c r="C48" s="7" t="s">
        <v>46</v>
      </c>
      <c r="D48" s="8">
        <v>0.1</v>
      </c>
      <c r="E48" s="9">
        <f>42556/(42556+3786)</f>
        <v>0.91830305122782785</v>
      </c>
      <c r="F48" s="9">
        <f>3786/(42556+3786)</f>
        <v>8.1696948772172109E-2</v>
      </c>
    </row>
    <row r="49" spans="1:6" x14ac:dyDescent="0.25">
      <c r="A49" s="22" t="s">
        <v>53</v>
      </c>
      <c r="B49" s="20" t="s">
        <v>45</v>
      </c>
      <c r="C49" s="7" t="s">
        <v>46</v>
      </c>
      <c r="D49" s="8">
        <v>0.1</v>
      </c>
      <c r="E49" s="9">
        <f>36235/(36235+2734)</f>
        <v>0.92984166901896381</v>
      </c>
      <c r="F49" s="9">
        <f>2734/(36235+2734)</f>
        <v>7.0158330981036202E-2</v>
      </c>
    </row>
    <row r="50" spans="1:6" x14ac:dyDescent="0.25">
      <c r="A50" s="22" t="s">
        <v>54</v>
      </c>
      <c r="B50" s="20" t="s">
        <v>45</v>
      </c>
      <c r="C50" s="7" t="s">
        <v>55</v>
      </c>
      <c r="D50" s="8">
        <v>0.1</v>
      </c>
      <c r="E50" s="9">
        <f>18080/(18080+1173)</f>
        <v>0.93907442995896739</v>
      </c>
      <c r="F50" s="9">
        <f>1173/(18080+1173)</f>
        <v>6.0925570041032565E-2</v>
      </c>
    </row>
    <row r="51" spans="1:6" x14ac:dyDescent="0.25">
      <c r="A51" s="25" t="s">
        <v>56</v>
      </c>
      <c r="B51" s="2" t="s">
        <v>45</v>
      </c>
      <c r="C51" s="26" t="s">
        <v>8</v>
      </c>
      <c r="D51" s="27">
        <v>0.1</v>
      </c>
      <c r="E51" s="28">
        <f>29851/(29851+974)</f>
        <v>0.96840227088402275</v>
      </c>
      <c r="F51" s="28">
        <f>974/(29851+974)</f>
        <v>3.1597729115977288E-2</v>
      </c>
    </row>
    <row r="52" spans="1:6" x14ac:dyDescent="0.25">
      <c r="D52" s="20" t="s">
        <v>41</v>
      </c>
      <c r="E52" s="21">
        <f>AVERAGE(E42:E51)</f>
        <v>0.95594426138274424</v>
      </c>
      <c r="F52" s="21">
        <f>AVERAGE(F42:F51)</f>
        <v>4.4055738617255605E-2</v>
      </c>
    </row>
    <row r="53" spans="1:6" x14ac:dyDescent="0.25">
      <c r="D53" s="20" t="s">
        <v>42</v>
      </c>
      <c r="E53" s="21">
        <f>STDEV(E42:E51)</f>
        <v>2.3064788289839672E-2</v>
      </c>
      <c r="F53" s="21">
        <f>STDEV(F42:F51)</f>
        <v>2.3064788289839662E-2</v>
      </c>
    </row>
    <row r="54" spans="1:6" x14ac:dyDescent="0.25">
      <c r="D54" s="20" t="s">
        <v>43</v>
      </c>
      <c r="E54" s="21">
        <f>E53/SQRT(COUNTA($A$42:$A$51))</f>
        <v>7.2937264745473228E-3</v>
      </c>
      <c r="F54" s="21">
        <f>F53/SQRT(COUNTA($A$42:$A$51))</f>
        <v>7.2937264745473194E-3</v>
      </c>
    </row>
    <row r="56" spans="1:6" x14ac:dyDescent="0.25">
      <c r="D56" s="29" t="s">
        <v>57</v>
      </c>
      <c r="E56" s="30">
        <f t="shared" ref="E56:F56" si="0">AVERAGE(E7:E36,E42:E51)</f>
        <v>0.97430724715379124</v>
      </c>
      <c r="F56" s="31">
        <f t="shared" si="0"/>
        <v>2.5692752846208776E-2</v>
      </c>
    </row>
    <row r="57" spans="1:6" x14ac:dyDescent="0.25">
      <c r="D57" s="32" t="s">
        <v>58</v>
      </c>
      <c r="E57" s="33">
        <f t="shared" ref="E57:F57" si="1">STDEV(E7:E36,E42:E51)</f>
        <v>1.7116068513771544E-2</v>
      </c>
      <c r="F57" s="34">
        <f t="shared" si="1"/>
        <v>1.7116068513771537E-2</v>
      </c>
    </row>
    <row r="58" spans="1:6" x14ac:dyDescent="0.25">
      <c r="D58" s="35" t="s">
        <v>59</v>
      </c>
      <c r="E58" s="36">
        <f>E57/SQRT(COUNTA($A$42:$A$51)+COUNTA($A$7:$A$36))</f>
        <v>2.7062880545505575E-3</v>
      </c>
      <c r="F58" s="37">
        <f>F57/SQRT(COUNTA($A$42:$A$51)+COUNTA($A$7:$A$36))</f>
        <v>2.7062880545505562E-3</v>
      </c>
    </row>
    <row r="60" spans="1:6" x14ac:dyDescent="0.25">
      <c r="A60" s="18" t="s">
        <v>0</v>
      </c>
      <c r="B60" s="2" t="s">
        <v>1</v>
      </c>
      <c r="C60" s="2" t="s">
        <v>2</v>
      </c>
      <c r="D60" s="3" t="s">
        <v>3</v>
      </c>
      <c r="E60" s="4" t="s">
        <v>4</v>
      </c>
      <c r="F60" s="4" t="s">
        <v>5</v>
      </c>
    </row>
    <row r="61" spans="1:6" x14ac:dyDescent="0.25">
      <c r="A61" s="22" t="s">
        <v>60</v>
      </c>
      <c r="B61" s="6" t="s">
        <v>7</v>
      </c>
      <c r="C61" s="10" t="s">
        <v>61</v>
      </c>
      <c r="D61" s="14">
        <v>0.05</v>
      </c>
      <c r="E61" s="12">
        <f>19653/(19653+159)</f>
        <v>0.99197456087219871</v>
      </c>
      <c r="F61" s="12">
        <f>159/(19653+159)</f>
        <v>8.0254391278013325E-3</v>
      </c>
    </row>
    <row r="62" spans="1:6" x14ac:dyDescent="0.25">
      <c r="A62" s="22" t="s">
        <v>62</v>
      </c>
      <c r="B62" s="6" t="s">
        <v>7</v>
      </c>
      <c r="C62" s="10" t="s">
        <v>61</v>
      </c>
      <c r="D62" s="11">
        <v>0.1</v>
      </c>
      <c r="E62" s="12">
        <f>44183/(44183+2624)</f>
        <v>0.94394000897301689</v>
      </c>
      <c r="F62" s="12">
        <f>2624/(44183+2624)</f>
        <v>5.6059991026983141E-2</v>
      </c>
    </row>
    <row r="63" spans="1:6" x14ac:dyDescent="0.25">
      <c r="A63" s="22" t="s">
        <v>63</v>
      </c>
      <c r="B63" s="6" t="s">
        <v>7</v>
      </c>
      <c r="C63" s="10" t="s">
        <v>61</v>
      </c>
      <c r="D63" s="11">
        <v>0.1</v>
      </c>
      <c r="E63" s="12">
        <f>18346/(18346+2525)</f>
        <v>0.87901873412869536</v>
      </c>
      <c r="F63" s="12">
        <f>2525/(18346+2525)</f>
        <v>0.12098126587130469</v>
      </c>
    </row>
    <row r="64" spans="1:6" x14ac:dyDescent="0.25">
      <c r="A64" s="22" t="s">
        <v>64</v>
      </c>
      <c r="B64" s="6" t="s">
        <v>7</v>
      </c>
      <c r="C64" s="10" t="s">
        <v>61</v>
      </c>
      <c r="D64" s="11">
        <v>0.1</v>
      </c>
      <c r="E64" s="12">
        <f>12361/(12361+1274)</f>
        <v>0.90656398973230656</v>
      </c>
      <c r="F64" s="12">
        <f>1274/(12361+1274)</f>
        <v>9.3436010267693437E-2</v>
      </c>
    </row>
    <row r="65" spans="1:7" x14ac:dyDescent="0.25">
      <c r="A65" s="22" t="s">
        <v>65</v>
      </c>
      <c r="B65" s="6" t="s">
        <v>7</v>
      </c>
      <c r="C65" s="10" t="s">
        <v>61</v>
      </c>
      <c r="D65" s="11">
        <v>0.1</v>
      </c>
      <c r="E65" s="12">
        <f>19876/(19876+1165)</f>
        <v>0.94463190912979422</v>
      </c>
      <c r="F65" s="12">
        <f>1165/(19876+1165)</f>
        <v>5.5368090870205791E-2</v>
      </c>
    </row>
    <row r="66" spans="1:7" s="39" customFormat="1" x14ac:dyDescent="0.25">
      <c r="A66" s="22" t="s">
        <v>66</v>
      </c>
      <c r="B66" s="38" t="s">
        <v>7</v>
      </c>
      <c r="C66" s="13" t="s">
        <v>61</v>
      </c>
      <c r="D66" s="14">
        <v>0.1</v>
      </c>
      <c r="E66" s="12">
        <f>13024/(13024+1944)</f>
        <v>0.87012292891501875</v>
      </c>
      <c r="F66" s="12">
        <f>1944/(13024+1944)</f>
        <v>0.12987707108498128</v>
      </c>
    </row>
    <row r="67" spans="1:7" s="40" customFormat="1" x14ac:dyDescent="0.25">
      <c r="A67" s="22" t="s">
        <v>67</v>
      </c>
      <c r="B67" s="6" t="s">
        <v>7</v>
      </c>
      <c r="C67" s="6" t="s">
        <v>61</v>
      </c>
      <c r="D67" s="15">
        <v>0.1</v>
      </c>
      <c r="E67" s="16">
        <f>11818/(11818+851)</f>
        <v>0.93282816323308859</v>
      </c>
      <c r="F67" s="16">
        <f>851/(11818+851)</f>
        <v>6.7171836766911353E-2</v>
      </c>
      <c r="G67" s="39"/>
    </row>
    <row r="68" spans="1:7" x14ac:dyDescent="0.25">
      <c r="A68" s="22" t="s">
        <v>68</v>
      </c>
      <c r="B68" s="6" t="s">
        <v>7</v>
      </c>
      <c r="C68" s="6" t="s">
        <v>61</v>
      </c>
      <c r="D68" s="15">
        <v>0.1</v>
      </c>
      <c r="E68" s="16">
        <f>7073/(7073+571)</f>
        <v>0.92530088958660384</v>
      </c>
      <c r="F68" s="16">
        <f>571/(7073+571)</f>
        <v>7.4699110413396122E-2</v>
      </c>
    </row>
    <row r="69" spans="1:7" x14ac:dyDescent="0.25">
      <c r="A69" s="22" t="s">
        <v>69</v>
      </c>
      <c r="B69" s="6" t="s">
        <v>7</v>
      </c>
      <c r="C69" s="6" t="s">
        <v>61</v>
      </c>
      <c r="D69" s="17">
        <v>0.05</v>
      </c>
      <c r="E69" s="16">
        <f>30048/(30048+639)</f>
        <v>0.97917685013197775</v>
      </c>
      <c r="F69" s="16">
        <f>639/(30048+639)</f>
        <v>2.0823149868022289E-2</v>
      </c>
    </row>
    <row r="70" spans="1:7" x14ac:dyDescent="0.25">
      <c r="A70" s="22" t="s">
        <v>70</v>
      </c>
      <c r="B70" s="6" t="s">
        <v>7</v>
      </c>
      <c r="C70" s="6" t="s">
        <v>61</v>
      </c>
      <c r="D70" s="17">
        <v>0.05</v>
      </c>
      <c r="E70" s="16">
        <f>31964/(31964+2141)</f>
        <v>0.93722328104383523</v>
      </c>
      <c r="F70" s="16">
        <f>2141/(31964+2141)</f>
        <v>6.2776718956164781E-2</v>
      </c>
    </row>
    <row r="71" spans="1:7" x14ac:dyDescent="0.25">
      <c r="A71" s="25" t="s">
        <v>71</v>
      </c>
      <c r="B71" s="2" t="s">
        <v>7</v>
      </c>
      <c r="C71" s="2" t="s">
        <v>61</v>
      </c>
      <c r="D71" s="19">
        <v>0.05</v>
      </c>
      <c r="E71" s="4">
        <f>13718/(13718+1000)</f>
        <v>0.93205598586764504</v>
      </c>
      <c r="F71" s="4">
        <f>1000/(13718+1000)</f>
        <v>6.7944014132354943E-2</v>
      </c>
    </row>
    <row r="72" spans="1:7" x14ac:dyDescent="0.25">
      <c r="D72" s="20" t="s">
        <v>41</v>
      </c>
      <c r="E72" s="21">
        <f>AVERAGE(E61:E71)</f>
        <v>0.93116702741947099</v>
      </c>
      <c r="F72" s="21">
        <f>AVERAGE(F61:F71)</f>
        <v>6.8832972580529006E-2</v>
      </c>
    </row>
    <row r="73" spans="1:7" x14ac:dyDescent="0.25">
      <c r="D73" s="20" t="s">
        <v>42</v>
      </c>
      <c r="E73" s="21">
        <f>STDEV(E61:E71)</f>
        <v>3.6705213005620727E-2</v>
      </c>
      <c r="F73" s="21">
        <f>STDEV(F61:F71)</f>
        <v>3.6705213005620727E-2</v>
      </c>
    </row>
    <row r="74" spans="1:7" x14ac:dyDescent="0.25">
      <c r="D74" s="20" t="s">
        <v>43</v>
      </c>
      <c r="E74" s="21">
        <f>E73/SQRT(COUNTA($A$61:$A$71))</f>
        <v>1.1067038126337922E-2</v>
      </c>
      <c r="F74" s="21">
        <f>F73/SQRT(COUNTA($A$61:$A$71))</f>
        <v>1.1067038126337922E-2</v>
      </c>
    </row>
    <row r="76" spans="1:7" x14ac:dyDescent="0.25">
      <c r="A76" s="18" t="s">
        <v>0</v>
      </c>
      <c r="B76" s="2" t="s">
        <v>1</v>
      </c>
      <c r="C76" s="2" t="s">
        <v>2</v>
      </c>
      <c r="D76" s="3" t="s">
        <v>3</v>
      </c>
      <c r="E76" s="4" t="s">
        <v>4</v>
      </c>
      <c r="F76" s="4" t="s">
        <v>5</v>
      </c>
    </row>
    <row r="77" spans="1:7" x14ac:dyDescent="0.25">
      <c r="A77" s="22" t="s">
        <v>72</v>
      </c>
      <c r="B77" s="20" t="s">
        <v>45</v>
      </c>
      <c r="C77" s="38" t="s">
        <v>61</v>
      </c>
      <c r="D77" s="17">
        <v>0.1</v>
      </c>
      <c r="E77" s="21">
        <f>7270/(7270+1079)</f>
        <v>0.87076296562462574</v>
      </c>
      <c r="F77" s="21">
        <f>1079/(7270+1079)</f>
        <v>0.12923703437537429</v>
      </c>
    </row>
    <row r="78" spans="1:7" x14ac:dyDescent="0.25">
      <c r="A78" s="22" t="s">
        <v>73</v>
      </c>
      <c r="B78" s="20" t="s">
        <v>45</v>
      </c>
      <c r="C78" s="38" t="s">
        <v>61</v>
      </c>
      <c r="D78" s="17">
        <v>0.1</v>
      </c>
      <c r="E78" s="21">
        <f>16915/(16915+419)</f>
        <v>0.97582785277489326</v>
      </c>
      <c r="F78" s="21">
        <f>419/(16915+419)</f>
        <v>2.4172147225106726E-2</v>
      </c>
    </row>
    <row r="79" spans="1:7" x14ac:dyDescent="0.25">
      <c r="A79" s="22" t="s">
        <v>74</v>
      </c>
      <c r="B79" s="20" t="s">
        <v>45</v>
      </c>
      <c r="C79" s="38" t="s">
        <v>61</v>
      </c>
      <c r="D79" s="17">
        <v>0.1</v>
      </c>
      <c r="E79" s="21">
        <f>12211/(12211+717)</f>
        <v>0.94453898514851486</v>
      </c>
      <c r="F79" s="21">
        <f>717/(12211+717)</f>
        <v>5.5461014851485149E-2</v>
      </c>
    </row>
    <row r="80" spans="1:7" x14ac:dyDescent="0.25">
      <c r="A80" s="22" t="s">
        <v>75</v>
      </c>
      <c r="B80" s="20" t="s">
        <v>45</v>
      </c>
      <c r="C80" s="6" t="s">
        <v>76</v>
      </c>
      <c r="D80" s="15">
        <v>0.1</v>
      </c>
      <c r="E80" s="16">
        <f>13686/(13686+1173)</f>
        <v>0.92105794467999191</v>
      </c>
      <c r="F80" s="16">
        <f>1173/(13686+1173)</f>
        <v>7.8942055320008073E-2</v>
      </c>
    </row>
    <row r="81" spans="1:6" x14ac:dyDescent="0.25">
      <c r="A81" s="22" t="s">
        <v>77</v>
      </c>
      <c r="B81" s="20" t="s">
        <v>45</v>
      </c>
      <c r="C81" s="6" t="s">
        <v>61</v>
      </c>
      <c r="D81" s="17">
        <v>0.06</v>
      </c>
      <c r="E81" s="16">
        <f>18338/(18338+3225)</f>
        <v>0.85043825070723</v>
      </c>
      <c r="F81" s="16">
        <f>3225/(18338+3225)</f>
        <v>0.14956174929277002</v>
      </c>
    </row>
    <row r="82" spans="1:6" x14ac:dyDescent="0.25">
      <c r="A82" s="22" t="s">
        <v>78</v>
      </c>
      <c r="B82" s="20" t="s">
        <v>45</v>
      </c>
      <c r="C82" s="6" t="s">
        <v>61</v>
      </c>
      <c r="D82" s="17">
        <v>0.06</v>
      </c>
      <c r="E82" s="16">
        <f>19413/(19413+1275)</f>
        <v>0.93837006960556846</v>
      </c>
      <c r="F82" s="16">
        <f>1275/(19413+1275)</f>
        <v>6.1629930394431556E-2</v>
      </c>
    </row>
    <row r="83" spans="1:6" x14ac:dyDescent="0.25">
      <c r="A83" s="22" t="s">
        <v>79</v>
      </c>
      <c r="B83" s="20" t="s">
        <v>45</v>
      </c>
      <c r="C83" s="6" t="s">
        <v>61</v>
      </c>
      <c r="D83" s="17">
        <v>0.08</v>
      </c>
      <c r="E83" s="16">
        <f>9457/(9457+438)</f>
        <v>0.95573521980798382</v>
      </c>
      <c r="F83" s="16">
        <f>438/(9457+438)</f>
        <v>4.426478019201617E-2</v>
      </c>
    </row>
    <row r="84" spans="1:6" x14ac:dyDescent="0.25">
      <c r="A84" s="25" t="s">
        <v>80</v>
      </c>
      <c r="B84" s="2" t="s">
        <v>45</v>
      </c>
      <c r="C84" s="2" t="s">
        <v>61</v>
      </c>
      <c r="D84" s="3">
        <v>0.1</v>
      </c>
      <c r="E84" s="4">
        <f>11359/(11359+1524)</f>
        <v>0.88170457191647911</v>
      </c>
      <c r="F84" s="4">
        <f>1524/(11359+1524)</f>
        <v>0.11829542808352092</v>
      </c>
    </row>
    <row r="85" spans="1:6" x14ac:dyDescent="0.25">
      <c r="D85" s="20" t="s">
        <v>41</v>
      </c>
      <c r="E85" s="21">
        <f>AVERAGE(E77:E84)</f>
        <v>0.91730448253316088</v>
      </c>
      <c r="F85" s="21">
        <f>AVERAGE(F77:F84)</f>
        <v>8.2695517466839105E-2</v>
      </c>
    </row>
    <row r="86" spans="1:6" x14ac:dyDescent="0.25">
      <c r="D86" s="20" t="s">
        <v>42</v>
      </c>
      <c r="E86" s="21">
        <f>STDEV(E77:E84)</f>
        <v>4.4730991800345891E-2</v>
      </c>
      <c r="F86" s="21">
        <f>STDEV(F77:F84)</f>
        <v>4.4730991800345926E-2</v>
      </c>
    </row>
    <row r="87" spans="1:6" x14ac:dyDescent="0.25">
      <c r="D87" s="20" t="s">
        <v>43</v>
      </c>
      <c r="E87" s="21">
        <f>E86/SQRT(COUNTA($A$77:$A$84))</f>
        <v>1.5814793815612217E-2</v>
      </c>
      <c r="F87" s="21">
        <f>F86/SQRT(COUNTA($A$77:$A$84))</f>
        <v>1.5814793815612228E-2</v>
      </c>
    </row>
    <row r="89" spans="1:6" x14ac:dyDescent="0.25">
      <c r="D89" s="29" t="s">
        <v>57</v>
      </c>
      <c r="E89" s="30">
        <f t="shared" ref="E89:F89" si="2">AVERAGE(E61:E71,E77:E84)</f>
        <v>0.92533016641470889</v>
      </c>
      <c r="F89" s="31">
        <f t="shared" si="2"/>
        <v>7.4669833585291154E-2</v>
      </c>
    </row>
    <row r="90" spans="1:6" x14ac:dyDescent="0.25">
      <c r="D90" s="32" t="s">
        <v>58</v>
      </c>
      <c r="E90" s="33">
        <f t="shared" ref="E90:F90" si="3">STDEV(E61:E71,E77:E84)</f>
        <v>3.9699432709624817E-2</v>
      </c>
      <c r="F90" s="34">
        <f t="shared" si="3"/>
        <v>3.9699432709624824E-2</v>
      </c>
    </row>
    <row r="91" spans="1:6" x14ac:dyDescent="0.25">
      <c r="D91" s="35" t="s">
        <v>59</v>
      </c>
      <c r="E91" s="36">
        <f>E90/SQRT(COUNTA($A$77:$A$84)+COUNTA($A$61:$A$71))</f>
        <v>9.1076744893235605E-3</v>
      </c>
      <c r="F91" s="37">
        <f>F90/SQRT(COUNTA($A$77:$A$84)+COUNTA($A$61:$A$71))</f>
        <v>9.1076744893235622E-3</v>
      </c>
    </row>
  </sheetData>
  <pageMargins left="0.7" right="0.7" top="0.75" bottom="0.75" header="0.3" footer="0.3"/>
  <pageSetup scale="8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3 SD 1- SHR NB</vt:lpstr>
    </vt:vector>
  </TitlesOfParts>
  <Company>CALS CAAT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Clark</dc:creator>
  <cp:lastModifiedBy>Natalie Clark</cp:lastModifiedBy>
  <dcterms:created xsi:type="dcterms:W3CDTF">2016-05-31T18:42:52Z</dcterms:created>
  <dcterms:modified xsi:type="dcterms:W3CDTF">2016-05-31T18:43:05Z</dcterms:modified>
</cp:coreProperties>
</file>