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560" yWindow="560" windowWidth="21020" windowHeight="7860"/>
  </bookViews>
  <sheets>
    <sheet name="Information" sheetId="12" r:id="rId1"/>
    <sheet name="SW620_Transcription factor" sheetId="1" r:id="rId2"/>
    <sheet name="SW620_Pathway" sheetId="7" r:id="rId3"/>
    <sheet name="Colo205_Transcription factor" sheetId="5" r:id="rId4"/>
    <sheet name="Colo205_Pathway" sheetId="9" r:id="rId5"/>
    <sheet name="CDK8_SE_Transcription factor" sheetId="14" r:id="rId6"/>
    <sheet name="CDK8_SE_Toxicity Networks" sheetId="13" r:id="rId7"/>
    <sheet name="CDK8_SE_Pathway Maps" sheetId="15" r:id="rId8"/>
  </sheets>
  <externalReferences>
    <externalReference r:id="rId9"/>
  </externalReferences>
  <definedNames>
    <definedName name="_xlnm._FilterDatabase" localSheetId="7" hidden="1">'CDK8_SE_Pathway Maps'!$A$3:$I$13</definedName>
    <definedName name="_xlnm._FilterDatabase" localSheetId="6" hidden="1">'CDK8_SE_Toxicity Networks'!$A$3:$I$13</definedName>
    <definedName name="_xlnm._FilterDatabase" localSheetId="5">'CDK8_SE_Transcription factor'!$A$2:$K$2</definedName>
    <definedName name="_xlnm._FilterDatabase" localSheetId="4" hidden="1">Colo205_Pathway!$A$3:$I$13</definedName>
    <definedName name="_xlnm._FilterDatabase" localSheetId="3">'Colo205_Transcription factor'!$A$2:$M$2</definedName>
    <definedName name="_xlnm._FilterDatabase" localSheetId="2" hidden="1">SW620_Pathway!$A$3:$I$13</definedName>
    <definedName name="_xlnm._FilterDatabase" localSheetId="1">'SW620_Transcription factor'!$A$2:$M$2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87" i="14" l="1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K20" i="9"/>
  <c r="J20" i="9"/>
  <c r="K19" i="9"/>
  <c r="J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K4" i="9"/>
  <c r="J4" i="9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J5" i="7"/>
  <c r="K4" i="7"/>
  <c r="J4" i="7"/>
  <c r="A3" i="1"/>
  <c r="A4" i="5"/>
  <c r="O4" i="5"/>
  <c r="P4" i="5"/>
  <c r="Q4" i="5"/>
  <c r="A4" i="1"/>
  <c r="A5" i="5"/>
  <c r="O5" i="5"/>
  <c r="P5" i="5"/>
  <c r="Q5" i="5"/>
  <c r="A5" i="1"/>
  <c r="A6" i="1"/>
  <c r="A7" i="1"/>
  <c r="A8" i="1"/>
  <c r="A9" i="1"/>
  <c r="A10" i="1"/>
  <c r="A11" i="1"/>
  <c r="A6" i="5"/>
  <c r="O6" i="5"/>
  <c r="P6" i="5"/>
  <c r="Q6" i="5"/>
  <c r="A7" i="5"/>
  <c r="O7" i="5"/>
  <c r="P7" i="5"/>
  <c r="Q7" i="5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8" i="5"/>
  <c r="O8" i="5"/>
  <c r="P8" i="5"/>
  <c r="Q8" i="5"/>
  <c r="A9" i="5"/>
  <c r="O9" i="5"/>
  <c r="P9" i="5"/>
  <c r="Q9" i="5"/>
  <c r="A10" i="5"/>
  <c r="O10" i="5"/>
  <c r="P10" i="5"/>
  <c r="Q10" i="5"/>
  <c r="A11" i="5"/>
  <c r="O11" i="5"/>
  <c r="P11" i="5"/>
  <c r="Q11" i="5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" i="5"/>
  <c r="O12" i="5"/>
  <c r="P12" i="5"/>
  <c r="Q12" i="5"/>
  <c r="A13" i="5"/>
  <c r="O13" i="5"/>
  <c r="P13" i="5"/>
  <c r="Q13" i="5"/>
  <c r="A14" i="5"/>
  <c r="O14" i="5"/>
  <c r="P14" i="5"/>
  <c r="Q14" i="5"/>
  <c r="A15" i="5"/>
  <c r="O15" i="5"/>
  <c r="P15" i="5"/>
  <c r="Q15" i="5"/>
  <c r="A16" i="5"/>
  <c r="O16" i="5"/>
  <c r="P16" i="5"/>
  <c r="Q16" i="5"/>
  <c r="A17" i="5"/>
  <c r="O17" i="5"/>
  <c r="P17" i="5"/>
  <c r="Q17" i="5"/>
  <c r="A18" i="5"/>
  <c r="O18" i="5"/>
  <c r="P18" i="5"/>
  <c r="Q18" i="5"/>
  <c r="A19" i="5"/>
  <c r="O19" i="5"/>
  <c r="P19" i="5"/>
  <c r="Q19" i="5"/>
  <c r="A20" i="5"/>
  <c r="O20" i="5"/>
  <c r="P20" i="5"/>
  <c r="Q20" i="5"/>
  <c r="A21" i="5"/>
  <c r="O21" i="5"/>
  <c r="P21" i="5"/>
  <c r="Q21" i="5"/>
  <c r="A22" i="5"/>
  <c r="O22" i="5"/>
  <c r="P22" i="5"/>
  <c r="Q22" i="5"/>
  <c r="A23" i="5"/>
  <c r="O23" i="5"/>
  <c r="P23" i="5"/>
  <c r="Q23" i="5"/>
  <c r="A24" i="5"/>
  <c r="O24" i="5"/>
  <c r="P24" i="5"/>
  <c r="Q24" i="5"/>
  <c r="A25" i="5"/>
  <c r="O25" i="5"/>
  <c r="P25" i="5"/>
  <c r="Q25" i="5"/>
  <c r="A26" i="5"/>
  <c r="O26" i="5"/>
  <c r="P26" i="5"/>
  <c r="Q26" i="5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7" i="5"/>
  <c r="O27" i="5"/>
  <c r="P27" i="5"/>
  <c r="Q27" i="5"/>
  <c r="A28" i="5"/>
  <c r="O28" i="5"/>
  <c r="P28" i="5"/>
  <c r="Q28" i="5"/>
  <c r="A29" i="5"/>
  <c r="O29" i="5"/>
  <c r="P29" i="5"/>
  <c r="Q29" i="5"/>
  <c r="A30" i="5"/>
  <c r="O30" i="5"/>
  <c r="P30" i="5"/>
  <c r="Q30" i="5"/>
  <c r="A31" i="5"/>
  <c r="O31" i="5"/>
  <c r="P31" i="5"/>
  <c r="Q31" i="5"/>
  <c r="A32" i="5"/>
  <c r="O32" i="5"/>
  <c r="P32" i="5"/>
  <c r="Q32" i="5"/>
  <c r="A33" i="5"/>
  <c r="O33" i="5"/>
  <c r="P33" i="5"/>
  <c r="Q33" i="5"/>
  <c r="A34" i="5"/>
  <c r="O34" i="5"/>
  <c r="P34" i="5"/>
  <c r="Q34" i="5"/>
  <c r="A35" i="5"/>
  <c r="O35" i="5"/>
  <c r="P35" i="5"/>
  <c r="Q35" i="5"/>
  <c r="A36" i="5"/>
  <c r="O36" i="5"/>
  <c r="P36" i="5"/>
  <c r="Q36" i="5"/>
  <c r="A37" i="5"/>
  <c r="O37" i="5"/>
  <c r="P37" i="5"/>
  <c r="Q37" i="5"/>
  <c r="A38" i="5"/>
  <c r="O38" i="5"/>
  <c r="P38" i="5"/>
  <c r="Q38" i="5"/>
  <c r="A39" i="5"/>
  <c r="O39" i="5"/>
  <c r="P39" i="5"/>
  <c r="Q39" i="5"/>
  <c r="A40" i="5"/>
  <c r="O40" i="5"/>
  <c r="P40" i="5"/>
  <c r="Q40" i="5"/>
  <c r="A41" i="5"/>
  <c r="O41" i="5"/>
  <c r="P41" i="5"/>
  <c r="Q41" i="5"/>
  <c r="A42" i="5"/>
  <c r="O42" i="5"/>
  <c r="P42" i="5"/>
  <c r="Q42" i="5"/>
  <c r="A43" i="5"/>
  <c r="O43" i="5"/>
  <c r="P43" i="5"/>
  <c r="Q43" i="5"/>
  <c r="A44" i="5"/>
  <c r="O44" i="5"/>
  <c r="P44" i="5"/>
  <c r="Q44" i="5"/>
  <c r="A45" i="5"/>
  <c r="O45" i="5"/>
  <c r="P45" i="5"/>
  <c r="Q45" i="5"/>
  <c r="A46" i="5"/>
  <c r="O46" i="5"/>
  <c r="P46" i="5"/>
  <c r="Q46" i="5"/>
  <c r="A47" i="5"/>
  <c r="O47" i="5"/>
  <c r="P47" i="5"/>
  <c r="Q47" i="5"/>
  <c r="A48" i="5"/>
  <c r="O48" i="5"/>
  <c r="P48" i="5"/>
  <c r="Q48" i="5"/>
  <c r="A49" i="5"/>
  <c r="O49" i="5"/>
  <c r="P49" i="5"/>
  <c r="Q49" i="5"/>
  <c r="A50" i="5"/>
  <c r="O50" i="5"/>
  <c r="P50" i="5"/>
  <c r="Q50" i="5"/>
  <c r="A51" i="5"/>
  <c r="O51" i="5"/>
  <c r="P51" i="5"/>
  <c r="Q51" i="5"/>
  <c r="A52" i="5"/>
  <c r="O52" i="5"/>
  <c r="P52" i="5"/>
  <c r="Q52" i="5"/>
  <c r="A53" i="5"/>
  <c r="O53" i="5"/>
  <c r="P53" i="5"/>
  <c r="Q53" i="5"/>
  <c r="A54" i="5"/>
  <c r="O54" i="5"/>
  <c r="P54" i="5"/>
  <c r="Q54" i="5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55" i="5"/>
  <c r="O55" i="5"/>
  <c r="P55" i="5"/>
  <c r="Q55" i="5"/>
  <c r="A56" i="5"/>
  <c r="O56" i="5"/>
  <c r="P56" i="5"/>
  <c r="Q56" i="5"/>
  <c r="A57" i="5"/>
  <c r="O57" i="5"/>
  <c r="P57" i="5"/>
  <c r="Q57" i="5"/>
  <c r="A58" i="5"/>
  <c r="O58" i="5"/>
  <c r="P58" i="5"/>
  <c r="Q58" i="5"/>
  <c r="A59" i="5"/>
  <c r="O59" i="5"/>
  <c r="P59" i="5"/>
  <c r="Q59" i="5"/>
  <c r="A60" i="5"/>
  <c r="O60" i="5"/>
  <c r="P60" i="5"/>
  <c r="Q60" i="5"/>
  <c r="A61" i="5"/>
  <c r="O61" i="5"/>
  <c r="P61" i="5"/>
  <c r="Q61" i="5"/>
  <c r="A62" i="5"/>
  <c r="O62" i="5"/>
  <c r="P62" i="5"/>
  <c r="Q62" i="5"/>
  <c r="A63" i="5"/>
  <c r="O63" i="5"/>
  <c r="P63" i="5"/>
  <c r="Q63" i="5"/>
  <c r="A64" i="5"/>
  <c r="O64" i="5"/>
  <c r="P64" i="5"/>
  <c r="Q64" i="5"/>
  <c r="A65" i="5"/>
  <c r="O65" i="5"/>
  <c r="P65" i="5"/>
  <c r="Q65" i="5"/>
  <c r="A66" i="5"/>
  <c r="O66" i="5"/>
  <c r="P66" i="5"/>
  <c r="Q66" i="5"/>
  <c r="A67" i="5"/>
  <c r="O67" i="5"/>
  <c r="P67" i="5"/>
  <c r="Q67" i="5"/>
  <c r="A68" i="5"/>
  <c r="O68" i="5"/>
  <c r="P68" i="5"/>
  <c r="Q68" i="5"/>
  <c r="A69" i="5"/>
  <c r="O69" i="5"/>
  <c r="P69" i="5"/>
  <c r="Q69" i="5"/>
  <c r="A70" i="5"/>
  <c r="O70" i="5"/>
  <c r="P70" i="5"/>
  <c r="Q70" i="5"/>
  <c r="A71" i="5"/>
  <c r="O71" i="5"/>
  <c r="P71" i="5"/>
  <c r="Q71" i="5"/>
  <c r="A72" i="5"/>
  <c r="O72" i="5"/>
  <c r="P72" i="5"/>
  <c r="Q72" i="5"/>
  <c r="A73" i="5"/>
  <c r="O73" i="5"/>
  <c r="P73" i="5"/>
  <c r="Q73" i="5"/>
  <c r="A74" i="5"/>
  <c r="O74" i="5"/>
  <c r="P74" i="5"/>
  <c r="Q74" i="5"/>
  <c r="A75" i="5"/>
  <c r="O75" i="5"/>
  <c r="P75" i="5"/>
  <c r="Q75" i="5"/>
  <c r="A76" i="5"/>
  <c r="O76" i="5"/>
  <c r="P76" i="5"/>
  <c r="Q76" i="5"/>
  <c r="A77" i="5"/>
  <c r="O77" i="5"/>
  <c r="P77" i="5"/>
  <c r="Q77" i="5"/>
  <c r="A78" i="5"/>
  <c r="O78" i="5"/>
  <c r="P78" i="5"/>
  <c r="Q78" i="5"/>
  <c r="A79" i="5"/>
  <c r="O79" i="5"/>
  <c r="P79" i="5"/>
  <c r="Q79" i="5"/>
  <c r="A80" i="5"/>
  <c r="O80" i="5"/>
  <c r="P80" i="5"/>
  <c r="Q80" i="5"/>
  <c r="A81" i="5"/>
  <c r="O81" i="5"/>
  <c r="P81" i="5"/>
  <c r="Q81" i="5"/>
  <c r="A82" i="5"/>
  <c r="O82" i="5"/>
  <c r="P82" i="5"/>
  <c r="Q82" i="5"/>
  <c r="A83" i="5"/>
  <c r="O83" i="5"/>
  <c r="P83" i="5"/>
  <c r="Q83" i="5"/>
  <c r="A84" i="5"/>
  <c r="O84" i="5"/>
  <c r="P84" i="5"/>
  <c r="Q84" i="5"/>
  <c r="A85" i="5"/>
  <c r="O85" i="5"/>
  <c r="P85" i="5"/>
  <c r="Q85" i="5"/>
  <c r="A86" i="5"/>
  <c r="O86" i="5"/>
  <c r="P86" i="5"/>
  <c r="Q86" i="5"/>
  <c r="A87" i="5"/>
  <c r="O87" i="5"/>
  <c r="P87" i="5"/>
  <c r="Q87" i="5"/>
  <c r="A88" i="5"/>
  <c r="O88" i="5"/>
  <c r="P88" i="5"/>
  <c r="Q88" i="5"/>
  <c r="A89" i="5"/>
  <c r="O89" i="5"/>
  <c r="P89" i="5"/>
  <c r="Q89" i="5"/>
  <c r="A90" i="5"/>
  <c r="O90" i="5"/>
  <c r="P90" i="5"/>
  <c r="Q90" i="5"/>
  <c r="A91" i="5"/>
  <c r="O91" i="5"/>
  <c r="P91" i="5"/>
  <c r="Q91" i="5"/>
  <c r="A92" i="5"/>
  <c r="O92" i="5"/>
  <c r="P92" i="5"/>
  <c r="Q92" i="5"/>
  <c r="A93" i="5"/>
  <c r="O93" i="5"/>
  <c r="P93" i="5"/>
  <c r="Q93" i="5"/>
  <c r="A94" i="5"/>
  <c r="O94" i="5"/>
  <c r="P94" i="5"/>
  <c r="Q94" i="5"/>
  <c r="A95" i="5"/>
  <c r="O95" i="5"/>
  <c r="P95" i="5"/>
  <c r="Q95" i="5"/>
  <c r="A96" i="5"/>
  <c r="O96" i="5"/>
  <c r="P96" i="5"/>
  <c r="Q96" i="5"/>
  <c r="A97" i="5"/>
  <c r="O97" i="5"/>
  <c r="P97" i="5"/>
  <c r="Q97" i="5"/>
  <c r="A98" i="5"/>
  <c r="O98" i="5"/>
  <c r="P98" i="5"/>
  <c r="Q98" i="5"/>
  <c r="A99" i="5"/>
  <c r="O99" i="5"/>
  <c r="P99" i="5"/>
  <c r="Q99" i="5"/>
  <c r="A100" i="5"/>
  <c r="O100" i="5"/>
  <c r="P100" i="5"/>
  <c r="Q100" i="5"/>
  <c r="A101" i="5"/>
  <c r="O101" i="5"/>
  <c r="P101" i="5"/>
  <c r="Q101" i="5"/>
  <c r="A102" i="5"/>
  <c r="O102" i="5"/>
  <c r="P102" i="5"/>
  <c r="Q102" i="5"/>
  <c r="A103" i="5"/>
  <c r="O103" i="5"/>
  <c r="P103" i="5"/>
  <c r="Q103" i="5"/>
  <c r="A104" i="5"/>
  <c r="O104" i="5"/>
  <c r="P104" i="5"/>
  <c r="Q104" i="5"/>
  <c r="A105" i="5"/>
  <c r="O105" i="5"/>
  <c r="P105" i="5"/>
  <c r="Q105" i="5"/>
  <c r="A106" i="5"/>
  <c r="O106" i="5"/>
  <c r="P106" i="5"/>
  <c r="Q106" i="5"/>
  <c r="A107" i="5"/>
  <c r="O107" i="5"/>
  <c r="P107" i="5"/>
  <c r="Q107" i="5"/>
  <c r="A108" i="5"/>
  <c r="O108" i="5"/>
  <c r="P108" i="5"/>
  <c r="Q108" i="5"/>
  <c r="A109" i="5"/>
  <c r="O109" i="5"/>
  <c r="P109" i="5"/>
  <c r="Q109" i="5"/>
  <c r="A110" i="5"/>
  <c r="O110" i="5"/>
  <c r="P110" i="5"/>
  <c r="Q110" i="5"/>
  <c r="A111" i="5"/>
  <c r="O111" i="5"/>
  <c r="P111" i="5"/>
  <c r="Q111" i="5"/>
  <c r="A112" i="5"/>
  <c r="O112" i="5"/>
  <c r="P112" i="5"/>
  <c r="Q112" i="5"/>
  <c r="A113" i="5"/>
  <c r="O113" i="5"/>
  <c r="P113" i="5"/>
  <c r="Q113" i="5"/>
  <c r="A114" i="5"/>
  <c r="O114" i="5"/>
  <c r="P114" i="5"/>
  <c r="Q114" i="5"/>
  <c r="A115" i="5"/>
  <c r="O115" i="5"/>
  <c r="P115" i="5"/>
  <c r="Q115" i="5"/>
  <c r="A116" i="5"/>
  <c r="O116" i="5"/>
  <c r="P116" i="5"/>
  <c r="Q116" i="5"/>
  <c r="A117" i="5"/>
  <c r="O117" i="5"/>
  <c r="P117" i="5"/>
  <c r="Q117" i="5"/>
  <c r="A118" i="5"/>
  <c r="O118" i="5"/>
  <c r="P118" i="5"/>
  <c r="Q118" i="5"/>
  <c r="A119" i="5"/>
  <c r="O119" i="5"/>
  <c r="P119" i="5"/>
  <c r="Q119" i="5"/>
  <c r="A120" i="5"/>
  <c r="O120" i="5"/>
  <c r="P120" i="5"/>
  <c r="Q120" i="5"/>
  <c r="A121" i="5"/>
  <c r="O121" i="5"/>
  <c r="P121" i="5"/>
  <c r="Q121" i="5"/>
  <c r="A122" i="5"/>
  <c r="O122" i="5"/>
  <c r="P122" i="5"/>
  <c r="Q122" i="5"/>
  <c r="A123" i="5"/>
  <c r="O123" i="5"/>
  <c r="P123" i="5"/>
  <c r="Q123" i="5"/>
  <c r="A124" i="5"/>
  <c r="O124" i="5"/>
  <c r="P124" i="5"/>
  <c r="Q124" i="5"/>
  <c r="A125" i="5"/>
  <c r="O125" i="5"/>
  <c r="P125" i="5"/>
  <c r="Q125" i="5"/>
  <c r="A126" i="5"/>
  <c r="O126" i="5"/>
  <c r="P126" i="5"/>
  <c r="Q126" i="5"/>
  <c r="A127" i="5"/>
  <c r="O127" i="5"/>
  <c r="P127" i="5"/>
  <c r="Q127" i="5"/>
  <c r="A128" i="5"/>
  <c r="O128" i="5"/>
  <c r="P128" i="5"/>
  <c r="Q128" i="5"/>
  <c r="A129" i="5"/>
  <c r="O129" i="5"/>
  <c r="P129" i="5"/>
  <c r="Q129" i="5"/>
  <c r="A130" i="5"/>
  <c r="O130" i="5"/>
  <c r="P130" i="5"/>
  <c r="Q130" i="5"/>
  <c r="A131" i="5"/>
  <c r="O131" i="5"/>
  <c r="P131" i="5"/>
  <c r="Q131" i="5"/>
  <c r="A132" i="5"/>
  <c r="O132" i="5"/>
  <c r="P132" i="5"/>
  <c r="Q132" i="5"/>
  <c r="A133" i="5"/>
  <c r="O133" i="5"/>
  <c r="P133" i="5"/>
  <c r="Q133" i="5"/>
  <c r="A134" i="5"/>
  <c r="O134" i="5"/>
  <c r="P134" i="5"/>
  <c r="Q134" i="5"/>
  <c r="A135" i="5"/>
  <c r="O135" i="5"/>
  <c r="P135" i="5"/>
  <c r="Q135" i="5"/>
  <c r="A136" i="5"/>
  <c r="O136" i="5"/>
  <c r="P136" i="5"/>
  <c r="Q136" i="5"/>
  <c r="A137" i="5"/>
  <c r="O137" i="5"/>
  <c r="P137" i="5"/>
  <c r="Q137" i="5"/>
  <c r="A138" i="5"/>
  <c r="O138" i="5"/>
  <c r="P138" i="5"/>
  <c r="Q138" i="5"/>
  <c r="A139" i="5"/>
  <c r="O139" i="5"/>
  <c r="P139" i="5"/>
  <c r="Q139" i="5"/>
  <c r="A140" i="5"/>
  <c r="O140" i="5"/>
  <c r="P140" i="5"/>
  <c r="Q140" i="5"/>
  <c r="A141" i="5"/>
  <c r="O141" i="5"/>
  <c r="P141" i="5"/>
  <c r="Q141" i="5"/>
  <c r="A142" i="5"/>
  <c r="O142" i="5"/>
  <c r="P142" i="5"/>
  <c r="Q142" i="5"/>
  <c r="A143" i="5"/>
  <c r="O143" i="5"/>
  <c r="P143" i="5"/>
  <c r="Q143" i="5"/>
  <c r="A144" i="5"/>
  <c r="O144" i="5"/>
  <c r="P144" i="5"/>
  <c r="Q144" i="5"/>
  <c r="A145" i="5"/>
  <c r="O145" i="5"/>
  <c r="P145" i="5"/>
  <c r="Q145" i="5"/>
  <c r="A146" i="5"/>
  <c r="O146" i="5"/>
  <c r="P146" i="5"/>
  <c r="Q146" i="5"/>
  <c r="A147" i="5"/>
  <c r="O147" i="5"/>
  <c r="P147" i="5"/>
  <c r="Q147" i="5"/>
  <c r="A148" i="5"/>
  <c r="O148" i="5"/>
  <c r="P148" i="5"/>
  <c r="Q148" i="5"/>
  <c r="A149" i="5"/>
  <c r="O149" i="5"/>
  <c r="P149" i="5"/>
  <c r="Q149" i="5"/>
  <c r="A150" i="5"/>
  <c r="O150" i="5"/>
  <c r="P150" i="5"/>
  <c r="Q150" i="5"/>
  <c r="A151" i="5"/>
  <c r="O151" i="5"/>
  <c r="P151" i="5"/>
  <c r="Q151" i="5"/>
  <c r="A152" i="5"/>
  <c r="O152" i="5"/>
  <c r="P152" i="5"/>
  <c r="Q152" i="5"/>
  <c r="A153" i="5"/>
  <c r="O153" i="5"/>
  <c r="P153" i="5"/>
  <c r="Q153" i="5"/>
  <c r="A154" i="5"/>
  <c r="O154" i="5"/>
  <c r="P154" i="5"/>
  <c r="Q154" i="5"/>
  <c r="A155" i="5"/>
  <c r="O155" i="5"/>
  <c r="P155" i="5"/>
  <c r="Q155" i="5"/>
  <c r="A156" i="5"/>
  <c r="O156" i="5"/>
  <c r="P156" i="5"/>
  <c r="Q156" i="5"/>
  <c r="A157" i="5"/>
  <c r="O157" i="5"/>
  <c r="P157" i="5"/>
  <c r="Q157" i="5"/>
  <c r="A158" i="5"/>
  <c r="O158" i="5"/>
  <c r="P158" i="5"/>
  <c r="Q158" i="5"/>
  <c r="A159" i="5"/>
  <c r="O159" i="5"/>
  <c r="P159" i="5"/>
  <c r="Q159" i="5"/>
  <c r="A160" i="5"/>
  <c r="O160" i="5"/>
  <c r="P160" i="5"/>
  <c r="Q160" i="5"/>
  <c r="A161" i="5"/>
  <c r="O161" i="5"/>
  <c r="P161" i="5"/>
  <c r="Q161" i="5"/>
  <c r="A162" i="5"/>
  <c r="O162" i="5"/>
  <c r="P162" i="5"/>
  <c r="Q162" i="5"/>
  <c r="A163" i="5"/>
  <c r="O163" i="5"/>
  <c r="P163" i="5"/>
  <c r="Q163" i="5"/>
  <c r="A164" i="5"/>
  <c r="O164" i="5"/>
  <c r="P164" i="5"/>
  <c r="Q164" i="5"/>
  <c r="A165" i="5"/>
  <c r="O165" i="5"/>
  <c r="P165" i="5"/>
  <c r="Q165" i="5"/>
  <c r="A166" i="5"/>
  <c r="O166" i="5"/>
  <c r="P166" i="5"/>
  <c r="Q166" i="5"/>
  <c r="A167" i="5"/>
  <c r="O167" i="5"/>
  <c r="P167" i="5"/>
  <c r="Q167" i="5"/>
  <c r="A168" i="5"/>
  <c r="O168" i="5"/>
  <c r="P168" i="5"/>
  <c r="Q168" i="5"/>
  <c r="A169" i="5"/>
  <c r="O169" i="5"/>
  <c r="P169" i="5"/>
  <c r="Q169" i="5"/>
  <c r="A170" i="5"/>
  <c r="O170" i="5"/>
  <c r="P170" i="5"/>
  <c r="Q170" i="5"/>
  <c r="A171" i="5"/>
  <c r="O171" i="5"/>
  <c r="P171" i="5"/>
  <c r="Q171" i="5"/>
  <c r="A172" i="5"/>
  <c r="O172" i="5"/>
  <c r="P172" i="5"/>
  <c r="Q172" i="5"/>
  <c r="A173" i="5"/>
  <c r="O173" i="5"/>
  <c r="P173" i="5"/>
  <c r="Q173" i="5"/>
  <c r="A174" i="5"/>
  <c r="O174" i="5"/>
  <c r="P174" i="5"/>
  <c r="Q174" i="5"/>
  <c r="A175" i="5"/>
  <c r="O175" i="5"/>
  <c r="P175" i="5"/>
  <c r="Q175" i="5"/>
  <c r="A176" i="5"/>
  <c r="O176" i="5"/>
  <c r="P176" i="5"/>
  <c r="Q176" i="5"/>
  <c r="A177" i="5"/>
  <c r="O177" i="5"/>
  <c r="P177" i="5"/>
  <c r="Q177" i="5"/>
  <c r="A3" i="5"/>
  <c r="O3" i="5"/>
  <c r="Q3" i="5"/>
  <c r="P3" i="5"/>
  <c r="O4" i="1"/>
  <c r="P4" i="1"/>
  <c r="Q4" i="1"/>
  <c r="O5" i="1"/>
  <c r="P5" i="1"/>
  <c r="Q5" i="1"/>
  <c r="O6" i="1"/>
  <c r="P6" i="1"/>
  <c r="Q6" i="1"/>
  <c r="O7" i="1"/>
  <c r="P7" i="1"/>
  <c r="Q7" i="1"/>
  <c r="O8" i="1"/>
  <c r="P8" i="1"/>
  <c r="Q8" i="1"/>
  <c r="O9" i="1"/>
  <c r="P9" i="1"/>
  <c r="Q9" i="1"/>
  <c r="O10" i="1"/>
  <c r="P10" i="1"/>
  <c r="Q10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O18" i="1"/>
  <c r="P18" i="1"/>
  <c r="Q18" i="1"/>
  <c r="O19" i="1"/>
  <c r="P19" i="1"/>
  <c r="Q19" i="1"/>
  <c r="O20" i="1"/>
  <c r="P20" i="1"/>
  <c r="Q20" i="1"/>
  <c r="O21" i="1"/>
  <c r="P21" i="1"/>
  <c r="Q21" i="1"/>
  <c r="O22" i="1"/>
  <c r="P22" i="1"/>
  <c r="Q22" i="1"/>
  <c r="O23" i="1"/>
  <c r="P23" i="1"/>
  <c r="Q23" i="1"/>
  <c r="O24" i="1"/>
  <c r="P24" i="1"/>
  <c r="Q24" i="1"/>
  <c r="O25" i="1"/>
  <c r="P25" i="1"/>
  <c r="Q25" i="1"/>
  <c r="O26" i="1"/>
  <c r="P26" i="1"/>
  <c r="Q26" i="1"/>
  <c r="O27" i="1"/>
  <c r="P27" i="1"/>
  <c r="Q27" i="1"/>
  <c r="O28" i="1"/>
  <c r="P28" i="1"/>
  <c r="Q28" i="1"/>
  <c r="O29" i="1"/>
  <c r="P29" i="1"/>
  <c r="Q29" i="1"/>
  <c r="O30" i="1"/>
  <c r="P30" i="1"/>
  <c r="Q30" i="1"/>
  <c r="O31" i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38" i="1"/>
  <c r="P38" i="1"/>
  <c r="Q38" i="1"/>
  <c r="O39" i="1"/>
  <c r="P39" i="1"/>
  <c r="Q39" i="1"/>
  <c r="O40" i="1"/>
  <c r="P40" i="1"/>
  <c r="Q40" i="1"/>
  <c r="O41" i="1"/>
  <c r="P41" i="1"/>
  <c r="Q41" i="1"/>
  <c r="O42" i="1"/>
  <c r="P42" i="1"/>
  <c r="Q42" i="1"/>
  <c r="O43" i="1"/>
  <c r="P43" i="1"/>
  <c r="Q43" i="1"/>
  <c r="O44" i="1"/>
  <c r="P44" i="1"/>
  <c r="Q44" i="1"/>
  <c r="O45" i="1"/>
  <c r="P45" i="1"/>
  <c r="Q45" i="1"/>
  <c r="O46" i="1"/>
  <c r="P46" i="1"/>
  <c r="Q46" i="1"/>
  <c r="O47" i="1"/>
  <c r="P47" i="1"/>
  <c r="Q47" i="1"/>
  <c r="O48" i="1"/>
  <c r="P48" i="1"/>
  <c r="Q48" i="1"/>
  <c r="O49" i="1"/>
  <c r="P49" i="1"/>
  <c r="Q49" i="1"/>
  <c r="O50" i="1"/>
  <c r="P50" i="1"/>
  <c r="Q50" i="1"/>
  <c r="O51" i="1"/>
  <c r="P51" i="1"/>
  <c r="Q51" i="1"/>
  <c r="O52" i="1"/>
  <c r="P52" i="1"/>
  <c r="Q52" i="1"/>
  <c r="O53" i="1"/>
  <c r="P53" i="1"/>
  <c r="Q53" i="1"/>
  <c r="O54" i="1"/>
  <c r="P54" i="1"/>
  <c r="Q54" i="1"/>
  <c r="O55" i="1"/>
  <c r="P55" i="1"/>
  <c r="Q55" i="1"/>
  <c r="O56" i="1"/>
  <c r="P56" i="1"/>
  <c r="Q56" i="1"/>
  <c r="O57" i="1"/>
  <c r="P57" i="1"/>
  <c r="Q57" i="1"/>
  <c r="O58" i="1"/>
  <c r="P58" i="1"/>
  <c r="Q58" i="1"/>
  <c r="O59" i="1"/>
  <c r="P59" i="1"/>
  <c r="Q59" i="1"/>
  <c r="O60" i="1"/>
  <c r="P60" i="1"/>
  <c r="Q60" i="1"/>
  <c r="O61" i="1"/>
  <c r="P61" i="1"/>
  <c r="Q61" i="1"/>
  <c r="O62" i="1"/>
  <c r="P62" i="1"/>
  <c r="Q62" i="1"/>
  <c r="O63" i="1"/>
  <c r="P63" i="1"/>
  <c r="Q63" i="1"/>
  <c r="O64" i="1"/>
  <c r="P64" i="1"/>
  <c r="Q64" i="1"/>
  <c r="O65" i="1"/>
  <c r="P65" i="1"/>
  <c r="Q65" i="1"/>
  <c r="O66" i="1"/>
  <c r="P66" i="1"/>
  <c r="Q66" i="1"/>
  <c r="O67" i="1"/>
  <c r="P67" i="1"/>
  <c r="Q67" i="1"/>
  <c r="O68" i="1"/>
  <c r="P68" i="1"/>
  <c r="Q68" i="1"/>
  <c r="O69" i="1"/>
  <c r="P69" i="1"/>
  <c r="Q69" i="1"/>
  <c r="O70" i="1"/>
  <c r="P70" i="1"/>
  <c r="Q70" i="1"/>
  <c r="O71" i="1"/>
  <c r="P71" i="1"/>
  <c r="Q71" i="1"/>
  <c r="O72" i="1"/>
  <c r="P72" i="1"/>
  <c r="Q72" i="1"/>
  <c r="O73" i="1"/>
  <c r="P73" i="1"/>
  <c r="Q73" i="1"/>
  <c r="O74" i="1"/>
  <c r="P74" i="1"/>
  <c r="Q74" i="1"/>
  <c r="O75" i="1"/>
  <c r="P75" i="1"/>
  <c r="Q75" i="1"/>
  <c r="O76" i="1"/>
  <c r="P76" i="1"/>
  <c r="Q76" i="1"/>
  <c r="O77" i="1"/>
  <c r="P77" i="1"/>
  <c r="Q77" i="1"/>
  <c r="O78" i="1"/>
  <c r="P78" i="1"/>
  <c r="Q78" i="1"/>
  <c r="O79" i="1"/>
  <c r="P79" i="1"/>
  <c r="Q79" i="1"/>
  <c r="O80" i="1"/>
  <c r="P80" i="1"/>
  <c r="Q80" i="1"/>
  <c r="O81" i="1"/>
  <c r="P81" i="1"/>
  <c r="Q81" i="1"/>
  <c r="O82" i="1"/>
  <c r="P82" i="1"/>
  <c r="Q82" i="1"/>
  <c r="O83" i="1"/>
  <c r="P83" i="1"/>
  <c r="Q83" i="1"/>
  <c r="O84" i="1"/>
  <c r="P84" i="1"/>
  <c r="Q84" i="1"/>
  <c r="O85" i="1"/>
  <c r="P85" i="1"/>
  <c r="Q85" i="1"/>
  <c r="O86" i="1"/>
  <c r="P86" i="1"/>
  <c r="Q86" i="1"/>
  <c r="O87" i="1"/>
  <c r="P87" i="1"/>
  <c r="Q87" i="1"/>
  <c r="O88" i="1"/>
  <c r="P88" i="1"/>
  <c r="Q88" i="1"/>
  <c r="O89" i="1"/>
  <c r="P89" i="1"/>
  <c r="Q89" i="1"/>
  <c r="O90" i="1"/>
  <c r="P90" i="1"/>
  <c r="Q90" i="1"/>
  <c r="O91" i="1"/>
  <c r="P91" i="1"/>
  <c r="Q91" i="1"/>
  <c r="O92" i="1"/>
  <c r="P92" i="1"/>
  <c r="Q92" i="1"/>
  <c r="O93" i="1"/>
  <c r="P93" i="1"/>
  <c r="Q93" i="1"/>
  <c r="O94" i="1"/>
  <c r="P94" i="1"/>
  <c r="Q94" i="1"/>
  <c r="O95" i="1"/>
  <c r="P95" i="1"/>
  <c r="Q95" i="1"/>
  <c r="O96" i="1"/>
  <c r="P96" i="1"/>
  <c r="Q96" i="1"/>
  <c r="O97" i="1"/>
  <c r="P97" i="1"/>
  <c r="Q97" i="1"/>
  <c r="O98" i="1"/>
  <c r="P98" i="1"/>
  <c r="Q98" i="1"/>
  <c r="O99" i="1"/>
  <c r="P99" i="1"/>
  <c r="Q99" i="1"/>
  <c r="O100" i="1"/>
  <c r="P100" i="1"/>
  <c r="Q100" i="1"/>
  <c r="O101" i="1"/>
  <c r="P101" i="1"/>
  <c r="Q101" i="1"/>
  <c r="O102" i="1"/>
  <c r="P102" i="1"/>
  <c r="Q102" i="1"/>
  <c r="O103" i="1"/>
  <c r="P103" i="1"/>
  <c r="Q103" i="1"/>
  <c r="O104" i="1"/>
  <c r="P104" i="1"/>
  <c r="Q104" i="1"/>
  <c r="O105" i="1"/>
  <c r="P105" i="1"/>
  <c r="Q105" i="1"/>
  <c r="O106" i="1"/>
  <c r="P106" i="1"/>
  <c r="Q106" i="1"/>
  <c r="O107" i="1"/>
  <c r="P107" i="1"/>
  <c r="Q107" i="1"/>
  <c r="O108" i="1"/>
  <c r="P108" i="1"/>
  <c r="Q108" i="1"/>
  <c r="O109" i="1"/>
  <c r="P109" i="1"/>
  <c r="Q109" i="1"/>
  <c r="O110" i="1"/>
  <c r="P110" i="1"/>
  <c r="Q110" i="1"/>
  <c r="O111" i="1"/>
  <c r="P111" i="1"/>
  <c r="Q111" i="1"/>
  <c r="O112" i="1"/>
  <c r="P112" i="1"/>
  <c r="Q112" i="1"/>
  <c r="O113" i="1"/>
  <c r="P113" i="1"/>
  <c r="Q113" i="1"/>
  <c r="O114" i="1"/>
  <c r="P114" i="1"/>
  <c r="Q114" i="1"/>
  <c r="O115" i="1"/>
  <c r="P115" i="1"/>
  <c r="Q115" i="1"/>
  <c r="O116" i="1"/>
  <c r="P116" i="1"/>
  <c r="Q116" i="1"/>
  <c r="O117" i="1"/>
  <c r="P117" i="1"/>
  <c r="Q117" i="1"/>
  <c r="O118" i="1"/>
  <c r="P118" i="1"/>
  <c r="Q118" i="1"/>
  <c r="O119" i="1"/>
  <c r="P119" i="1"/>
  <c r="Q119" i="1"/>
  <c r="O120" i="1"/>
  <c r="P120" i="1"/>
  <c r="Q120" i="1"/>
  <c r="O121" i="1"/>
  <c r="P121" i="1"/>
  <c r="Q121" i="1"/>
  <c r="O122" i="1"/>
  <c r="P122" i="1"/>
  <c r="Q122" i="1"/>
  <c r="O123" i="1"/>
  <c r="P123" i="1"/>
  <c r="Q123" i="1"/>
  <c r="O124" i="1"/>
  <c r="P124" i="1"/>
  <c r="Q124" i="1"/>
  <c r="O125" i="1"/>
  <c r="P125" i="1"/>
  <c r="Q125" i="1"/>
  <c r="O126" i="1"/>
  <c r="P126" i="1"/>
  <c r="Q126" i="1"/>
  <c r="O127" i="1"/>
  <c r="P127" i="1"/>
  <c r="Q127" i="1"/>
  <c r="O128" i="1"/>
  <c r="P128" i="1"/>
  <c r="Q128" i="1"/>
  <c r="O129" i="1"/>
  <c r="P129" i="1"/>
  <c r="Q129" i="1"/>
  <c r="O130" i="1"/>
  <c r="P130" i="1"/>
  <c r="Q130" i="1"/>
  <c r="O131" i="1"/>
  <c r="P131" i="1"/>
  <c r="Q131" i="1"/>
  <c r="O132" i="1"/>
  <c r="P132" i="1"/>
  <c r="Q132" i="1"/>
  <c r="O133" i="1"/>
  <c r="P133" i="1"/>
  <c r="Q133" i="1"/>
  <c r="O134" i="1"/>
  <c r="P134" i="1"/>
  <c r="Q134" i="1"/>
  <c r="O135" i="1"/>
  <c r="P135" i="1"/>
  <c r="Q135" i="1"/>
  <c r="O136" i="1"/>
  <c r="P136" i="1"/>
  <c r="Q136" i="1"/>
  <c r="O137" i="1"/>
  <c r="P137" i="1"/>
  <c r="Q137" i="1"/>
  <c r="O138" i="1"/>
  <c r="P138" i="1"/>
  <c r="Q138" i="1"/>
  <c r="O139" i="1"/>
  <c r="P139" i="1"/>
  <c r="Q139" i="1"/>
  <c r="O140" i="1"/>
  <c r="P140" i="1"/>
  <c r="Q140" i="1"/>
  <c r="O141" i="1"/>
  <c r="P141" i="1"/>
  <c r="Q141" i="1"/>
  <c r="O142" i="1"/>
  <c r="P142" i="1"/>
  <c r="Q142" i="1"/>
  <c r="O143" i="1"/>
  <c r="P143" i="1"/>
  <c r="Q143" i="1"/>
  <c r="O144" i="1"/>
  <c r="P144" i="1"/>
  <c r="Q144" i="1"/>
  <c r="O145" i="1"/>
  <c r="P145" i="1"/>
  <c r="Q145" i="1"/>
  <c r="O146" i="1"/>
  <c r="P146" i="1"/>
  <c r="Q146" i="1"/>
  <c r="O147" i="1"/>
  <c r="P147" i="1"/>
  <c r="Q147" i="1"/>
  <c r="O148" i="1"/>
  <c r="P148" i="1"/>
  <c r="Q148" i="1"/>
  <c r="O149" i="1"/>
  <c r="P149" i="1"/>
  <c r="Q149" i="1"/>
  <c r="O150" i="1"/>
  <c r="P150" i="1"/>
  <c r="Q150" i="1"/>
  <c r="O151" i="1"/>
  <c r="P151" i="1"/>
  <c r="Q151" i="1"/>
  <c r="O152" i="1"/>
  <c r="P152" i="1"/>
  <c r="Q152" i="1"/>
  <c r="O153" i="1"/>
  <c r="P153" i="1"/>
  <c r="Q153" i="1"/>
  <c r="O154" i="1"/>
  <c r="P154" i="1"/>
  <c r="Q154" i="1"/>
  <c r="O155" i="1"/>
  <c r="P155" i="1"/>
  <c r="Q155" i="1"/>
  <c r="O156" i="1"/>
  <c r="P156" i="1"/>
  <c r="Q156" i="1"/>
  <c r="O157" i="1"/>
  <c r="P157" i="1"/>
  <c r="Q157" i="1"/>
  <c r="O158" i="1"/>
  <c r="P158" i="1"/>
  <c r="Q158" i="1"/>
  <c r="O159" i="1"/>
  <c r="P159" i="1"/>
  <c r="Q159" i="1"/>
  <c r="O160" i="1"/>
  <c r="P160" i="1"/>
  <c r="Q160" i="1"/>
  <c r="O161" i="1"/>
  <c r="P161" i="1"/>
  <c r="Q161" i="1"/>
  <c r="O162" i="1"/>
  <c r="P162" i="1"/>
  <c r="Q162" i="1"/>
  <c r="O163" i="1"/>
  <c r="P163" i="1"/>
  <c r="Q163" i="1"/>
  <c r="O164" i="1"/>
  <c r="P164" i="1"/>
  <c r="Q164" i="1"/>
  <c r="O165" i="1"/>
  <c r="P165" i="1"/>
  <c r="Q165" i="1"/>
  <c r="O166" i="1"/>
  <c r="P166" i="1"/>
  <c r="Q166" i="1"/>
  <c r="O167" i="1"/>
  <c r="P167" i="1"/>
  <c r="Q167" i="1"/>
  <c r="O168" i="1"/>
  <c r="P168" i="1"/>
  <c r="Q168" i="1"/>
  <c r="O169" i="1"/>
  <c r="P169" i="1"/>
  <c r="Q169" i="1"/>
  <c r="O170" i="1"/>
  <c r="P170" i="1"/>
  <c r="Q170" i="1"/>
  <c r="O171" i="1"/>
  <c r="P171" i="1"/>
  <c r="Q171" i="1"/>
  <c r="O172" i="1"/>
  <c r="P172" i="1"/>
  <c r="Q172" i="1"/>
  <c r="O173" i="1"/>
  <c r="P173" i="1"/>
  <c r="Q173" i="1"/>
  <c r="O174" i="1"/>
  <c r="P174" i="1"/>
  <c r="Q174" i="1"/>
  <c r="O175" i="1"/>
  <c r="P175" i="1"/>
  <c r="Q175" i="1"/>
  <c r="O176" i="1"/>
  <c r="P176" i="1"/>
  <c r="Q176" i="1"/>
  <c r="O177" i="1"/>
  <c r="P177" i="1"/>
  <c r="Q177" i="1"/>
  <c r="O178" i="1"/>
  <c r="P178" i="1"/>
  <c r="Q178" i="1"/>
  <c r="O179" i="1"/>
  <c r="P179" i="1"/>
  <c r="Q179" i="1"/>
  <c r="O180" i="1"/>
  <c r="P180" i="1"/>
  <c r="Q180" i="1"/>
  <c r="O181" i="1"/>
  <c r="P181" i="1"/>
  <c r="Q181" i="1"/>
  <c r="O182" i="1"/>
  <c r="P182" i="1"/>
  <c r="Q182" i="1"/>
  <c r="O183" i="1"/>
  <c r="P183" i="1"/>
  <c r="Q183" i="1"/>
  <c r="O184" i="1"/>
  <c r="P184" i="1"/>
  <c r="Q184" i="1"/>
  <c r="O185" i="1"/>
  <c r="P185" i="1"/>
  <c r="Q185" i="1"/>
  <c r="O186" i="1"/>
  <c r="P186" i="1"/>
  <c r="Q186" i="1"/>
  <c r="O187" i="1"/>
  <c r="P187" i="1"/>
  <c r="Q187" i="1"/>
  <c r="O188" i="1"/>
  <c r="P188" i="1"/>
  <c r="Q188" i="1"/>
  <c r="O189" i="1"/>
  <c r="P189" i="1"/>
  <c r="Q189" i="1"/>
  <c r="O190" i="1"/>
  <c r="P190" i="1"/>
  <c r="Q190" i="1"/>
  <c r="O191" i="1"/>
  <c r="P191" i="1"/>
  <c r="Q191" i="1"/>
  <c r="O192" i="1"/>
  <c r="P192" i="1"/>
  <c r="Q192" i="1"/>
  <c r="O193" i="1"/>
  <c r="P193" i="1"/>
  <c r="Q193" i="1"/>
  <c r="O194" i="1"/>
  <c r="P194" i="1"/>
  <c r="Q194" i="1"/>
  <c r="O195" i="1"/>
  <c r="P195" i="1"/>
  <c r="Q195" i="1"/>
  <c r="O196" i="1"/>
  <c r="P196" i="1"/>
  <c r="Q196" i="1"/>
  <c r="O197" i="1"/>
  <c r="P197" i="1"/>
  <c r="Q197" i="1"/>
  <c r="O198" i="1"/>
  <c r="P198" i="1"/>
  <c r="Q198" i="1"/>
  <c r="O199" i="1"/>
  <c r="P199" i="1"/>
  <c r="Q199" i="1"/>
  <c r="O200" i="1"/>
  <c r="P200" i="1"/>
  <c r="Q200" i="1"/>
  <c r="O201" i="1"/>
  <c r="P201" i="1"/>
  <c r="Q201" i="1"/>
  <c r="O202" i="1"/>
  <c r="P202" i="1"/>
  <c r="Q202" i="1"/>
  <c r="O203" i="1"/>
  <c r="P203" i="1"/>
  <c r="Q203" i="1"/>
  <c r="O204" i="1"/>
  <c r="P204" i="1"/>
  <c r="Q204" i="1"/>
  <c r="O205" i="1"/>
  <c r="P205" i="1"/>
  <c r="Q205" i="1"/>
  <c r="O206" i="1"/>
  <c r="P206" i="1"/>
  <c r="Q206" i="1"/>
  <c r="O207" i="1"/>
  <c r="P207" i="1"/>
  <c r="Q207" i="1"/>
  <c r="O208" i="1"/>
  <c r="P208" i="1"/>
  <c r="Q208" i="1"/>
  <c r="O209" i="1"/>
  <c r="P209" i="1"/>
  <c r="Q209" i="1"/>
  <c r="O210" i="1"/>
  <c r="P210" i="1"/>
  <c r="Q210" i="1"/>
  <c r="O211" i="1"/>
  <c r="P211" i="1"/>
  <c r="Q211" i="1"/>
  <c r="O212" i="1"/>
  <c r="P212" i="1"/>
  <c r="Q212" i="1"/>
  <c r="O213" i="1"/>
  <c r="P213" i="1"/>
  <c r="Q213" i="1"/>
  <c r="O214" i="1"/>
  <c r="P214" i="1"/>
  <c r="Q214" i="1"/>
  <c r="O215" i="1"/>
  <c r="P215" i="1"/>
  <c r="Q215" i="1"/>
  <c r="O216" i="1"/>
  <c r="P216" i="1"/>
  <c r="Q216" i="1"/>
  <c r="O217" i="1"/>
  <c r="P217" i="1"/>
  <c r="Q217" i="1"/>
  <c r="O218" i="1"/>
  <c r="P218" i="1"/>
  <c r="Q218" i="1"/>
  <c r="O219" i="1"/>
  <c r="P219" i="1"/>
  <c r="Q219" i="1"/>
  <c r="O220" i="1"/>
  <c r="P220" i="1"/>
  <c r="Q220" i="1"/>
  <c r="O221" i="1"/>
  <c r="P221" i="1"/>
  <c r="Q221" i="1"/>
  <c r="O222" i="1"/>
  <c r="P222" i="1"/>
  <c r="Q222" i="1"/>
  <c r="O223" i="1"/>
  <c r="P223" i="1"/>
  <c r="Q223" i="1"/>
  <c r="O224" i="1"/>
  <c r="P224" i="1"/>
  <c r="Q224" i="1"/>
  <c r="O225" i="1"/>
  <c r="P225" i="1"/>
  <c r="Q225" i="1"/>
  <c r="O226" i="1"/>
  <c r="P226" i="1"/>
  <c r="Q226" i="1"/>
  <c r="O227" i="1"/>
  <c r="P227" i="1"/>
  <c r="Q227" i="1"/>
  <c r="Q3" i="1"/>
  <c r="P3" i="1"/>
  <c r="O3" i="1"/>
</calcChain>
</file>

<file path=xl/sharedStrings.xml><?xml version="1.0" encoding="utf-8"?>
<sst xmlns="http://schemas.openxmlformats.org/spreadsheetml/2006/main" count="619" uniqueCount="459">
  <si>
    <t>Signal</t>
  </si>
  <si>
    <t>p-value</t>
  </si>
  <si>
    <t>A_33_P3216297</t>
  </si>
  <si>
    <t>A_23_P48936</t>
  </si>
  <si>
    <t>A_23_P162589</t>
  </si>
  <si>
    <t>A_23_P127013</t>
  </si>
  <si>
    <t>A_23_P214080</t>
  </si>
  <si>
    <t>A_23_P32165</t>
  </si>
  <si>
    <t>A_33_P3330149</t>
  </si>
  <si>
    <t>A_23_P30024</t>
  </si>
  <si>
    <t>A_23_P304450</t>
  </si>
  <si>
    <t>A_23_P141092</t>
  </si>
  <si>
    <t>A_23_P320739</t>
  </si>
  <si>
    <t>A_23_P46936</t>
  </si>
  <si>
    <t>A_33_P3361746</t>
  </si>
  <si>
    <t>A_33_P3414591</t>
  </si>
  <si>
    <t>A_33_P3640690</t>
  </si>
  <si>
    <t>A_33_P3367615</t>
  </si>
  <si>
    <t>A_33_P3709150</t>
  </si>
  <si>
    <t>A_24_P94402</t>
  </si>
  <si>
    <t>A_23_P164196</t>
  </si>
  <si>
    <t>A_24_P34155</t>
  </si>
  <si>
    <t>A_24_P156501</t>
  </si>
  <si>
    <t>A_33_P3243832; A_23_P142560</t>
  </si>
  <si>
    <t>A_23_P25224</t>
  </si>
  <si>
    <t>A_33_P3401156; A_32_P78491</t>
  </si>
  <si>
    <t>A_33_P3285965</t>
  </si>
  <si>
    <t>A_23_P169039</t>
  </si>
  <si>
    <t>A_23_P155257</t>
  </si>
  <si>
    <t>Transcription Factors</t>
  </si>
  <si>
    <t>Input IDs</t>
  </si>
  <si>
    <t>Network Object Name</t>
  </si>
  <si>
    <t>Actual</t>
  </si>
  <si>
    <t>n</t>
  </si>
  <si>
    <t>R</t>
  </si>
  <si>
    <t>N</t>
  </si>
  <si>
    <t>Expected</t>
  </si>
  <si>
    <t>Ratio</t>
  </si>
  <si>
    <t>z-score</t>
  </si>
  <si>
    <t>original probe/gene IDs in the activated dataset(s)</t>
  </si>
  <si>
    <t>Network object name</t>
  </si>
  <si>
    <t>Network object name	network object name in MetaBase</t>
  </si>
  <si>
    <t>number of network objects in the activated dataset(s) which interact with the chosen object</t>
  </si>
  <si>
    <t>number of network objects in the activated dataset(s)</t>
  </si>
  <si>
    <t>number of network objects in the complete database or background list which interact with the chosen object</t>
  </si>
  <si>
    <t>total number of gene-based objects in the complete database or background list</t>
  </si>
  <si>
    <t>mean value for hypergeometric distribution (n*R/N)</t>
  </si>
  <si>
    <t>connectivity ratio (Actual/Expected)</t>
  </si>
  <si>
    <t>z-score ((Actual-Expected)/sqrt(variance))</t>
  </si>
  <si>
    <t>probability to have the given value of Actual or higher (or lower for negative z-score)</t>
  </si>
  <si>
    <t>A_33_P3235147</t>
  </si>
  <si>
    <t>A_33_P3323298</t>
  </si>
  <si>
    <t>A_24_P224727</t>
  </si>
  <si>
    <t>A_23_P106194</t>
  </si>
  <si>
    <t>A_24_P22079</t>
  </si>
  <si>
    <t>A_23_P58788</t>
  </si>
  <si>
    <t>A_23_P216845</t>
  </si>
  <si>
    <t>A_33_P3400578</t>
  </si>
  <si>
    <t>A_23_P139028</t>
  </si>
  <si>
    <t>A_32_P83845</t>
  </si>
  <si>
    <t>A_23_P85682</t>
  </si>
  <si>
    <t>A_23_P215787</t>
  </si>
  <si>
    <t>Enrichment</t>
  </si>
  <si>
    <t>Signal 2h</t>
  </si>
  <si>
    <t>Signal 6h</t>
  </si>
  <si>
    <t>Colo205</t>
  </si>
  <si>
    <t>SW620</t>
  </si>
  <si>
    <t>Baseline</t>
  </si>
  <si>
    <t>Enrichment analysis report</t>
  </si>
  <si>
    <t>Enrichment by Pathway Maps</t>
  </si>
  <si>
    <t/>
  </si>
  <si>
    <t>#</t>
  </si>
  <si>
    <t>Maps</t>
  </si>
  <si>
    <t>Total</t>
  </si>
  <si>
    <t>min(pValue)</t>
  </si>
  <si>
    <t>Min FDR</t>
  </si>
  <si>
    <t>FDR</t>
  </si>
  <si>
    <t>In Data</t>
  </si>
  <si>
    <t>Network Objects from
Active Data</t>
  </si>
  <si>
    <t>Bone metastases in Prostate Cancer</t>
  </si>
  <si>
    <t>PTHR1, PTHrP, ErbB2, Osteoprotegerin, Endothelin-1, WNT7B, WNT, SDF-1, CXCR4, Frizzled, DKK1, IBP3</t>
  </si>
  <si>
    <t>Protein folding and maturation_Insulin processing</t>
  </si>
  <si>
    <t>Diarginyl insulin, Proinsulin C-peptide, Insulin, Des (64,65) proinsulin, Split (32,33) proinsulin, Insulin processed, Split (64,65) proinsulin, Proinsulin, Des(31,32) proinsulin</t>
  </si>
  <si>
    <t>Development_Regulation of epithelial-to-mesenchymal transition (EMT)</t>
  </si>
  <si>
    <t>Oncostatin M, VE-cadherin, N-cadherin, Occludin, TGF-beta 2, ACTA2, PDGF-R-alpha, TWIST1, Endothelin-1, TCF8, WNT, SLUG, Frizzled, Bcl-2, SIP1 (ZFHX1B)</t>
  </si>
  <si>
    <t>Cell adhesion_Gap junctions</t>
  </si>
  <si>
    <t>Tubulin beta, Occludin, ZO-3, Tubulin alpha, Connexin 46, Connexin 26, Actin, Connexin 31, Connexin 43, Tubulin (in microtubules)</t>
  </si>
  <si>
    <t>WNT signaling in HCC</t>
  </si>
  <si>
    <t>WNT4, LGR5, WNT7B, WNT3A, Tcf(Lef), SFRP2, WNT, TCF7L2 (TCF4), Frizzled, DKK1, DACT1</t>
  </si>
  <si>
    <t>Canonical WNT signaling pathway in colorectal cancer</t>
  </si>
  <si>
    <t>WNT4, FZD1, iNOS, ENC1, CAS-L, CD44, SFRP2, WNT, SLUG, DACT3, TCF7L2 (TCF4), Frizzled, DKK1, WNT6</t>
  </si>
  <si>
    <t>Role of osteoblasts in bone lesions formation in multiple myeloma</t>
  </si>
  <si>
    <t>Apo-2L(TNFSF10), Osteoprotegerin, WNT3A, SFRP2, WNT, BMP2, Frizzled, Collagen I, FasR(CD95), DKK1</t>
  </si>
  <si>
    <t xml:space="preserve">Development_TGF-beta-dependent induction of EMT via SMADs </t>
  </si>
  <si>
    <t>N-cadherin, Occludin, TGF-beta 2, TGF-beta, SMAD3, TWIST1, Endothelin-1, TCF8, SLUG, SIP1 (ZFHX1B)</t>
  </si>
  <si>
    <t>Beta-catenin-dependent transcription regulation in colorectal cancer</t>
  </si>
  <si>
    <t>PLAUR (uPAR), CD44, Progastrin, IL-8, NRCAM, CD44 soluble, TCF7L2 (TCF4), MDR1, L1CAM, CD44 (EXT)</t>
  </si>
  <si>
    <t>Hedgehog signaling in gastric cancer</t>
  </si>
  <si>
    <t>N-cadherin, MSX-2, PTCH1, ROBO1, SUFU, SLUG, Smoothened, SIP1 (ZFHX1B), MEF2C</t>
  </si>
  <si>
    <t>Th17 cells in CF</t>
  </si>
  <si>
    <t>CFTR, CCL20, GRO-1, NF-kB, IL-21 receptor, GCP2, ROR-alpha, LBP, IL-8, JAK3, TLR4, MD-2</t>
  </si>
  <si>
    <t>Development_Neural stem cell lineage commitment (schema)</t>
  </si>
  <si>
    <t>DLL1, MAP-1B, PDGF-R-alpha, PTCH1, WNT7A, S100B, MAP2, BMP2, CSPG4 (NG2), Smoothened</t>
  </si>
  <si>
    <t>SHH signaling in colorectal cancer</t>
  </si>
  <si>
    <t>PDGF-R-alpha, PTCH1, SUFU, WNT, TCF7L2 (TCF4), Frizzled, Smoothened, Bcl-2, SIP1 (ZFHX1B)</t>
  </si>
  <si>
    <t>DKK1 signaling in multiple myeloma</t>
  </si>
  <si>
    <t>Osteoprotegerin, Krm2, WNT3A, Tcf(Lef), BMP2, Frizzled, DKK1</t>
  </si>
  <si>
    <t>WNT signaling in gastric cancer</t>
  </si>
  <si>
    <t>CD44, WNT3A, DKK3, Tcf(Lef), WNT7A, SFRP2, WNT, TCF7L2 (TCF4), Frizzled</t>
  </si>
  <si>
    <t>E-cadherin signaling and its regulation in gastric cancer</t>
  </si>
  <si>
    <t>TWIST1, Plakoglobin, TCF8, WNT, Actin, SLUG, BMP2, Frizzled, SIP1 (ZFHX1B)</t>
  </si>
  <si>
    <t>TGF-beta signaling via SMADs in breast cancer</t>
  </si>
  <si>
    <t>TGF-beta 2, PTHrP, SMAD3, CTGF, TWIST1, CD44, IL-8, SLUG, CD44 soluble, TBX2</t>
  </si>
  <si>
    <t>Development_Regulation of cytoskeleton proteins in oligodendrocyte differentiation and myelination</t>
  </si>
  <si>
    <t>Tubulin beta, Tubulin alpha, MAP-1B, NCAM1, MAP4, PDGF-R-alpha, Gelsolin, MAP2, MRLC, L1CAM, Tubulin (in microtubules)</t>
  </si>
  <si>
    <t>Th17 cells in CF (mouse model)</t>
  </si>
  <si>
    <t>CFTR, GRO-1, NF-kB, SMAD3, IL-21 receptor, GCP2, LBP, JAK3, TLR4, MD-2</t>
  </si>
  <si>
    <t>Stem cells_Cooperation between Hedgehog, IGF-2 and HGF signaling pathways in medulloblastoma stem cells</t>
  </si>
  <si>
    <t>PTCH1, IRS-1, Tcf(Lef), IGF-2, N-Myc, TCF7L2 (TCF4), Smoothened, Bcl-2</t>
  </si>
  <si>
    <t>Role of stellate cells in progression of pancreatic cancer</t>
  </si>
  <si>
    <t>COL1A1, HB-EGF, GRO-2, ACTA2, COL1A2, SMAD3, CTGF, PDGF-R-alpha, PDGF receptor, IL-8, Collagen I</t>
  </si>
  <si>
    <t>Development_Oligodendrocyte differentiation from adult stem cells</t>
  </si>
  <si>
    <t>MCT8, Noggin, FGFR3, PDGF-R-alpha, PTCH1, Endothelin-1, TAT1, BMP2, CSPG4 (NG2), Smoothened</t>
  </si>
  <si>
    <t>Development_WNT signaling pathway. Part 2</t>
  </si>
  <si>
    <t>ENC1, CD44, Progastrin, Tcf(Lef), WNT, SLUG, NRCAM, TCF7L2 (TCF4), Frizzled, DKK1</t>
  </si>
  <si>
    <t>Development_Hedgehog and PTH signaling pathways in bone and cartilage development</t>
  </si>
  <si>
    <t>PTHR1, COL1A1, EGR1, PTHrP, COL1A2, PTCH1, VDR, Smoothened</t>
  </si>
  <si>
    <t>Immune response_Generation of memory CD4+ T cells</t>
  </si>
  <si>
    <t>IL-7 receptor, IL7RA, NF-kB, IL4RA, CD44, IL-4R type I, JAK3, Bcl-2</t>
  </si>
  <si>
    <t>Role of activation of WNT signaling in the progression of lung cancer</t>
  </si>
  <si>
    <t>WNT4, FZD1, Sirtuin1, iNOS, WNT3A, DKK3, Tcf(Lef), SFRP2, WNT, TCF7L2 (TCF4), Frizzled, DKK1</t>
  </si>
  <si>
    <t>WNT signaling in proliferative-type melanoma cells</t>
  </si>
  <si>
    <t>WNT7B, WNT3A, DKK3, WNT, NRCAM, Frizzled, DKK1, DACT1</t>
  </si>
  <si>
    <t>Neuroendocrine transdifferentiation in Prostate Cancer</t>
  </si>
  <si>
    <t>HB-EGF, Chromogranin A, PTHrP, NeuroD1 (NDF1), Progastrin, Tcf(Lef), AMACR, IL-8, TCF7L2 (TCF4)</t>
  </si>
  <si>
    <t>Inhibition of Ephrin receptors in colorectal cancer</t>
  </si>
  <si>
    <t>Ephrin-A receptors, SMAD3, Ephrin-A receptor 1, WNT, Ephrin-B receptors, TCF7L2 (TCF4), Frizzled</t>
  </si>
  <si>
    <t>Expression targets of Tissue factor signaling in cancer</t>
  </si>
  <si>
    <t>PLAUR (uPAR), GRO-1, CTGF, CSF1, IL-8, Coagulation factor V</t>
  </si>
  <si>
    <t>Stem cells_Aberrant Hedgehog signaling in medulloblastoma stem cells</t>
  </si>
  <si>
    <t>PTCH1, SUFU, IGF-2, N-Myc, Smoothened</t>
  </si>
  <si>
    <t>Hypoxia-induced EMT in cancer and fibrosis</t>
  </si>
  <si>
    <t>CTGF, Lysyl oxidase, TWIST1, LOXL2</t>
  </si>
  <si>
    <t>Mechanisms of drug resistance in multiple myeloma</t>
  </si>
  <si>
    <t>CD44, GCR-alpha, WNT3A, HES1, IL-8, TCF7L2 (TCF4), Frizzled, Bcl-2, MDR1</t>
  </si>
  <si>
    <t>Immune response_Bacterial infections in normal airways</t>
  </si>
  <si>
    <t>CFTR, NF-kB, iNOS, LBP, IL-8, TLR4, IL1RAP, FasR(CD95), MD-2</t>
  </si>
  <si>
    <t>Development_Regulation of lung epithelial progenitor cell differentiation</t>
  </si>
  <si>
    <t>ELF5, WNT3A, Tcf(Lef), GATA-6, WNT, N-Myc, Frizzled, FOXP1</t>
  </si>
  <si>
    <t>Breast cancer (general schema)</t>
  </si>
  <si>
    <t>PTHR1, DLL1, TGF-beta, PTHrP, Somatotropin, ErbB2, PTCH1, Smoothened</t>
  </si>
  <si>
    <t>Cytoskeleton remodeling_Substance P mediated membrane blebbing</t>
  </si>
  <si>
    <t>Tubulin alpha, Dynamin, MLCK, MRLC, Tubulin (in microtubules)</t>
  </si>
  <si>
    <t>Cell cycle_Role of Nek in cell cycle regulation</t>
  </si>
  <si>
    <t>NEK1, Tubulin beta, Tubulin alpha, Insulin processed, IRS-1, Histone H1, Tubulin (in microtubules)</t>
  </si>
  <si>
    <t>Upregulation of IL-8 expression in colorectal cancer</t>
  </si>
  <si>
    <t>WNT4, NF-kB1 (p50), IL-8, WNT, TCF7L2 (TCF4), Frizzled, WNT6</t>
  </si>
  <si>
    <t>Cell adhesion_ECM remodeling</t>
  </si>
  <si>
    <t>HB-EGF, PLAUR (uPAR), Collagen IV, CD44, Kallikrein 1, IL-8, IGF-2, Collagen I, Versican</t>
  </si>
  <si>
    <t>SHH signaling in melanoma</t>
  </si>
  <si>
    <t>N-cadherin, SMAD3, PDGF-R-alpha, PTCH1, SUFU, SLUG, Smoothened</t>
  </si>
  <si>
    <t>Role of adhesion of SCLC cells in tumor progression</t>
  </si>
  <si>
    <t>N-cadherin, PTHrP, NCAM1, Collagen IV, SDF-1, CXCR4, ACM3</t>
  </si>
  <si>
    <t>Role of cell adhesion molecules in progression of pancreatic cancer</t>
  </si>
  <si>
    <t>p130CAS, iNOS, NCAM1, Plakoglobin, Collagen IV, Tcf(Lef), Collagen I, L1CAM</t>
  </si>
  <si>
    <t>Airway smooth muscle contraction in asthma</t>
  </si>
  <si>
    <t>L-type Ca(II) channel, alpha 1C subunit, GEFT, BDKRB2, Telokin, MyHC, MLCK, MRLC, IP3 receptor, ACM3</t>
  </si>
  <si>
    <t>Development_YAP/TAZ-mediated co-regulation of transcription</t>
  </si>
  <si>
    <t>ID3, HBP17, SMAD3, CTGF, TWIST1, Endothelin-1, Endothelin-2, SLUG, SIP1 (ZFHX1B)</t>
  </si>
  <si>
    <t>Inflammatory mechanisms of pancreatic cancerogenesis</t>
  </si>
  <si>
    <t>IL-32 (NK4), CCL20, GRO-1, NF-kB, iNOS, IL-8, TLR4, SDF-1, CXCR4, Bcl-2</t>
  </si>
  <si>
    <t>Cytoskeleton remodeling_Keratin filaments</t>
  </si>
  <si>
    <t>Tubulin beta, Keratin 17, Epiplakin, BPAG1, Tubulin alpha, Keratin 5, Tubulin (in microtubules)</t>
  </si>
  <si>
    <t>Cell adhesion_Tight junctions</t>
  </si>
  <si>
    <t>Occludin, ZO-3, MUPP1, CSDA, Tcf(Lef), Actin, Claudin-7</t>
  </si>
  <si>
    <t>Canonical Notch signaling pathway in colorectal cancer</t>
  </si>
  <si>
    <t>DLL1, CD44, TLE1, HES1, WNT, NUMB, Keratin 20, TCF7L2 (TCF4)</t>
  </si>
  <si>
    <t>Tumor-stroma interactions in pancreatic cancer</t>
  </si>
  <si>
    <t>COL1A2, PTCH1, SUFU, Smoothened, Collagen I, Thrombospondin 2</t>
  </si>
  <si>
    <t>G protein-coupled receptors signaling in lung cancer</t>
  </si>
  <si>
    <t>Stromal-epithelial interaction in Prostate Cancer</t>
  </si>
  <si>
    <t>Notch signaling in breast cancer</t>
  </si>
  <si>
    <t>NOTCH4 (ICD4), HEY1, NOTCH4, NOTCH3 (3ICD), Cyclin D1, p21, TFF1, CD44, HES1, c-Myc, NUMB, PLAU (UPA), NOTCH3</t>
  </si>
  <si>
    <t>PDGF-A, IL-1 beta, Oncostatin M, HEY1, N-cadherin, NOTCH4, ACTA2, PDGF-R-alpha, Endothelin-1, Fibronectin, Claudin-1, WNT, Frizzled, c-Jun</t>
  </si>
  <si>
    <t>PTHR1, COL1A1, Cyclin D1, PKA-reg (cAMP-dependent), COL1A2, c-Fos, PLC-beta, PTCH1, VDR, PKA-cat (cAMP-dependent)</t>
  </si>
  <si>
    <t>FZD1, Cyclin D1, CAS-L, p21, Leptin receptor, CD44, FZD10, SFRP2, c-Myc, FZD7, WNT, DACT3, Frizzled</t>
  </si>
  <si>
    <t>IL-1 beta, C/EBP, TNF-R2, c-Jun/c-Fos, CCL20, AP-1, TGF-alpha, GRO-1, c-Fos, ICAM1, IL8RA, PLAU (UPA), c-Jun</t>
  </si>
  <si>
    <t>COL1A1, PDGF-A, HB-EGF, GRO-2, ACTA2, COL1A2, PDGF-R-alpha, c-Fos, PDGF receptor, Fibronectin, Collagen I, c-Jun</t>
  </si>
  <si>
    <t>IL-1 signaling in melanoma</t>
  </si>
  <si>
    <t>GRO-2, IL-1 beta, c-Jun/c-Fos, AP-1, GRO-1, p21, ICAM1, GRO-3, c-Jun, PD-L1</t>
  </si>
  <si>
    <t>Blood coagulation_Platelet microparticle generation</t>
  </si>
  <si>
    <t>IL-1 beta, PLA2G7, Filamin A, PKC, Alpha-2A adrenergic receptor, PLC-beta, Fibronectin, MyHC, MYLK1, cPLA2, Coagulation factor V, Collagen I, IP3 receptor</t>
  </si>
  <si>
    <t>Role of cell adhesion in vaso-occlusion in Sickle cell disease</t>
  </si>
  <si>
    <t>IL-1 beta, PECAM1, PKA-reg (cAMP-dependent), CD45, ICAM1, CD44, Fibronectin, PKA-cat (cAMP-dependent), BCAM, CD36</t>
  </si>
  <si>
    <t>HB-EGF, PGE2R4, Galpha(i)-specific peptide GPCRs, Cyclin D1, PKA-reg (cAMP-dependent), Amphiregulin, TGF-alpha, Galpha(q)-specific peptide GPCRs, c-Fos, Endothelin-1, CD44, IL8RA, PKA-cat (cAMP-dependent)</t>
  </si>
  <si>
    <t>L-type Ca(II) channel, alpha 1C subunit, GEFT, PKA-reg (cAMP-dependent), Telokin, PLC-beta, MyHC, Adenylate cyclase, PKA-cat (cAMP-dependent), MLCK, MRLC, IP3 receptor</t>
  </si>
  <si>
    <t>Transcription_Role of AP-1 in regulation of cellular metabolism</t>
  </si>
  <si>
    <t>c-Jun/c-Fos, Cyclin D1, AP-1, FasL(TNFSF6), Alpha1-globin, ITGA2, c-Fos, p21, c-Jun</t>
  </si>
  <si>
    <t>Cyclin D1, HAS1, p21, CD44, WNT3A, IL8RA, HES1, c-Myc, Frizzled, MDR1</t>
  </si>
  <si>
    <t>Immune response_C5a signaling</t>
  </si>
  <si>
    <t>C5aR, IL-1 beta, Oncostatin M, c-Jun/c-Fos, AP-1, PKC, p67-phox, c-Fos, PLC-beta, c-Jun</t>
  </si>
  <si>
    <t>Development_VEGF-family signaling</t>
  </si>
  <si>
    <t>Neuropilin-2, VEGFR-1, c-Jun/c-Fos, c-Fos, PLGF, Fibronectin, PLC-gamma, c-Jun, IP3 receptor</t>
  </si>
  <si>
    <t>Muscle contraction_GPCRs in the regulation of smooth muscle tone</t>
  </si>
  <si>
    <t>L-type Ca(II) channel, alpha 1C subunit, GEFT, MaxiK alpha subunit, PKA-reg (cAMP-dependent), Telokin, PLC-beta, Endothelin-1, MyHC, Adenylate cyclase, PKA-cat (cAMP-dependent), MLCK, MRLC, IP3 receptor</t>
  </si>
  <si>
    <t>Transcription_Role of VDR in regulation of genes involved in osteoporosis</t>
  </si>
  <si>
    <t>PTHR1, COL1A1, IL-1 beta, c-Jun/c-Fos, FasL(TNFSF6), Osteoprotegerin, c-Fos, VDR, PKA-cat (cAMP-dependent), c-Jun, CALB1</t>
  </si>
  <si>
    <t>Reproduction_GnRH signaling</t>
  </si>
  <si>
    <t>CaMK I, L-type Ca(II) channel, alpha 1C subunit, c-Jun/c-Fos, PKA-reg (cAMP-dependent), AP-1, c-Fos, PLC-beta, Adenylate cyclase, PKA-cat (cAMP-dependent), MEK6(MAP2K6), c-Jun, IP3 receptor</t>
  </si>
  <si>
    <t>Immune response_ETV3 affect on CSF1-promoted macrophage differentiation</t>
  </si>
  <si>
    <t>c-Jun/c-Fos, AP-1, CSF1, c-Fos, MSR1, c-Myc, PLAU (UPA), c-Jun</t>
  </si>
  <si>
    <t>HB-EGF, Collagen II, CD44, TIMP2, IL8RA, Fibronectin, Nidogen, PLAU (UPA), Collagen I, Versican</t>
  </si>
  <si>
    <t>Immune response_T regulatory cell-mediated modulation of effector T cell and NK cell functions</t>
  </si>
  <si>
    <t>PGE2R4, PKA-reg (cAMP-dependent), FasL(TNFSF6), STAT4, MIP-1-alpha, KLRK1 (NKG2D), HES1, Granzyme A, PKA-cat (cAMP-dependent), Connexin 43</t>
  </si>
  <si>
    <t>Cytoskeleton remodeling_TGF, WNT and cytoskeletal remodeling</t>
  </si>
  <si>
    <t>Cyclin D1, RHEB2, Caveolin-1, p21, Fibronectin, MYLK1, c-Myc, WNT, Actin, PLAU (UPA), MLCK, MRLC, Frizzled, Paxillin, c-Jun</t>
  </si>
  <si>
    <t>Nociception_Nociceptin receptor signaling</t>
  </si>
  <si>
    <t>Prepronociceptin, PKA-reg (cAMP-dependent), PKC, c-Fos, PLC-beta, cPLA2, Actin, Adenylate cyclase, PKA-cat (cAMP-dependent), c-Jun, IP3 receptor, Nociceptin</t>
  </si>
  <si>
    <t>FasL(TNFSF6), Osteoprotegerin, WNT3A, MIP-1-alpha, SFRP2, WNT, Frizzled, Collagen I</t>
  </si>
  <si>
    <t>FZD1, Cyclin D1, p21, WNT3A, DKK3, NKD1, SFRP2, c-Myc, FZD7, WNT, Frizzled, NOTCH3</t>
  </si>
  <si>
    <t>c-Jun/c-Fos, Cyclin D1, CD44, Claudin-1, CD44 soluble, PLAU (UPA), MDR1, CD44 (EXT)</t>
  </si>
  <si>
    <t>Cyclin D1, CD44, WNT3A, DKK3, SFRP2, WNT, WNT 8A, Frizzled</t>
  </si>
  <si>
    <t>Immune response_MIF - the neuroendocrine-macrophage connector</t>
  </si>
  <si>
    <t>MHC class II, PKA-reg (cAMP-dependent), ABCA1, PKC, PLC-beta, PLA2, cPLA2, PKA-cat (cAMP-dependent), IP3 receptor</t>
  </si>
  <si>
    <t>IL-6 signaling in colorectal cancer</t>
  </si>
  <si>
    <t>TNF-R2, Cyclin D1, Cyclin B, ICAM1, sIL6-RA, HSP70, c-Myc, IL6RA</t>
  </si>
  <si>
    <t>Mucin expression in CF airways</t>
  </si>
  <si>
    <t>IL-1 beta, PGE2R4, CFTR, c-Jun/c-Fos, TGF-alpha, PKC-theta, PLC-beta, PKA-cat (cAMP-dependent), MEK6(MAP2K6), c-Jun, IP3 receptor</t>
  </si>
  <si>
    <t>PDGF-A, Tau (MAPT), MAP6, MAP-1B, NCAM1, PDGF-R-alpha, MAP2, MRLC, Paxillin, TPPP (p24)</t>
  </si>
  <si>
    <t>TAJ(TNFRSF19), Cyclin D1, WNT3A, DKK3, Fibronectin, c-Myc, WNT, Frizzled</t>
  </si>
  <si>
    <t>Immune response_Human NKG2D signaling</t>
  </si>
  <si>
    <t>c-Jun/c-Fos, AP-1, c-Fos, KLRK1 (NKG2D), ULBP1, PLC-gamma 2, c-Jun, IP3 receptor</t>
  </si>
  <si>
    <t>Cell adhesion_Cell-matrix glycoconjugates</t>
  </si>
  <si>
    <t>CEACAM5, BCAN, NCAM1, ITIH3, CD44, TIMP2, Aggrecan, Versican</t>
  </si>
  <si>
    <t>Role of Endothelin-1 in inflammation and vasoconstriction in Sickle cell disease</t>
  </si>
  <si>
    <t>VEGFR-1, c-Jun/c-Fos, AP-1, c-Fos, Endothelin-1, PLGF, SK4/IK1, c-Jun</t>
  </si>
  <si>
    <t>Cell adhesion_Integrin-mediated cell adhesion and migration</t>
  </si>
  <si>
    <t>Collagen II, RASGRF1, Fibronectin, MyHC, MYLK1, MLCK, MRLC, Collagen I, Paxillin</t>
  </si>
  <si>
    <t>Immune response_IL-18 signaling</t>
  </si>
  <si>
    <t>IL-1 beta, c-Jun/c-Fos, AP-1, FasL(TNFSF6), p67-phox, c-Fos, ICAM1, Fibronectin, MEK6(MAP2K6), c-Jun</t>
  </si>
  <si>
    <t>VEGF signaling in multiple myeloma</t>
  </si>
  <si>
    <t>VEGFR-1, Caveolin-1, ICAM1, FKHR, Fibronectin, c-Myc, PLC-gamma, MDR1, IP3 receptor</t>
  </si>
  <si>
    <t>Cyclin D1, WNT3A, SFRP2, c-Myc, FZD7, WNT, GLNA, Frizzled</t>
  </si>
  <si>
    <t>Development_Role of Activin A in cell differentiation and proliferation</t>
  </si>
  <si>
    <t>PKA-reg (cAMP-dependent), p21, Activin A, VDR, Lefty-1, c-Myc, Adenylate cyclase, PKA-cat (cAMP-dependent)</t>
  </si>
  <si>
    <t>The role of UV radiation in melanoma development</t>
  </si>
  <si>
    <t>HB-EGF, XPG, Amphiregulin, TGF-alpha, FasL(TNFSF6), p21, MEK6(MAP2K6), c-Jun</t>
  </si>
  <si>
    <t>Influence of bone marrow cell environment on progression of multiple myeloma</t>
  </si>
  <si>
    <t>IL-1 beta, VEGFR-1, HAS1, PTCH1, CD44, Fibronectin, PLC-gamma, Collagen I, IP3 receptor</t>
  </si>
  <si>
    <t>Cell adhesion_Chemokines and adhesion</t>
  </si>
  <si>
    <t>GRO-1, Filamin A, Caveolin-1, CD44, Caveolin-2, IL8RA, Fibronectin, c-Myc, Actin, PLAU (UPA), Collagen I, Paxillin, c-Jun</t>
  </si>
  <si>
    <t>PDGF-A, ACTA2, PDGF-R-alpha, TIMP2, Fibronectin, Collagen I, c-Jun, Versican</t>
  </si>
  <si>
    <t>Immune response_Murine NKG2D signaling</t>
  </si>
  <si>
    <t>Cytoskeleton remodeling_Cytoskeleton remodeling</t>
  </si>
  <si>
    <t>Filamin A, Caveolin-1, p21, Fibronectin, MyHC, MYLK1, c-Myc, PLAU (UPA), MLCK, MRLC, Collagen I, Paxillin, c-Jun</t>
  </si>
  <si>
    <t>G-protein signaling_Regulation of CDC42 activity</t>
  </si>
  <si>
    <t>LyGDI, DBS, DOCK11, RhoGDI gamma, Caspase-1, B-chimaerin, ASEF2</t>
  </si>
  <si>
    <t>Role of metalloproteases and heparanase in progression of pancreatic cancer</t>
  </si>
  <si>
    <t>HB-EGF, FasL(TNFSF6), MMP-11 (Str-3), CD44, TIMP2, CD44 soluble, CD44 (EXT)</t>
  </si>
  <si>
    <t>Cytoskeleton remodeling_Thyroliberin in cytoskeleton remodeling</t>
  </si>
  <si>
    <t>L-type Ca(II) channel, alpha 1C subunit, PKA-reg (cAMP-dependent), Tau (MAPT), Adenylate cyclase, PKA-cat (cAMP-dependent), PLC-beta1, IP3 receptor</t>
  </si>
  <si>
    <t>Chemotaxis_CCL19- and CCl21-mediated chemotaxis</t>
  </si>
  <si>
    <t>PGE2R4, PKA-reg (cAMP-dependent), c-Fos, PLC-gamma 2, Adenylate cyclase, PKA-cat (cAMP-dependent), IP3 receptor</t>
  </si>
  <si>
    <t>Main genetic and epigenetic alterations in lung cancer</t>
  </si>
  <si>
    <t>Cell cycle progression in Prostate Cancer</t>
  </si>
  <si>
    <t>Development_Insulin, IGF-1 and TNF-alpha in brown adipocyte differentiation</t>
  </si>
  <si>
    <t>Role of alpha-6/beta-4 integrins in carcinoma progression</t>
  </si>
  <si>
    <t>Stem cells_Response to hypoxia in glioblastoma stem cells</t>
  </si>
  <si>
    <r>
      <t xml:space="preserve">Colo205 filtered 2 fold ANOVA  COMP0UNDS </t>
    </r>
    <r>
      <rPr>
        <b/>
        <sz val="12"/>
        <color indexed="9"/>
        <rFont val="Arial"/>
        <family val="2"/>
      </rPr>
      <t xml:space="preserve">1 </t>
    </r>
    <r>
      <rPr>
        <sz val="12"/>
        <color indexed="9"/>
        <rFont val="Arial"/>
        <family val="2"/>
      </rPr>
      <t>and 3</t>
    </r>
  </si>
  <si>
    <t>SW620 filtered 2 fold ANOVA COMPOUND 1</t>
  </si>
  <si>
    <t>Enrichment by Toxicity Networks</t>
  </si>
  <si>
    <t>Networks</t>
  </si>
  <si>
    <t>pValue</t>
  </si>
  <si>
    <t>Inflammation_TGF-beta signaling</t>
  </si>
  <si>
    <t>p38 MAPK, GSK3 alpha/beta, JunB, PPAR-alpha, p38beta (MAPK11), PP2A regulatory, Cyclin D, Cyclin D1</t>
  </si>
  <si>
    <t>Metabolism_RXR-alpha regulation of lipid metabolism</t>
  </si>
  <si>
    <t>p38 MAPK, PKA-cat (cAMP-dependent), SREBP1 precursor, FASN, CYP24A1, PPAR-alpha, IRS-1, c-Myc, CYP4F2</t>
  </si>
  <si>
    <t>Cell cycle_EGFR signaling</t>
  </si>
  <si>
    <t>p38 MAPK, GSK3 alpha/beta, Amphiregulin, p38beta (MAPK11), IRS-1, Betacellulin, c-Myc, Epiregulin</t>
  </si>
  <si>
    <t>Cell adhesion_Integrins signaling to Beta-catenin</t>
  </si>
  <si>
    <t>GSK3 alpha/beta, TCF7L2 (TCF4), Tcf(Lef), c-Myc, Actin cytoskeletal, WNT, Cyclin D1, Actin</t>
  </si>
  <si>
    <t>Cell adhesion_Vitronectin signaling</t>
  </si>
  <si>
    <t>p38 MAPK, GSK3 alpha/beta, TCF7L2 (TCF4), p38beta (MAPK11), Tcf(Lef), c-Myc, Cyclin D1, Actin</t>
  </si>
  <si>
    <t>Cell cycle_TGF-beta 1, TGF-beta 2 signaling</t>
  </si>
  <si>
    <t>p38 MAPK, GSK3 alpha/beta, JunB, p38beta (MAPK11), PP2A regulatory, Cyclin D, Cyclin D1</t>
  </si>
  <si>
    <t>Apoptosis_Negative regulation_IGF-receptor signaling</t>
  </si>
  <si>
    <t>GSK3 alpha/beta, Bcl-XL, MNK2(GPRK7), Laforin, IRS-1, c-Myc, Cyclin D, Cyclin D1</t>
  </si>
  <si>
    <t>Signal transduction_Wnt receptor signaling pathway</t>
  </si>
  <si>
    <t>GSK3 alpha/beta, TCF7L2 (TCF4), Tcf(Lef), WNT</t>
  </si>
  <si>
    <t>Cell cycle_TGF-beta signaling to SMAD3</t>
  </si>
  <si>
    <t>GSK3 alpha/beta, JunB, PP2A regulatory, Cyclin D, Cyclin D1</t>
  </si>
  <si>
    <t>Cell adhesion_PAI1 signaling</t>
  </si>
  <si>
    <t>p38 MAPK, GSK3 alpha/beta, TCF7L2 (TCF4), p38beta (MAPK11), Tcf(Lef), Cyclin D1, Actin</t>
  </si>
  <si>
    <t>Cell cycle_APC regulation</t>
  </si>
  <si>
    <t>p38 MAPK, Lamin B, Ubiquitin, PKA-cat (cAMP-dependent), CDC25B, c-Myc, GADD45 beta</t>
  </si>
  <si>
    <t>Cell cycle_Cyclin D</t>
  </si>
  <si>
    <t>GSK3 alpha/beta, Ubiquitin, TCF7L2 (TCF4), Tcf(Lef), c-Myc, Cyclin D, Cyclin D1</t>
  </si>
  <si>
    <t>Cell cycle_TGF-beta signaling, CDK6</t>
  </si>
  <si>
    <t>Cell adhesion_Actin cytoskeleton</t>
  </si>
  <si>
    <t>CAPZA, TARA, FAT1, Actin cytoskeletal, VIL2 (ezrin), Actin</t>
  </si>
  <si>
    <t>Signal transduction_Ribosomal protein S6 kinase, 70kDa, polypeptide 1</t>
  </si>
  <si>
    <t>GSK3 alpha/beta, Bcl-XL, HGF receptor (Met), IRS-1, PP2A regulatory, Cyclin D, Cyclin D1</t>
  </si>
  <si>
    <t>Cell adhesion_PAI1 signaling, PPAR-beta (delta), RXR-alpha regulation</t>
  </si>
  <si>
    <t>GSK3 alpha/beta, TCF7L2 (TCF4), IRS-1, Tcf(Lef), WNT, Caveolin-1</t>
  </si>
  <si>
    <t>Cell cycle_CDC25C regulation</t>
  </si>
  <si>
    <t>p38 MAPK, Lamin B, CDC25B, c-Myc, Histone H1</t>
  </si>
  <si>
    <t>Signal transduction_Janus kinase 2 (protein tyrosine kinase)</t>
  </si>
  <si>
    <t>GSK3 alpha/beta, Bcl-XL, SOCS3, c-Myc, CCL13, Cyclin D1</t>
  </si>
  <si>
    <t>Signal transduction_STAT6</t>
  </si>
  <si>
    <t>Bcl-XL, STAT6, LIF, LIFR</t>
  </si>
  <si>
    <t>Cell adhesion_Collagen III_Actin</t>
  </si>
  <si>
    <t>Actin cytoskeletal, VIL2 (ezrin), Actin</t>
  </si>
  <si>
    <t>Apoptosis_p53, p73 regulation</t>
  </si>
  <si>
    <t>Adenylate cyclase, PKA-cat (cAMP-dependent), Actin cytoskeletal, GADD45 beta, Actin</t>
  </si>
  <si>
    <t>Development_Skeletal development-Osteopontin signaling</t>
  </si>
  <si>
    <t>PKA-cat (cAMP-dependent), Actin cytoskeletal, VIL2 (ezrin), Actin</t>
  </si>
  <si>
    <t>Blood coagulation_Fibrinogen signaling</t>
  </si>
  <si>
    <t>HABP2, Actin cytoskeletal, VIL2 (ezrin), Actin</t>
  </si>
  <si>
    <t>Inflammation_IL-10 signaling</t>
  </si>
  <si>
    <t>Bcl-XL, SOCS3, c-Myc, Cyclin D1</t>
  </si>
  <si>
    <t>Protein folding_ATFs regulation</t>
  </si>
  <si>
    <t>BRD2, Galpha(q)-specific peptide GPCRs, P4HB, Galpha(i)-specific peptide GPCRs, IRE1, GPR66</t>
  </si>
  <si>
    <t>Cell cycle_TGF signaling to CDK4</t>
  </si>
  <si>
    <t>Cell cycle_AP-2A, FOXM1, c-Myc, USF1 regulation</t>
  </si>
  <si>
    <t>Lamin B, c-Myc, Histone H1</t>
  </si>
  <si>
    <t>Proliferation_Thrombopoietin signaling</t>
  </si>
  <si>
    <t>GSK3 alpha/beta, Bcl-XL, SOCS3, c-Myc, Cyclin D1</t>
  </si>
  <si>
    <t>Chemotaxis_MAPK cascades</t>
  </si>
  <si>
    <t>p38 MAPK, Ubiquitin, HMGI/Y, SOCS3, p38beta (MAPK11), UBC, c-Myc, CCL13</t>
  </si>
  <si>
    <t>Cell adhesion_Cytoskeleton regulation through Rac 1</t>
  </si>
  <si>
    <t>Cytohesin2, Actin cytoskeletal, VIL2 (ezrin), Actin</t>
  </si>
  <si>
    <t>Cell adhesion_Integrin-matrix adhesion_alpha-2_beta-1 integrin</t>
  </si>
  <si>
    <t>RhoGDI alpha, Actin cytoskeletal, VIL2 (ezrin), Actin</t>
  </si>
  <si>
    <t>Cell cycle_H2A histone</t>
  </si>
  <si>
    <t>Histone H2, Actin cytoskeletal, Histone H1, Actin</t>
  </si>
  <si>
    <t>Signal transduction_EGFR-signaling</t>
  </si>
  <si>
    <t>p38 MAPK, GSK3 alpha/beta, p38beta (MAPK11), IRS-1, c-Myc</t>
  </si>
  <si>
    <t>Cell adhesion_Integrins signaling to c-Myc</t>
  </si>
  <si>
    <t>GSK3 alpha/beta, IRS-1, Tcf(Lef), c-Myc, Cyclin D1</t>
  </si>
  <si>
    <t xml:space="preserve">Chemotaxis_PAI1, Fibronectin, VEGF-A, Plasmin signaling </t>
  </si>
  <si>
    <t>p38 MAPK, p38beta (MAPK11), Actin cytoskeletal, Cyclin D1, Actin</t>
  </si>
  <si>
    <t>Chemotaxis_PAI1, Fibronectin, VEGF-A, Thrombopoietin signaling</t>
  </si>
  <si>
    <t>Apoptosis_Signaling to Survivin</t>
  </si>
  <si>
    <t>TNF-R1, Angiopoietin 2, TNF-R2, Tcf(Lef), WNT</t>
  </si>
  <si>
    <t>Cell cycle_AKT signaling</t>
  </si>
  <si>
    <t>GSK3 alpha/beta, TCF7L2 (TCF4), Tcf(Lef), c-Myc, Cyclin D1</t>
  </si>
  <si>
    <t>Development_Osteoblast differentiation</t>
  </si>
  <si>
    <t>BETA-PIX, Adenylate cyclase, PKA-cat (cAMP-dependent), Actin cytoskeletal, Actin</t>
  </si>
  <si>
    <t>Cell adhesion_Cadherins</t>
  </si>
  <si>
    <t>FAT1, Actin cytoskeletal, Actin</t>
  </si>
  <si>
    <t>Cell adhesion_Integrin-matrix adhesion_alpha-V_beta-3 integrin</t>
  </si>
  <si>
    <t>Cell adhesion_PTP-1B</t>
  </si>
  <si>
    <t>Actin cytoskeletal, Actin</t>
  </si>
  <si>
    <t>Signal transduction_Plasminogen</t>
  </si>
  <si>
    <t>p38 MAPK, HABP2, p38beta (MAPK11), Actin cytoskeletal, Actin</t>
  </si>
  <si>
    <t>Signal transduction_v-Akt murine thymoma viral oncogene homolog 2</t>
  </si>
  <si>
    <t>Cell adhesion_MMP-2 signaling</t>
  </si>
  <si>
    <t>Tcf(Lef), c-Myc, Actin cytoskeletal, Actin</t>
  </si>
  <si>
    <t>Cell adhesion_Cytoskeleton regulation through RhoA</t>
  </si>
  <si>
    <t>Cell cycle_Bloom syndrome_p53 signaling</t>
  </si>
  <si>
    <t>CDC25B, GADD45 beta</t>
  </si>
  <si>
    <t>Cell cycle_Cyclin E</t>
  </si>
  <si>
    <t>Ubiquitin, Cyclin D, Histone H1, Cyclin D1</t>
  </si>
  <si>
    <t xml:space="preserve">Metabolism_Protein biosynthesis </t>
  </si>
  <si>
    <t>ZFP36(Tristetraprolin), RPS2, RPL13, TISB</t>
  </si>
  <si>
    <t>Metabolism_Lipid metabolism_Leptin regulation</t>
  </si>
  <si>
    <t>SREBP1 precursor, SREBP1 (nuclear), PPAR-alpha, IRS-1</t>
  </si>
  <si>
    <t>BHLHE40</t>
  </si>
  <si>
    <t>SREBF1</t>
  </si>
  <si>
    <t>JUND</t>
  </si>
  <si>
    <t>JUNB</t>
  </si>
  <si>
    <t>TCF7L2</t>
  </si>
  <si>
    <t>PPARA</t>
  </si>
  <si>
    <t>MYC</t>
  </si>
  <si>
    <t>STAT6</t>
  </si>
  <si>
    <t>Inhibition of Calcitriol/ VDR signaling in colorectal cancer</t>
  </si>
  <si>
    <t>JunB, Plectin 1, ID2, ID1, CYP24A1, TCF7L2 (TCF4), DKK1, c-Myc, JunD</t>
  </si>
  <si>
    <t>Bcl-XL, HGF receptor (Met), TCF7L2 (TCF4), IRS-1, Tcf(Lef), c-Myc, Cyclin D1</t>
  </si>
  <si>
    <t>Development_Beta adrenergic receptors in brown adipocyte differentiation</t>
  </si>
  <si>
    <t>G3P2, p38 MAPK, Adenylate cyclase, PKA-cat (cAMP-dependent), SCD, FASN, PPAR-alpha</t>
  </si>
  <si>
    <t>Regulation of metabolism_Bile acids regulation of glucose and lipid metabolism via FXR</t>
  </si>
  <si>
    <t>GSK3 alpha/beta, NIPK, SREBP1 precursor, SREBP1 (nuclear), SCD, FASN, PPAR-alpha</t>
  </si>
  <si>
    <t>G3P2, PKA-cat (cAMP-dependent), TNF-R1, SREBP1 (nuclear), SCD, FASN, PPAR-alpha, IRS-1</t>
  </si>
  <si>
    <t>PGE2 pathways in cancer</t>
  </si>
  <si>
    <t>Amphiregulin, Adenylate cyclase, PKA-cat (cAMP-dependent), NURR1, TCF7L2 (TCF4), Tcf(Lef), c-Myc, Cyclin D1</t>
  </si>
  <si>
    <t>WNT7B, TCF7L2 (TCF4), Tcf(Lef), DKK1, c-Myc, WNT, Cyclin D1</t>
  </si>
  <si>
    <t>LRRK2 in neurons in Parkinson's disease</t>
  </si>
  <si>
    <t>Ubiquitin, PKA-cat (cAMP-dependent), Actin cytoplasmic 2, eEF1A, Actin cytoskeletal, VIL2 (ezrin)</t>
  </si>
  <si>
    <t>ERBB family and HGF signaling in gastric cancer</t>
  </si>
  <si>
    <t>p38 MAPK, Amphiregulin, HGF receptor (Met), TCF7L2 (TCF4), c-Myc, Epiregulin, Cyclin D1</t>
  </si>
  <si>
    <t>Amphiregulin, PKA-cat (cAMP-dependent), Bcl-XL, Galpha(q)-specific peptide GPCRs, NTSR1, Galpha(i)-specific peptide GPCRs, SSTR5, Cyclin D1</t>
  </si>
  <si>
    <t>Action of GSK3 beta in bipolar disorder</t>
  </si>
  <si>
    <t>NeuroD1 (NDF1), TCF7L2 (TCF4), Tcf(Lef), c-Myc, Cyclin D1</t>
  </si>
  <si>
    <t>Stem cells_Aberrant Wnt signaling in medulloblastoma stem cells</t>
  </si>
  <si>
    <t>TCF7L2 (TCF4), DKK1, c-Myc, WNT, Cyclin D1</t>
  </si>
  <si>
    <t>WNT7B, NURR1, DKK1, c-Myc, WNT, Cyclin D1</t>
  </si>
  <si>
    <t>Regulation of lipid metabolism_Regulation of lipid metabolism via LXR, NF-Y and SREBP</t>
  </si>
  <si>
    <t>SREBP1 precursor, SREBP1 (nuclear), SCD, FASN, SREBP1 (Golgi membrane), Caveolin-1</t>
  </si>
  <si>
    <t>ID2, Bcl-XL, ID3, ID1, c-Myc, PUMA, Cyclin D1</t>
  </si>
  <si>
    <t>IGF family signaling in colorectal cancer</t>
  </si>
  <si>
    <t>GSK3 alpha/beta, Bcl-XL, IBP, MNK2(GPRK7), IRS-1, MAT2A, Cyclin D1</t>
  </si>
  <si>
    <t>Signal transduction_AKT signaling</t>
  </si>
  <si>
    <t>GSK3 alpha/beta, Bcl-XL, HGF receptor (Met), IRS-1, c-Myc, Cyclin D</t>
  </si>
  <si>
    <t>HGF signaling in colorectal cancer</t>
  </si>
  <si>
    <t>HGF receptor (Met), TCF7L2 (TCF4), c-Myc, Actin cytoskeletal, Cyclin D1, VIL2 (ezrin), JunD</t>
  </si>
  <si>
    <t>p38 MAPK, TCF7L2 (TCF4), Tcf(Lef), c-Myc, Actin cytoskeletal, WNT, Cyclin D1, Caveolin-1, Actin</t>
  </si>
  <si>
    <t>Adiponectin in pathogenesis of type 2 diabetes</t>
  </si>
  <si>
    <t>SREBP1 precursor, SREBP1 (nuclear), SCD, FASN, PPAR-alpha</t>
  </si>
  <si>
    <t>Ligand-independent activation of Androgen receptor in Prostate Cancer</t>
  </si>
  <si>
    <t>Bcl-XL, IRS-1, Tcf(Lef), PP2A regulatory, c-Myc, FGF1, Cyclin D1</t>
  </si>
  <si>
    <t>Development_PIP3 signaling in cardiac myocytes</t>
  </si>
  <si>
    <t>MSP, Bcl-XL, IBP, HGF receptor (Met), c-Myc, Cyclin D1</t>
  </si>
  <si>
    <t>NETosis in SLE</t>
  </si>
  <si>
    <t>Histone H2, Histone H2A, p38 MAPK, Histone H1.2, Histone H1</t>
  </si>
  <si>
    <t>Development_Thromboxane A2 signaling pathway</t>
  </si>
  <si>
    <t>p38 MAPK, GSK3 alpha/beta, Adenylate cyclase, PKA-cat (cAMP-dependent), Tcf(Lef), Cyclin D1</t>
  </si>
  <si>
    <t>Development_IGF-1 receptor signaling</t>
  </si>
  <si>
    <t>GSK3 alpha/beta, Bcl-XL, IBP, IRS-1, c-Myc, Cyclin D</t>
  </si>
  <si>
    <t>TCF7L2 (TCF4), Tcf(Lef), DKK1, c-Myc, WNT, Cyclin D1</t>
  </si>
  <si>
    <t>Development_WNT signaling pathway. Part 1. Degradation of beta-catenin in the absence WNT signaling</t>
  </si>
  <si>
    <t>Casein kinase I delta, Ubiquitin, TCF7L2 (TCF4), Tcf(Lef)</t>
  </si>
  <si>
    <t>Regulation of lipid metabolism_Regulation of fatty acid synthase activity in hepatocytes</t>
  </si>
  <si>
    <t>SREBP1 precursor, SREBP1 (nuclear), FASN, SREBP1 (Golgi membrane)</t>
  </si>
  <si>
    <t>p38 MAPK, TCF7L2 (TCF4), Tcf(Lef), DKK1, c-Myc, WNT, Cyclin D1</t>
  </si>
  <si>
    <t>Ubiquitin, TCF7L2 (TCF4), Tcf(Lef), WNT, Cyclin D1</t>
  </si>
  <si>
    <t>Claudin-4, Tcf(Lef), ZO-3, Caveolin-1, Actin</t>
  </si>
  <si>
    <t>Ubiquitin, HGF receptor (Met), FGF1, WNT, Actin</t>
  </si>
  <si>
    <t>Bcl-XL, SOCS3, TNF-R2, c-Myc, Cyclin D1</t>
  </si>
  <si>
    <t>Cell cycle_Regulation of G1/S transition (part 1)</t>
  </si>
  <si>
    <t>JunB, Ubiquitin, PP2A regulatory, Cyclin D, Cyclin D1</t>
  </si>
  <si>
    <t>p38 MAPK, CDC25B, Tcf(Lef), WNT, Cyclin D1</t>
  </si>
  <si>
    <t>EGFR signaling pathway in colorectal cancer</t>
  </si>
  <si>
    <t>Amphiregulin, Bcl-XL, NTSR1, ABCC2, Epiregulin, Cyclin D1</t>
  </si>
  <si>
    <t>Ubiquitin, ID1, Jagged2, HES1, Cyclin D1</t>
  </si>
  <si>
    <t>Development_Astrocyte differentiation from adult stem cells</t>
  </si>
  <si>
    <t>ID2, ID3, ID1, HES1, LIF</t>
  </si>
  <si>
    <t>Inhibition of Vitamin D pathway in Prostate Cancer</t>
  </si>
  <si>
    <t>VDB, Bcl-XL, CYP24A1, PPAR-alpha, Cyclin D1</t>
  </si>
  <si>
    <t>CFTR-dependent regulation of ion channels in CF</t>
  </si>
  <si>
    <t>PKA-cat (cAMP-dependent), SK4/IK1, alpha-ENaC, Actin cytoskeletal, VIL2 (ezrin)</t>
  </si>
  <si>
    <t xml:space="preserve">Transcription_Sirtuin6 regulation and functions </t>
  </si>
  <si>
    <t>Ubiquitin, SREBP1 precursor, SREBP1 (nuclear), SCD, FASN, SREBP1 (Golgi membrane)</t>
  </si>
  <si>
    <t>Regulation of lipid metabolism_Insulin regulation of fatty acid metabolism</t>
  </si>
  <si>
    <t>PKA-cat (cAMP-dependent), SREBP1 precursor, SREBP1 (nuclear), SCD, FASN, SREBP1 (Golgi membrane), IRS-1</t>
  </si>
  <si>
    <t>Cytoskeleton remodeling_Hyaluronic acid/ CD44 signaling pathways</t>
  </si>
  <si>
    <t>HGF receptor (Met), RhoGDI alpha, Actin cytoskeletal, VIL2 (ezrin), Actin</t>
  </si>
  <si>
    <t>Development_Role of IL-8 in angiogenesis</t>
  </si>
  <si>
    <t>Ubiquitin, SREBP1 precursor, SREBP1 (nuclear), FASN, SREBP1 (Golgi membrane), Caveolin-1</t>
  </si>
  <si>
    <t>Cell cycle_Initiation of mitosis</t>
  </si>
  <si>
    <t>Lamin B, CDC25B, c-Myc, Histone H1</t>
  </si>
  <si>
    <t>HBV-dependent transcription regulation leading to HCC</t>
  </si>
  <si>
    <t>SREBP1 precursor, SCD, FASN, Cyclin D1</t>
  </si>
  <si>
    <t>HGF receptor (Met), TCF7L2 (TCF4), DKK1, c-Myc, WNT, Cyclin D1</t>
  </si>
  <si>
    <t>Influence of smoking on activation of EGFR signaling in lung cancer cells</t>
  </si>
  <si>
    <t>Amphiregulin, Adenylate cyclase, PKA-cat (cAMP-dependent), p38beta (MAPK11), Epiregulin</t>
  </si>
  <si>
    <t>MSP, Plectin 1, HGF receptor (Met), IRS-1, Actin cytoskeletal</t>
  </si>
  <si>
    <t>CDK8 Super-enhancer genes HCT-116_genelist</t>
  </si>
  <si>
    <t>SE</t>
  </si>
  <si>
    <t>Superenhancer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</si>
</sst>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21" x14ac:knownFonts="1">
    <font>
      <sz val="10"/>
      <name val="Arial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sz val="16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u/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8C00"/>
        <bgColor rgb="FF000000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8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1" fillId="3" borderId="1" xfId="0" applyFont="1" applyFill="1" applyBorder="1" applyAlignment="1">
      <alignment horizontal="right" vertical="top" wrapText="1"/>
    </xf>
    <xf numFmtId="0" fontId="5" fillId="0" borderId="4" xfId="0" applyFont="1" applyBorder="1" applyAlignment="1">
      <alignment vertical="top" wrapText="1"/>
    </xf>
    <xf numFmtId="0" fontId="8" fillId="19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/>
    <xf numFmtId="0" fontId="13" fillId="0" borderId="4" xfId="0" applyFont="1" applyBorder="1" applyAlignment="1">
      <alignment vertical="top" wrapText="1"/>
    </xf>
    <xf numFmtId="0" fontId="14" fillId="0" borderId="4" xfId="0" applyFont="1" applyBorder="1" applyAlignment="1"/>
    <xf numFmtId="0" fontId="15" fillId="0" borderId="4" xfId="0" applyFont="1" applyBorder="1" applyAlignment="1"/>
    <xf numFmtId="0" fontId="16" fillId="6" borderId="1" xfId="0" applyFont="1" applyFill="1" applyBorder="1" applyAlignment="1">
      <alignment horizontal="right" vertical="top" wrapText="1"/>
    </xf>
    <xf numFmtId="0" fontId="14" fillId="0" borderId="2" xfId="0" applyFont="1" applyBorder="1" applyAlignment="1">
      <alignment horizontal="right" vertical="top" wrapText="1"/>
    </xf>
    <xf numFmtId="0" fontId="14" fillId="9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right" vertical="top" wrapText="1"/>
    </xf>
    <xf numFmtId="0" fontId="16" fillId="12" borderId="1" xfId="0" applyFont="1" applyFill="1" applyBorder="1" applyAlignment="1">
      <alignment horizontal="right" vertical="top" wrapText="1"/>
    </xf>
    <xf numFmtId="0" fontId="16" fillId="13" borderId="1" xfId="0" applyFont="1" applyFill="1" applyBorder="1" applyAlignment="1">
      <alignment horizontal="right" vertical="top" wrapText="1"/>
    </xf>
    <xf numFmtId="0" fontId="14" fillId="16" borderId="1" xfId="0" applyFont="1" applyFill="1" applyBorder="1" applyAlignment="1">
      <alignment horizontal="right" vertical="top" wrapText="1"/>
    </xf>
    <xf numFmtId="0" fontId="14" fillId="14" borderId="1" xfId="0" applyFont="1" applyFill="1" applyBorder="1" applyAlignment="1">
      <alignment horizontal="right" vertical="top" wrapText="1"/>
    </xf>
    <xf numFmtId="0" fontId="14" fillId="15" borderId="1" xfId="0" applyFont="1" applyFill="1" applyBorder="1" applyAlignment="1">
      <alignment horizontal="right" vertical="top" wrapText="1"/>
    </xf>
    <xf numFmtId="0" fontId="14" fillId="17" borderId="1" xfId="0" applyFont="1" applyFill="1" applyBorder="1" applyAlignment="1">
      <alignment horizontal="right" vertical="top" wrapText="1"/>
    </xf>
    <xf numFmtId="0" fontId="16" fillId="10" borderId="1" xfId="0" applyFont="1" applyFill="1" applyBorder="1" applyAlignment="1">
      <alignment horizontal="right" vertical="top" wrapText="1"/>
    </xf>
    <xf numFmtId="0" fontId="16" fillId="3" borderId="1" xfId="0" applyFont="1" applyFill="1" applyBorder="1" applyAlignment="1">
      <alignment horizontal="right" vertical="top" wrapText="1"/>
    </xf>
    <xf numFmtId="0" fontId="16" fillId="4" borderId="1" xfId="0" applyFont="1" applyFill="1" applyBorder="1" applyAlignment="1">
      <alignment horizontal="right" vertical="top" wrapText="1"/>
    </xf>
    <xf numFmtId="0" fontId="14" fillId="7" borderId="1" xfId="0" applyFont="1" applyFill="1" applyBorder="1" applyAlignment="1">
      <alignment horizontal="right" vertical="top" wrapText="1"/>
    </xf>
    <xf numFmtId="0" fontId="14" fillId="8" borderId="1" xfId="0" applyFont="1" applyFill="1" applyBorder="1" applyAlignment="1">
      <alignment horizontal="right" vertical="top" wrapText="1"/>
    </xf>
    <xf numFmtId="0" fontId="6" fillId="0" borderId="0" xfId="0" applyFont="1" applyAlignment="1"/>
    <xf numFmtId="0" fontId="3" fillId="19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/>
    <xf numFmtId="0" fontId="4" fillId="0" borderId="4" xfId="0" applyFont="1" applyBorder="1" applyAlignment="1"/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14" fillId="0" borderId="8" xfId="0" applyFont="1" applyBorder="1" applyAlignment="1">
      <alignment horizontal="right" vertical="top" wrapText="1"/>
    </xf>
    <xf numFmtId="0" fontId="17" fillId="0" borderId="9" xfId="0" applyFont="1" applyBorder="1"/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right" vertical="top" wrapText="1"/>
    </xf>
    <xf numFmtId="0" fontId="14" fillId="0" borderId="9" xfId="0" applyFont="1" applyBorder="1" applyAlignment="1">
      <alignment horizontal="right" vertical="top" wrapText="1"/>
    </xf>
    <xf numFmtId="0" fontId="16" fillId="5" borderId="1" xfId="0" applyFont="1" applyFill="1" applyBorder="1" applyAlignment="1">
      <alignment horizontal="right" vertical="top" wrapText="1"/>
    </xf>
    <xf numFmtId="0" fontId="16" fillId="11" borderId="1" xfId="0" applyFont="1" applyFill="1" applyBorder="1" applyAlignment="1">
      <alignment horizontal="right" vertical="top" wrapText="1"/>
    </xf>
    <xf numFmtId="0" fontId="18" fillId="0" borderId="0" xfId="0" applyFont="1"/>
    <xf numFmtId="0" fontId="17" fillId="0" borderId="0" xfId="0" applyFont="1"/>
    <xf numFmtId="0" fontId="19" fillId="0" borderId="0" xfId="0" applyFont="1"/>
    <xf numFmtId="0" fontId="16" fillId="20" borderId="16" xfId="0" applyFont="1" applyFill="1" applyBorder="1"/>
    <xf numFmtId="0" fontId="17" fillId="0" borderId="17" xfId="0" applyFont="1" applyBorder="1"/>
    <xf numFmtId="0" fontId="7" fillId="21" borderId="18" xfId="0" applyFont="1" applyFill="1" applyBorder="1" applyAlignment="1">
      <alignment horizontal="center" vertical="center"/>
    </xf>
    <xf numFmtId="0" fontId="7" fillId="21" borderId="19" xfId="0" applyFont="1" applyFill="1" applyBorder="1" applyAlignment="1">
      <alignment horizontal="center" vertical="center"/>
    </xf>
    <xf numFmtId="0" fontId="15" fillId="22" borderId="20" xfId="0" applyFont="1" applyFill="1" applyBorder="1" applyAlignment="1">
      <alignment horizontal="center" vertical="center"/>
    </xf>
    <xf numFmtId="0" fontId="15" fillId="22" borderId="21" xfId="0" applyFont="1" applyFill="1" applyBorder="1" applyAlignment="1">
      <alignment horizontal="center" vertical="center" wrapText="1"/>
    </xf>
    <xf numFmtId="0" fontId="20" fillId="23" borderId="21" xfId="0" applyFont="1" applyFill="1" applyBorder="1" applyAlignment="1">
      <alignment horizontal="center" vertical="center" wrapText="1"/>
    </xf>
    <xf numFmtId="0" fontId="17" fillId="0" borderId="22" xfId="0" applyFont="1" applyBorder="1"/>
    <xf numFmtId="0" fontId="13" fillId="0" borderId="9" xfId="0" applyFont="1" applyBorder="1"/>
    <xf numFmtId="164" fontId="17" fillId="0" borderId="22" xfId="0" applyNumberFormat="1" applyFont="1" applyBorder="1"/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wrapText="1"/>
    </xf>
    <xf numFmtId="0" fontId="17" fillId="0" borderId="0" xfId="0" applyFont="1" applyAlignment="1">
      <alignment wrapText="1"/>
    </xf>
    <xf numFmtId="0" fontId="0" fillId="0" borderId="24" xfId="0" applyBorder="1"/>
    <xf numFmtId="0" fontId="0" fillId="0" borderId="24" xfId="0" applyBorder="1" applyAlignment="1">
      <alignment wrapText="1"/>
    </xf>
    <xf numFmtId="0" fontId="0" fillId="0" borderId="17" xfId="0" applyBorder="1"/>
    <xf numFmtId="0" fontId="0" fillId="0" borderId="0" xfId="0" applyAlignment="1">
      <alignment wrapText="1"/>
    </xf>
    <xf numFmtId="0" fontId="16" fillId="24" borderId="15" xfId="0" applyFont="1" applyFill="1" applyBorder="1"/>
    <xf numFmtId="0" fontId="16" fillId="24" borderId="16" xfId="0" applyFont="1" applyFill="1" applyBorder="1"/>
    <xf numFmtId="0" fontId="3" fillId="21" borderId="18" xfId="0" applyFont="1" applyFill="1" applyBorder="1" applyAlignment="1">
      <alignment horizontal="center" vertical="center"/>
    </xf>
    <xf numFmtId="0" fontId="3" fillId="21" borderId="19" xfId="0" applyFont="1" applyFill="1" applyBorder="1" applyAlignment="1">
      <alignment horizontal="center" vertical="center"/>
    </xf>
    <xf numFmtId="0" fontId="4" fillId="22" borderId="20" xfId="0" applyFont="1" applyFill="1" applyBorder="1" applyAlignment="1">
      <alignment horizontal="center" vertical="center"/>
    </xf>
    <xf numFmtId="0" fontId="4" fillId="22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5" fillId="0" borderId="9" xfId="0" applyFont="1" applyBorder="1"/>
    <xf numFmtId="164" fontId="0" fillId="0" borderId="22" xfId="0" applyNumberFormat="1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17" fillId="20" borderId="15" xfId="0" applyFont="1" applyFill="1" applyBorder="1"/>
    <xf numFmtId="0" fontId="7" fillId="18" borderId="10" xfId="0" applyFont="1" applyFill="1" applyBorder="1" applyAlignment="1">
      <alignment horizontal="center" wrapText="1"/>
    </xf>
    <xf numFmtId="0" fontId="7" fillId="18" borderId="11" xfId="0" applyFont="1" applyFill="1" applyBorder="1" applyAlignment="1">
      <alignment horizontal="center" wrapText="1"/>
    </xf>
    <xf numFmtId="0" fontId="7" fillId="18" borderId="12" xfId="0" applyFont="1" applyFill="1" applyBorder="1" applyAlignment="1">
      <alignment horizontal="center" wrapText="1"/>
    </xf>
    <xf numFmtId="0" fontId="7" fillId="18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7" fillId="18" borderId="3" xfId="0" applyFont="1" applyFill="1" applyBorder="1" applyAlignment="1">
      <alignment horizontal="left" wrapText="1"/>
    </xf>
    <xf numFmtId="0" fontId="4" fillId="0" borderId="0" xfId="0" applyFont="1" applyAlignment="1"/>
    <xf numFmtId="0" fontId="2" fillId="0" borderId="0" xfId="0" applyFont="1"/>
  </cellXfs>
  <cellStyles count="2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70C0"/>
      <rgbColor rgb="00800000"/>
      <rgbColor rgb="00FF0000"/>
      <rgbColor rgb="00000080"/>
      <rgbColor rgb="00808000"/>
      <rgbColor rgb="00538ED5"/>
      <rgbColor rgb="00008080"/>
      <rgbColor rgb="0000B050"/>
      <rgbColor rgb="005A5A5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E0E0FF"/>
      <rgbColor rgb="00C0C0FF"/>
      <rgbColor rgb="00A0A0FF"/>
      <rgbColor rgb="008080FF"/>
      <rgbColor rgb="006060FF"/>
      <rgbColor rgb="004040FF"/>
      <rgbColor rgb="002020FF"/>
      <rgbColor rgb="000000FF"/>
      <rgbColor rgb="00FFE0E0"/>
      <rgbColor rgb="00FFC0C0"/>
      <rgbColor rgb="00FFA0A0"/>
      <rgbColor rgb="00FF8080"/>
      <rgbColor rgb="00FF6060"/>
      <rgbColor rgb="00FF4040"/>
      <rgbColor rgb="00FF2020"/>
      <rgbColor rgb="00FF0000"/>
      <rgbColor rgb="00969696"/>
      <rgbColor rgb="00FF99CC"/>
      <rgbColor rgb="00808000"/>
      <rgbColor rgb="0033CCCC"/>
      <rgbColor rgb="0099CC00"/>
      <rgbColor rgb="00CC99FF"/>
      <rgbColor rgb="00FFFF99"/>
      <rgbColor rgb="00CCFFCC"/>
      <rgbColor rgb="00C0C0C0"/>
      <rgbColor rgb="0099CCFF"/>
      <rgbColor rgb="00FFCC99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m/Desktop/manuscripts/WNT_CANCER_DISCOVERY/array_data/Pathway%20analysi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W620"/>
      <sheetName val="LS513"/>
      <sheetName val="Colo205"/>
      <sheetName val="Baseline"/>
      <sheetName val="Sheet1"/>
    </sheetNames>
    <sheetDataSet>
      <sheetData sheetId="0">
        <row r="2">
          <cell r="F2" t="str">
            <v>SW620 filtered 2 fold ANOVA CCT251545</v>
          </cell>
        </row>
        <row r="3">
          <cell r="B3" t="str">
            <v>Maps</v>
          </cell>
          <cell r="C3" t="str">
            <v>Total</v>
          </cell>
          <cell r="D3" t="str">
            <v>min(pValue)</v>
          </cell>
          <cell r="E3" t="str">
            <v>Min FDR</v>
          </cell>
          <cell r="F3" t="str">
            <v>p-value</v>
          </cell>
          <cell r="G3" t="str">
            <v>FDR</v>
          </cell>
          <cell r="H3" t="str">
            <v>In Data</v>
          </cell>
          <cell r="I3" t="str">
            <v>Network Objects from_x000D_Active Data</v>
          </cell>
        </row>
        <row r="4">
          <cell r="B4" t="str">
            <v>Bone metastases in Prostate Cancer</v>
          </cell>
          <cell r="C4">
            <v>29</v>
          </cell>
          <cell r="D4">
            <v>5.4913202731070105E-9</v>
          </cell>
          <cell r="E4">
            <v>5.4254244298297308E-6</v>
          </cell>
          <cell r="F4">
            <v>5.4913202731070105E-9</v>
          </cell>
          <cell r="G4">
            <v>5.4254244298297308E-6</v>
          </cell>
          <cell r="H4">
            <v>12</v>
          </cell>
          <cell r="I4" t="str">
            <v>PTHR1, PTHrP, ErbB2, Osteoprotegerin, Endothelin-1, WNT7B, WNT, SDF-1, CXCR4, Frizzled, DKK1, IBP3</v>
          </cell>
        </row>
        <row r="5">
          <cell r="B5" t="str">
            <v>Protein folding and maturation_Insulin processing</v>
          </cell>
          <cell r="C5">
            <v>20</v>
          </cell>
          <cell r="D5">
            <v>1.9686593679635398E-7</v>
          </cell>
          <cell r="E5">
            <v>9.7251772777399005E-5</v>
          </cell>
          <cell r="F5">
            <v>1.9686593679635398E-7</v>
          </cell>
          <cell r="G5">
            <v>9.7251772777399005E-5</v>
          </cell>
          <cell r="H5">
            <v>9</v>
          </cell>
          <cell r="I5" t="str">
            <v>Diarginyl insulin, Proinsulin C-peptide, Insulin, Des (64,65) proinsulin, Split (32,33) proinsulin, Insulin processed, Split (64,65) proinsulin, Proinsulin, Des(31,32) proinsulin</v>
          </cell>
        </row>
        <row r="6">
          <cell r="B6" t="str">
            <v>Development_Regulation of epithelial-to-mesenchymal transition (EMT)</v>
          </cell>
          <cell r="C6">
            <v>64</v>
          </cell>
          <cell r="D6">
            <v>4.4383239507152497E-7</v>
          </cell>
          <cell r="E6">
            <v>1.4616880211022201E-4</v>
          </cell>
          <cell r="F6">
            <v>4.4383239507152497E-7</v>
          </cell>
          <cell r="G6">
            <v>1.4616880211022201E-4</v>
          </cell>
          <cell r="H6">
            <v>15</v>
          </cell>
          <cell r="I6" t="str">
            <v>Oncostatin M, VE-cadherin, N-cadherin, Occludin, TGF-beta 2, ACTA2, PDGF-R-alpha, TWIST1, Endothelin-1, TCF8, WNT, SLUG, Frizzled, Bcl-2, SIP1 (ZFHX1B)</v>
          </cell>
        </row>
        <row r="7">
          <cell r="B7" t="str">
            <v>Cell adhesion_Gap junctions</v>
          </cell>
          <cell r="C7">
            <v>30</v>
          </cell>
          <cell r="D7">
            <v>1.1497750825328401E-6</v>
          </cell>
          <cell r="E7">
            <v>2.8399444538561102E-4</v>
          </cell>
          <cell r="F7">
            <v>1.1497750825328401E-6</v>
          </cell>
          <cell r="G7">
            <v>2.8399444538561102E-4</v>
          </cell>
          <cell r="H7">
            <v>10</v>
          </cell>
          <cell r="I7" t="str">
            <v>Tubulin beta, Occludin, ZO-3, Tubulin alpha, Connexin 46, Connexin 26, Actin, Connexin 31, Connexin 43, Tubulin (in microtubules)</v>
          </cell>
        </row>
        <row r="8">
          <cell r="B8" t="str">
            <v>WNT signaling in HCC</v>
          </cell>
          <cell r="C8">
            <v>40</v>
          </cell>
          <cell r="D8">
            <v>2.8708748613600598E-6</v>
          </cell>
          <cell r="E8">
            <v>5.6728487260474805E-4</v>
          </cell>
          <cell r="F8">
            <v>2.8708748613600598E-6</v>
          </cell>
          <cell r="G8">
            <v>5.6728487260474805E-4</v>
          </cell>
          <cell r="H8">
            <v>11</v>
          </cell>
          <cell r="I8" t="str">
            <v>WNT4, LGR5, WNT7B, WNT3A, Tcf(Lef), SFRP2, WNT, TCF7L2 (TCF4), Frizzled, DKK1, DACT1</v>
          </cell>
        </row>
        <row r="9">
          <cell r="B9" t="str">
            <v>Canonical WNT signaling pathway in colorectal cancer</v>
          </cell>
          <cell r="C9">
            <v>66</v>
          </cell>
          <cell r="D9">
            <v>3.8511293880610903E-6</v>
          </cell>
          <cell r="E9">
            <v>6.3415263923406002E-4</v>
          </cell>
          <cell r="F9">
            <v>3.8511293880610996E-6</v>
          </cell>
          <cell r="G9">
            <v>6.3415263923406002E-4</v>
          </cell>
          <cell r="H9">
            <v>14</v>
          </cell>
          <cell r="I9" t="str">
            <v>WNT4, FZD1, iNOS, ENC1, CAS-L, CD44, SFRP2, WNT, SLUG, DACT3, TCF7L2 (TCF4), Frizzled, DKK1, WNT6</v>
          </cell>
        </row>
        <row r="10">
          <cell r="B10" t="str">
            <v>Role of osteoblasts in bone lesions formation in multiple myeloma</v>
          </cell>
          <cell r="C10">
            <v>35</v>
          </cell>
          <cell r="D10">
            <v>5.5930677782967704E-6</v>
          </cell>
          <cell r="E10">
            <v>6.9074387061965196E-4</v>
          </cell>
          <cell r="F10">
            <v>5.5930677782967805E-6</v>
          </cell>
          <cell r="G10">
            <v>6.9074387061965196E-4</v>
          </cell>
          <cell r="H10">
            <v>10</v>
          </cell>
          <cell r="I10" t="str">
            <v>Apo-2L(TNFSF10), Osteoprotegerin, WNT3A, SFRP2, WNT, BMP2, Frizzled, Collagen I, FasR(CD95), DKK1</v>
          </cell>
        </row>
        <row r="11">
          <cell r="B11" t="str">
            <v xml:space="preserve">Development_TGF-beta-dependent induction of EMT via SMADs </v>
          </cell>
          <cell r="C11">
            <v>35</v>
          </cell>
          <cell r="D11">
            <v>5.5930677782967704E-6</v>
          </cell>
          <cell r="E11">
            <v>6.9074387061965196E-4</v>
          </cell>
          <cell r="F11">
            <v>5.5930677782967805E-6</v>
          </cell>
          <cell r="G11">
            <v>6.9074387061965196E-4</v>
          </cell>
          <cell r="H11">
            <v>10</v>
          </cell>
          <cell r="I11" t="str">
            <v>N-cadherin, Occludin, TGF-beta 2, TGF-beta, SMAD3, TWIST1, Endothelin-1, TCF8, SLUG, SIP1 (ZFHX1B)</v>
          </cell>
        </row>
        <row r="12">
          <cell r="B12" t="str">
            <v>Beta-catenin-dependent transcription regulation in colorectal cancer</v>
          </cell>
          <cell r="C12">
            <v>36</v>
          </cell>
          <cell r="D12">
            <v>7.3994444552845597E-6</v>
          </cell>
          <cell r="E12">
            <v>7.7164257600356896E-4</v>
          </cell>
          <cell r="F12">
            <v>7.3994444552845699E-6</v>
          </cell>
          <cell r="G12">
            <v>7.7164257600356896E-4</v>
          </cell>
          <cell r="H12">
            <v>10</v>
          </cell>
          <cell r="I12" t="str">
            <v>PLAUR (uPAR), CD44, Progastrin, IL-8, NRCAM, CD44 soluble, TCF7L2 (TCF4), MDR1, L1CAM, CD44 (EXT)</v>
          </cell>
        </row>
        <row r="13">
          <cell r="B13" t="str">
            <v>Hedgehog signaling in gastric cancer</v>
          </cell>
          <cell r="C13">
            <v>29</v>
          </cell>
          <cell r="D13">
            <v>7.8101475304004901E-6</v>
          </cell>
          <cell r="E13">
            <v>7.7164257600356896E-4</v>
          </cell>
          <cell r="F13">
            <v>7.8101475304004901E-6</v>
          </cell>
          <cell r="G13">
            <v>7.7164257600356896E-4</v>
          </cell>
          <cell r="H13">
            <v>9</v>
          </cell>
          <cell r="I13" t="str">
            <v>N-cadherin, MSX-2, PTCH1, ROBO1, SUFU, SLUG, Smoothened, SIP1 (ZFHX1B), MEF2C</v>
          </cell>
        </row>
        <row r="14">
          <cell r="B14" t="str">
            <v>Th17 cells in CF</v>
          </cell>
          <cell r="C14">
            <v>54</v>
          </cell>
          <cell r="D14">
            <v>1.1439890577122802E-5</v>
          </cell>
          <cell r="E14">
            <v>1.0275101718361301E-3</v>
          </cell>
          <cell r="F14">
            <v>1.1439890577122901E-5</v>
          </cell>
          <cell r="G14">
            <v>1.0275101718361301E-3</v>
          </cell>
          <cell r="H14">
            <v>12</v>
          </cell>
          <cell r="I14" t="str">
            <v>CFTR, CCL20, GRO-1, NF-kB, IL-21 receptor, GCP2, ROR-alpha, LBP, IL-8, JAK3, TLR4, MD-2</v>
          </cell>
        </row>
        <row r="15">
          <cell r="B15" t="str">
            <v>Development_Neural stem cell lineage commitment (schema)</v>
          </cell>
          <cell r="C15">
            <v>38</v>
          </cell>
          <cell r="D15">
            <v>1.2563934853916701E-5</v>
          </cell>
          <cell r="E15">
            <v>1.0344306363058099E-3</v>
          </cell>
          <cell r="F15">
            <v>1.2563934853916701E-5</v>
          </cell>
          <cell r="G15">
            <v>1.0344306363058099E-3</v>
          </cell>
          <cell r="H15">
            <v>10</v>
          </cell>
          <cell r="I15" t="str">
            <v>DLL1, MAP-1B, PDGF-R-alpha, PTCH1, WNT7A, S100B, MAP2, BMP2, CSPG4 (NG2), Smoothened</v>
          </cell>
        </row>
        <row r="16">
          <cell r="B16" t="str">
            <v>SHH signaling in colorectal cancer</v>
          </cell>
          <cell r="C16">
            <v>31</v>
          </cell>
          <cell r="D16">
            <v>1.43640085865148E-5</v>
          </cell>
          <cell r="E16">
            <v>1.09166465257513E-3</v>
          </cell>
          <cell r="F16">
            <v>1.43640085865148E-5</v>
          </cell>
          <cell r="G16">
            <v>1.09166465257513E-3</v>
          </cell>
          <cell r="H16">
            <v>9</v>
          </cell>
          <cell r="I16" t="str">
            <v>PDGF-R-alpha, PTCH1, SUFU, WNT, TCF7L2 (TCF4), Frizzled, Smoothened, Bcl-2, SIP1 (ZFHX1B)</v>
          </cell>
        </row>
        <row r="17">
          <cell r="B17" t="str">
            <v>DKK1 signaling in multiple myeloma</v>
          </cell>
          <cell r="C17">
            <v>19</v>
          </cell>
          <cell r="D17">
            <v>2.3250385608311601E-5</v>
          </cell>
          <cell r="E17">
            <v>1.6408129272151299E-3</v>
          </cell>
          <cell r="F17">
            <v>2.3250385608311601E-5</v>
          </cell>
          <cell r="G17">
            <v>1.6408129272151299E-3</v>
          </cell>
          <cell r="H17">
            <v>7</v>
          </cell>
          <cell r="I17" t="str">
            <v>Osteoprotegerin, Krm2, WNT3A, Tcf(Lef), BMP2, Frizzled, DKK1</v>
          </cell>
        </row>
        <row r="18">
          <cell r="B18" t="str">
            <v>WNT signaling in gastric cancer</v>
          </cell>
          <cell r="C18">
            <v>36</v>
          </cell>
          <cell r="D18">
            <v>5.3539799912013604E-5</v>
          </cell>
          <cell r="E18">
            <v>3.3060826445668401E-3</v>
          </cell>
          <cell r="F18">
            <v>5.3539799912013706E-5</v>
          </cell>
          <cell r="G18">
            <v>3.3060826445668401E-3</v>
          </cell>
          <cell r="H18">
            <v>9</v>
          </cell>
          <cell r="I18" t="str">
            <v>CD44, WNT3A, DKK3, Tcf(Lef), WNT7A, SFRP2, WNT, TCF7L2 (TCF4), Frizzled</v>
          </cell>
        </row>
        <row r="19">
          <cell r="B19" t="str">
            <v>E-cadherin signaling and its regulation in gastric cancer</v>
          </cell>
          <cell r="C19">
            <v>36</v>
          </cell>
          <cell r="D19">
            <v>5.3539799912013604E-5</v>
          </cell>
          <cell r="E19">
            <v>3.3060826445668401E-3</v>
          </cell>
          <cell r="F19">
            <v>5.3539799912013706E-5</v>
          </cell>
          <cell r="G19">
            <v>3.3060826445668401E-3</v>
          </cell>
          <cell r="H19">
            <v>9</v>
          </cell>
          <cell r="I19" t="str">
            <v>TWIST1, Plakoglobin, TCF8, WNT, Actin, SLUG, BMP2, Frizzled, SIP1 (ZFHX1B)</v>
          </cell>
        </row>
        <row r="20">
          <cell r="B20" t="str">
            <v>TGF-beta signaling via SMADs in breast cancer</v>
          </cell>
          <cell r="C20">
            <v>47</v>
          </cell>
          <cell r="D20">
            <v>9.1444608554242806E-5</v>
          </cell>
          <cell r="E20">
            <v>5.3145454853877599E-3</v>
          </cell>
          <cell r="F20">
            <v>9.1444608554242806E-5</v>
          </cell>
          <cell r="G20">
            <v>5.3145454853877599E-3</v>
          </cell>
          <cell r="H20">
            <v>10</v>
          </cell>
          <cell r="I20" t="str">
            <v>TGF-beta 2, PTHrP, SMAD3, CTGF, TWIST1, CD44, IL-8, SLUG, CD44 soluble, TBX2</v>
          </cell>
        </row>
        <row r="21">
          <cell r="B21" t="str">
            <v>Development_Regulation of cytoskeleton proteins in oligodendrocyte differentiation and myelination</v>
          </cell>
          <cell r="C21">
            <v>58</v>
          </cell>
          <cell r="D21">
            <v>1.2412702909727599E-4</v>
          </cell>
          <cell r="E21">
            <v>6.8131947082282398E-3</v>
          </cell>
          <cell r="F21">
            <v>1.2412702909727599E-4</v>
          </cell>
          <cell r="G21">
            <v>6.8131947082282398E-3</v>
          </cell>
          <cell r="H21">
            <v>11</v>
          </cell>
          <cell r="I21" t="str">
            <v>Tubulin beta, Tubulin alpha, MAP-1B, NCAM1, MAP4, PDGF-R-alpha, Gelsolin, MAP2, MRLC, L1CAM, Tubulin (in microtubules)</v>
          </cell>
        </row>
        <row r="22">
          <cell r="B22" t="str">
            <v>Th17 cells in CF (mouse model)</v>
          </cell>
          <cell r="C22">
            <v>49</v>
          </cell>
          <cell r="D22">
            <v>1.3255325803830401E-4</v>
          </cell>
          <cell r="E22">
            <v>6.8927694179917801E-3</v>
          </cell>
          <cell r="F22">
            <v>1.3255325803830401E-4</v>
          </cell>
          <cell r="G22">
            <v>6.8927694179917801E-3</v>
          </cell>
          <cell r="H22">
            <v>10</v>
          </cell>
          <cell r="I22" t="str">
            <v>CFTR, GRO-1, NF-kB, SMAD3, IL-21 receptor, GCP2, LBP, JAK3, TLR4, MD-2</v>
          </cell>
        </row>
        <row r="23">
          <cell r="B23" t="str">
            <v>Stem cells_Cooperation between Hedgehog, IGF-2 and HGF signaling pathways in medulloblastoma stem cells</v>
          </cell>
          <cell r="C23">
            <v>32</v>
          </cell>
          <cell r="D23">
            <v>1.3995101101456201E-4</v>
          </cell>
          <cell r="E23">
            <v>6.9135799441193803E-3</v>
          </cell>
          <cell r="F23">
            <v>1.3995101101456299E-4</v>
          </cell>
          <cell r="G23">
            <v>6.9135799441193803E-3</v>
          </cell>
          <cell r="H23">
            <v>8</v>
          </cell>
          <cell r="I23" t="str">
            <v>PTCH1, IRS-1, Tcf(Lef), IGF-2, N-Myc, TCF7L2 (TCF4), Smoothened, Bcl-2</v>
          </cell>
        </row>
        <row r="24">
          <cell r="B24" t="str">
            <v>Role of stellate cells in progression of pancreatic cancer</v>
          </cell>
          <cell r="C24">
            <v>60</v>
          </cell>
          <cell r="D24">
            <v>1.70548331247297E-4</v>
          </cell>
          <cell r="E24">
            <v>8.0238929177299592E-3</v>
          </cell>
          <cell r="F24">
            <v>1.70548331247297E-4</v>
          </cell>
          <cell r="G24">
            <v>8.0238929177299592E-3</v>
          </cell>
          <cell r="H24">
            <v>11</v>
          </cell>
          <cell r="I24" t="str">
            <v>COL1A1, HB-EGF, GRO-2, ACTA2, COL1A2, SMAD3, CTGF, PDGF-R-alpha, PDGF receptor, IL-8, Collagen I</v>
          </cell>
        </row>
        <row r="25">
          <cell r="B25" t="str">
            <v>Development_Oligodendrocyte differentiation from adult stem cells</v>
          </cell>
          <cell r="C25">
            <v>51</v>
          </cell>
          <cell r="D25">
            <v>1.8826282090863401E-4</v>
          </cell>
          <cell r="E25">
            <v>8.4547121389877498E-3</v>
          </cell>
          <cell r="F25">
            <v>1.8826282090863401E-4</v>
          </cell>
          <cell r="G25">
            <v>8.4547121389877498E-3</v>
          </cell>
          <cell r="H25">
            <v>10</v>
          </cell>
          <cell r="I25" t="str">
            <v>MCT8, Noggin, FGFR3, PDGF-R-alpha, PTCH1, Endothelin-1, TAT1, BMP2, CSPG4 (NG2), Smoothened</v>
          </cell>
        </row>
        <row r="26">
          <cell r="B26" t="str">
            <v>Development_WNT signaling pathway. Part 2</v>
          </cell>
          <cell r="C26">
            <v>53</v>
          </cell>
          <cell r="D26">
            <v>2.6244547415714501E-4</v>
          </cell>
          <cell r="E26">
            <v>1.1273744715967799E-2</v>
          </cell>
          <cell r="F26">
            <v>2.6244547415714599E-4</v>
          </cell>
          <cell r="G26">
            <v>1.1273744715967799E-2</v>
          </cell>
          <cell r="H26">
            <v>10</v>
          </cell>
          <cell r="I26" t="str">
            <v>ENC1, CD44, Progastrin, Tcf(Lef), WNT, SLUG, NRCAM, TCF7L2 (TCF4), Frizzled, DKK1</v>
          </cell>
        </row>
        <row r="27">
          <cell r="B27" t="str">
            <v>Development_Hedgehog and PTH signaling pathways in bone and cartilage development</v>
          </cell>
          <cell r="C27">
            <v>36</v>
          </cell>
          <cell r="D27">
            <v>3.3707879902785499E-4</v>
          </cell>
          <cell r="E27">
            <v>1.387641055998E-2</v>
          </cell>
          <cell r="F27">
            <v>3.3707879902785602E-4</v>
          </cell>
          <cell r="G27">
            <v>1.387641055998E-2</v>
          </cell>
          <cell r="H27">
            <v>8</v>
          </cell>
          <cell r="I27" t="str">
            <v>PTHR1, COL1A1, EGR1, PTHrP, COL1A2, PTCH1, VDR, Smoothened</v>
          </cell>
        </row>
        <row r="28">
          <cell r="B28" t="str">
            <v>Immune response_Generation of memory CD4+ T cells</v>
          </cell>
          <cell r="C28">
            <v>37</v>
          </cell>
          <cell r="D28">
            <v>4.1140817746858799E-4</v>
          </cell>
          <cell r="E28">
            <v>1.62187039007935E-2</v>
          </cell>
          <cell r="F28">
            <v>4.1140817746858799E-4</v>
          </cell>
          <cell r="G28">
            <v>1.62187039007935E-2</v>
          </cell>
          <cell r="H28">
            <v>8</v>
          </cell>
          <cell r="I28" t="str">
            <v>IL-7 receptor, IL7RA, NF-kB, IL4RA, CD44, IL-4R type I, JAK3, Bcl-2</v>
          </cell>
        </row>
        <row r="29">
          <cell r="B29" t="str">
            <v>Role of activation of WNT signaling in the progression of lung cancer</v>
          </cell>
          <cell r="C29">
            <v>77</v>
          </cell>
          <cell r="D29">
            <v>4.2680799738930301E-4</v>
          </cell>
          <cell r="E29">
            <v>1.62187039007935E-2</v>
          </cell>
          <cell r="F29">
            <v>4.2680799738930398E-4</v>
          </cell>
          <cell r="G29">
            <v>1.62187039007935E-2</v>
          </cell>
          <cell r="H29">
            <v>12</v>
          </cell>
          <cell r="I29" t="str">
            <v>WNT4, FZD1, Sirtuin1, iNOS, WNT3A, DKK3, Tcf(Lef), SFRP2, WNT, TCF7L2 (TCF4), Frizzled, DKK1</v>
          </cell>
        </row>
        <row r="30">
          <cell r="B30" t="str">
            <v>WNT signaling in proliferative-type melanoma cells</v>
          </cell>
          <cell r="C30">
            <v>38</v>
          </cell>
          <cell r="D30">
            <v>4.9852348852538503E-4</v>
          </cell>
          <cell r="E30">
            <v>1.8242266913447401E-2</v>
          </cell>
          <cell r="F30">
            <v>4.9852348852538601E-4</v>
          </cell>
          <cell r="G30">
            <v>1.8242266913447401E-2</v>
          </cell>
          <cell r="H30">
            <v>8</v>
          </cell>
          <cell r="I30" t="str">
            <v>WNT7B, WNT3A, DKK3, WNT, NRCAM, Frizzled, DKK1, DACT1</v>
          </cell>
        </row>
        <row r="31">
          <cell r="B31" t="str">
            <v>Neuroendocrine transdifferentiation in Prostate Cancer</v>
          </cell>
          <cell r="C31">
            <v>48</v>
          </cell>
          <cell r="D31">
            <v>5.5656545363797795E-4</v>
          </cell>
          <cell r="E31">
            <v>1.8945428802239098E-2</v>
          </cell>
          <cell r="F31">
            <v>5.5656545363797795E-4</v>
          </cell>
          <cell r="G31">
            <v>1.8945428802239098E-2</v>
          </cell>
          <cell r="H31">
            <v>9</v>
          </cell>
          <cell r="I31" t="str">
            <v>HB-EGF, Chromogranin A, PTHrP, NeuroD1 (NDF1), Progastrin, Tcf(Lef), AMACR, IL-8, TCF7L2 (TCF4)</v>
          </cell>
        </row>
        <row r="32">
          <cell r="B32" t="str">
            <v>Inhibition of Ephrin receptors in colorectal cancer</v>
          </cell>
          <cell r="C32">
            <v>30</v>
          </cell>
          <cell r="D32">
            <v>5.7957396367491699E-4</v>
          </cell>
          <cell r="E32">
            <v>1.8945428802239098E-2</v>
          </cell>
          <cell r="F32">
            <v>5.7957396367491797E-4</v>
          </cell>
          <cell r="G32">
            <v>1.8945428802239098E-2</v>
          </cell>
          <cell r="H32">
            <v>7</v>
          </cell>
          <cell r="I32" t="str">
            <v>Ephrin-A receptors, SMAD3, Ephrin-A receptor 1, WNT, Ephrin-B receptors, TCF7L2 (TCF4), Frizzled</v>
          </cell>
        </row>
        <row r="33">
          <cell r="B33" t="str">
            <v>Expression targets of Tissue factor signaling in cancer</v>
          </cell>
          <cell r="C33">
            <v>22</v>
          </cell>
          <cell r="D33">
            <v>5.8873296577779195E-4</v>
          </cell>
          <cell r="E33">
            <v>1.8945428802239098E-2</v>
          </cell>
          <cell r="F33">
            <v>5.8873296577779195E-4</v>
          </cell>
          <cell r="G33">
            <v>1.8945428802239098E-2</v>
          </cell>
          <cell r="H33">
            <v>6</v>
          </cell>
          <cell r="I33" t="str">
            <v>PLAUR (uPAR), GRO-1, CTGF, CSF1, IL-8, Coagulation factor V</v>
          </cell>
        </row>
        <row r="34">
          <cell r="B34" t="str">
            <v>Stem cells_Aberrant Hedgehog signaling in medulloblastoma stem cells</v>
          </cell>
          <cell r="C34">
            <v>15</v>
          </cell>
          <cell r="D34">
            <v>6.2308220086018998E-4</v>
          </cell>
          <cell r="E34">
            <v>1.8945428802239098E-2</v>
          </cell>
          <cell r="F34">
            <v>6.2308220086018998E-4</v>
          </cell>
          <cell r="G34">
            <v>1.8945428802239098E-2</v>
          </cell>
          <cell r="H34">
            <v>5</v>
          </cell>
          <cell r="I34" t="str">
            <v>PTCH1, SUFU, IGF-2, N-Myc, Smoothened</v>
          </cell>
        </row>
        <row r="35">
          <cell r="B35" t="str">
            <v>Hypoxia-induced EMT in cancer and fibrosis</v>
          </cell>
          <cell r="C35">
            <v>9</v>
          </cell>
          <cell r="D35">
            <v>6.5150903814774905E-4</v>
          </cell>
          <cell r="E35">
            <v>1.8945428802239098E-2</v>
          </cell>
          <cell r="F35">
            <v>6.5150903814774905E-4</v>
          </cell>
          <cell r="G35">
            <v>1.8945428802239098E-2</v>
          </cell>
          <cell r="H35">
            <v>4</v>
          </cell>
          <cell r="I35" t="str">
            <v>CTGF, Lysyl oxidase, TWIST1, LOXL2</v>
          </cell>
        </row>
        <row r="36">
          <cell r="B36" t="str">
            <v>Mechanisms of drug resistance in multiple myeloma</v>
          </cell>
          <cell r="C36">
            <v>49</v>
          </cell>
          <cell r="D36">
            <v>6.5196819764790396E-4</v>
          </cell>
          <cell r="E36">
            <v>1.8945428802239098E-2</v>
          </cell>
          <cell r="F36">
            <v>6.5196819764790396E-4</v>
          </cell>
          <cell r="G36">
            <v>1.8945428802239098E-2</v>
          </cell>
          <cell r="H36">
            <v>9</v>
          </cell>
          <cell r="I36" t="str">
            <v>CD44, GCR-alpha, WNT3A, HES1, IL-8, TCF7L2 (TCF4), Frizzled, Bcl-2, MDR1</v>
          </cell>
        </row>
        <row r="37">
          <cell r="B37" t="str">
            <v>Immune response_Bacterial infections in normal airways</v>
          </cell>
          <cell r="C37">
            <v>49</v>
          </cell>
          <cell r="D37">
            <v>6.5196819764790396E-4</v>
          </cell>
          <cell r="E37">
            <v>1.8945428802239098E-2</v>
          </cell>
          <cell r="F37">
            <v>6.5196819764790396E-4</v>
          </cell>
          <cell r="G37">
            <v>1.8945428802239098E-2</v>
          </cell>
          <cell r="H37">
            <v>9</v>
          </cell>
          <cell r="I37" t="str">
            <v>CFTR, NF-kB, iNOS, LBP, IL-8, TLR4, IL1RAP, FasR(CD95), MD-2</v>
          </cell>
        </row>
        <row r="38">
          <cell r="B38" t="str">
            <v>Development_Regulation of lung epithelial progenitor cell differentiation</v>
          </cell>
          <cell r="C38">
            <v>41</v>
          </cell>
          <cell r="D38">
            <v>8.5289649394694597E-4</v>
          </cell>
          <cell r="E38">
            <v>2.2244527371321401E-2</v>
          </cell>
          <cell r="F38">
            <v>8.5289649394694597E-4</v>
          </cell>
          <cell r="G38">
            <v>2.2244527371321401E-2</v>
          </cell>
          <cell r="H38">
            <v>8</v>
          </cell>
          <cell r="I38" t="str">
            <v>ELF5, WNT3A, Tcf(Lef), GATA-6, WNT, N-Myc, Frizzled, FOXP1</v>
          </cell>
        </row>
        <row r="39">
          <cell r="B39" t="str">
            <v>Breast cancer (general schema)</v>
          </cell>
          <cell r="C39">
            <v>41</v>
          </cell>
          <cell r="D39">
            <v>8.5289649394694597E-4</v>
          </cell>
          <cell r="E39">
            <v>2.2244527371321401E-2</v>
          </cell>
          <cell r="F39">
            <v>8.5289649394694597E-4</v>
          </cell>
          <cell r="G39">
            <v>2.2244527371321401E-2</v>
          </cell>
          <cell r="H39">
            <v>8</v>
          </cell>
          <cell r="I39" t="str">
            <v>PTHR1, DLL1, TGF-beta, PTHrP, Somatotropin, ErbB2, PTCH1, Smoothened</v>
          </cell>
        </row>
        <row r="40">
          <cell r="B40" t="str">
            <v>Cytoskeleton remodeling_Substance P mediated membrane blebbing</v>
          </cell>
          <cell r="C40">
            <v>16</v>
          </cell>
          <cell r="D40">
            <v>8.6910602527598597E-4</v>
          </cell>
          <cell r="E40">
            <v>2.2244527371321401E-2</v>
          </cell>
          <cell r="F40">
            <v>8.6910602527598597E-4</v>
          </cell>
          <cell r="G40">
            <v>2.2244527371321401E-2</v>
          </cell>
          <cell r="H40">
            <v>5</v>
          </cell>
          <cell r="I40" t="str">
            <v>Tubulin alpha, Dynamin, MLCK, MRLC, Tubulin (in microtubules)</v>
          </cell>
        </row>
        <row r="41">
          <cell r="B41" t="str">
            <v>Cell cycle_Role of Nek in cell cycle regulation</v>
          </cell>
          <cell r="C41">
            <v>32</v>
          </cell>
          <cell r="D41">
            <v>8.7807344886795099E-4</v>
          </cell>
          <cell r="E41">
            <v>2.2244527371321401E-2</v>
          </cell>
          <cell r="F41">
            <v>8.7807344886795197E-4</v>
          </cell>
          <cell r="G41">
            <v>2.2244527371321401E-2</v>
          </cell>
          <cell r="H41">
            <v>7</v>
          </cell>
          <cell r="I41" t="str">
            <v>NEK1, Tubulin beta, Tubulin alpha, Insulin processed, IRS-1, Histone H1, Tubulin (in microtubules)</v>
          </cell>
        </row>
        <row r="42">
          <cell r="B42" t="str">
            <v>Upregulation of IL-8 expression in colorectal cancer</v>
          </cell>
          <cell r="C42">
            <v>32</v>
          </cell>
          <cell r="D42">
            <v>8.7807344886795099E-4</v>
          </cell>
          <cell r="E42">
            <v>2.2244527371321401E-2</v>
          </cell>
          <cell r="F42">
            <v>8.7807344886795197E-4</v>
          </cell>
          <cell r="G42">
            <v>2.2244527371321401E-2</v>
          </cell>
          <cell r="H42">
            <v>7</v>
          </cell>
          <cell r="I42" t="str">
            <v>WNT4, NF-kB1 (p50), IL-8, WNT, TCF7L2 (TCF4), Frizzled, WNT6</v>
          </cell>
        </row>
        <row r="43">
          <cell r="B43" t="str">
            <v>Cell adhesion_ECM remodeling</v>
          </cell>
          <cell r="C43">
            <v>52</v>
          </cell>
          <cell r="D43">
            <v>1.0210727172065099E-3</v>
          </cell>
          <cell r="E43">
            <v>2.5220496115000698E-2</v>
          </cell>
          <cell r="F43">
            <v>1.0210727172065099E-3</v>
          </cell>
          <cell r="G43">
            <v>2.5220496115000698E-2</v>
          </cell>
          <cell r="H43">
            <v>9</v>
          </cell>
          <cell r="I43" t="str">
            <v>HB-EGF, PLAUR (uPAR), Collagen IV, CD44, Kallikrein 1, IL-8, IGF-2, Collagen I, Versican</v>
          </cell>
        </row>
        <row r="44">
          <cell r="B44" t="str">
            <v>SHH signaling in melanoma</v>
          </cell>
          <cell r="C44">
            <v>33</v>
          </cell>
          <cell r="D44">
            <v>1.06690455982303E-3</v>
          </cell>
          <cell r="E44">
            <v>2.57097976854915E-2</v>
          </cell>
          <cell r="F44">
            <v>1.06690455982303E-3</v>
          </cell>
          <cell r="G44">
            <v>2.57097976854915E-2</v>
          </cell>
          <cell r="H44">
            <v>7</v>
          </cell>
          <cell r="I44" t="str">
            <v>N-cadherin, SMAD3, PDGF-R-alpha, PTCH1, SUFU, SLUG, Smoothened</v>
          </cell>
        </row>
        <row r="45">
          <cell r="B45" t="str">
            <v>Role of adhesion of SCLC cells in tumor progression</v>
          </cell>
          <cell r="C45">
            <v>35</v>
          </cell>
          <cell r="D45">
            <v>1.53924028077239E-3</v>
          </cell>
          <cell r="E45">
            <v>3.62087951762649E-2</v>
          </cell>
          <cell r="F45">
            <v>1.53924028077239E-3</v>
          </cell>
          <cell r="G45">
            <v>3.62087951762649E-2</v>
          </cell>
          <cell r="H45">
            <v>7</v>
          </cell>
          <cell r="I45" t="str">
            <v>N-cadherin, PTHrP, NCAM1, Collagen IV, SDF-1, CXCR4, ACM3</v>
          </cell>
        </row>
        <row r="46">
          <cell r="B46" t="str">
            <v>Role of cell adhesion molecules in progression of pancreatic cancer</v>
          </cell>
          <cell r="C46">
            <v>45</v>
          </cell>
          <cell r="D46">
            <v>1.6125577722056099E-3</v>
          </cell>
          <cell r="E46">
            <v>3.7051327417189299E-2</v>
          </cell>
          <cell r="F46">
            <v>1.6125577722056099E-3</v>
          </cell>
          <cell r="G46">
            <v>3.7051327417189299E-2</v>
          </cell>
          <cell r="H46">
            <v>8</v>
          </cell>
          <cell r="I46" t="str">
            <v>p130CAS, iNOS, NCAM1, Plakoglobin, Collagen IV, Tcf(Lef), Collagen I, L1CAM</v>
          </cell>
        </row>
        <row r="47">
          <cell r="B47" t="str">
            <v>Airway smooth muscle contraction in asthma</v>
          </cell>
          <cell r="C47">
            <v>56</v>
          </cell>
          <cell r="D47">
            <v>1.75913204923254E-3</v>
          </cell>
          <cell r="E47">
            <v>3.7655503830772798E-2</v>
          </cell>
          <cell r="F47">
            <v>1.75913204923254E-3</v>
          </cell>
          <cell r="G47">
            <v>3.7655503830772798E-2</v>
          </cell>
          <cell r="H47">
            <v>9</v>
          </cell>
          <cell r="I47" t="str">
            <v>L-type Ca(II) channel, alpha 1C subunit, GEFT, BDKRB2, Telokin, MyHC, MLCK, MRLC, IP3 receptor, ACM3</v>
          </cell>
        </row>
        <row r="48">
          <cell r="B48" t="str">
            <v>Development_YAP/TAZ-mediated co-regulation of transcription</v>
          </cell>
          <cell r="C48">
            <v>56</v>
          </cell>
          <cell r="D48">
            <v>1.75913204923254E-3</v>
          </cell>
          <cell r="E48">
            <v>3.7655503830772798E-2</v>
          </cell>
          <cell r="F48">
            <v>1.75913204923254E-3</v>
          </cell>
          <cell r="G48">
            <v>3.7655503830772798E-2</v>
          </cell>
          <cell r="H48">
            <v>9</v>
          </cell>
          <cell r="I48" t="str">
            <v>ID3, HBP17, SMAD3, CTGF, TWIST1, Endothelin-1, Endothelin-2, SLUG, SIP1 (ZFHX1B)</v>
          </cell>
        </row>
        <row r="49">
          <cell r="B49" t="str">
            <v>Inflammatory mechanisms of pancreatic cancerogenesis</v>
          </cell>
          <cell r="C49">
            <v>67</v>
          </cell>
          <cell r="D49">
            <v>1.77622265011621E-3</v>
          </cell>
          <cell r="E49">
            <v>3.7655503830772798E-2</v>
          </cell>
          <cell r="F49">
            <v>1.77622265011621E-3</v>
          </cell>
          <cell r="G49">
            <v>3.7655503830772798E-2</v>
          </cell>
          <cell r="H49">
            <v>10</v>
          </cell>
          <cell r="I49" t="str">
            <v>IL-32 (NK4), CCL20, GRO-1, NF-kB, iNOS, IL-8, TLR4, SDF-1, CXCR4, Bcl-2</v>
          </cell>
        </row>
        <row r="50">
          <cell r="B50" t="str">
            <v>Cytoskeleton remodeling_Keratin filaments</v>
          </cell>
          <cell r="C50">
            <v>36</v>
          </cell>
          <cell r="D50">
            <v>1.8294171901589999E-3</v>
          </cell>
          <cell r="E50">
            <v>3.7655503830772798E-2</v>
          </cell>
          <cell r="F50">
            <v>1.8294171901589999E-3</v>
          </cell>
          <cell r="G50">
            <v>3.7655503830772798E-2</v>
          </cell>
          <cell r="H50">
            <v>7</v>
          </cell>
          <cell r="I50" t="str">
            <v>Tubulin beta, Keratin 17, Epiplakin, BPAG1, Tubulin alpha, Keratin 5, Tubulin (in microtubules)</v>
          </cell>
        </row>
        <row r="51">
          <cell r="B51" t="str">
            <v>Cell adhesion_Tight junctions</v>
          </cell>
          <cell r="C51">
            <v>36</v>
          </cell>
          <cell r="D51">
            <v>1.8294171901589999E-3</v>
          </cell>
          <cell r="E51">
            <v>3.7655503830772798E-2</v>
          </cell>
          <cell r="F51">
            <v>1.8294171901589999E-3</v>
          </cell>
          <cell r="G51">
            <v>3.7655503830772798E-2</v>
          </cell>
          <cell r="H51">
            <v>7</v>
          </cell>
          <cell r="I51" t="str">
            <v>Occludin, ZO-3, MUPP1, CSDA, Tcf(Lef), Actin, Claudin-7</v>
          </cell>
        </row>
        <row r="52">
          <cell r="B52" t="str">
            <v>Canonical Notch signaling pathway in colorectal cancer</v>
          </cell>
          <cell r="C52">
            <v>47</v>
          </cell>
          <cell r="D52">
            <v>2.1540067486879098E-3</v>
          </cell>
          <cell r="E52">
            <v>4.3431809544972597E-2</v>
          </cell>
          <cell r="F52">
            <v>2.1540067486879098E-3</v>
          </cell>
          <cell r="G52">
            <v>4.3431809544972597E-2</v>
          </cell>
          <cell r="H52">
            <v>8</v>
          </cell>
          <cell r="I52" t="str">
            <v>DLL1, CD44, TLE1, HES1, WNT, NUMB, Keratin 20, TCF7L2 (TCF4)</v>
          </cell>
        </row>
        <row r="53">
          <cell r="B53" t="str">
            <v>Tumor-stroma interactions in pancreatic cancer</v>
          </cell>
          <cell r="C53">
            <v>28</v>
          </cell>
          <cell r="D53">
            <v>2.29899763367984E-3</v>
          </cell>
          <cell r="E53">
            <v>4.5428193241513599E-2</v>
          </cell>
          <cell r="F53">
            <v>2.29899763367984E-3</v>
          </cell>
          <cell r="G53">
            <v>4.5428193241513599E-2</v>
          </cell>
          <cell r="H53">
            <v>6</v>
          </cell>
          <cell r="I53" t="str">
            <v>COL1A2, PTCH1, SUFU, Smoothened, Collagen I, Thrombospondin 2</v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</sheetData>
      <sheetData sheetId="1">
        <row r="2">
          <cell r="F2" t="str">
            <v>LS153 filtered 2 fold ANOVA CCT253127</v>
          </cell>
        </row>
      </sheetData>
      <sheetData sheetId="2">
        <row r="2">
          <cell r="F2" t="str">
            <v>Colo205 filtered 2 fold ANOVA  CCT251545; CCT251921</v>
          </cell>
        </row>
        <row r="3">
          <cell r="B3" t="str">
            <v>Maps</v>
          </cell>
          <cell r="C3" t="str">
            <v>Total</v>
          </cell>
          <cell r="D3" t="str">
            <v>min(pValue)</v>
          </cell>
          <cell r="E3" t="str">
            <v>Min FDR</v>
          </cell>
          <cell r="F3" t="str">
            <v>p-value</v>
          </cell>
          <cell r="G3" t="str">
            <v>FDR</v>
          </cell>
          <cell r="H3" t="str">
            <v>In Data</v>
          </cell>
          <cell r="I3" t="str">
            <v>Network Objects from_x000D_Active Data</v>
          </cell>
        </row>
        <row r="4">
          <cell r="B4" t="str">
            <v>Notch signaling in breast cancer</v>
          </cell>
          <cell r="C4">
            <v>53</v>
          </cell>
          <cell r="D4">
            <v>2.27692425998175E-7</v>
          </cell>
          <cell r="E4">
            <v>1.81264947162208E-4</v>
          </cell>
          <cell r="F4">
            <v>2.27692425998175E-7</v>
          </cell>
          <cell r="G4">
            <v>1.81264947162208E-4</v>
          </cell>
          <cell r="H4">
            <v>13</v>
          </cell>
          <cell r="I4" t="str">
            <v>NOTCH4 (ICD4), HEY1, NOTCH4, NOTCH3 (3ICD), Cyclin D1, p21, TFF1, CD44, HES1, c-Myc, NUMB, PLAU (UPA), NOTCH3</v>
          </cell>
        </row>
        <row r="5">
          <cell r="B5" t="str">
            <v>Development_Regulation of epithelial-to-mesenchymal transition (EMT)</v>
          </cell>
          <cell r="C5">
            <v>64</v>
          </cell>
          <cell r="D5">
            <v>3.60726263009369E-7</v>
          </cell>
          <cell r="E5">
            <v>1.81264947162208E-4</v>
          </cell>
          <cell r="F5">
            <v>3.6072626300936996E-7</v>
          </cell>
          <cell r="G5">
            <v>1.81264947162208E-4</v>
          </cell>
          <cell r="H5">
            <v>14</v>
          </cell>
          <cell r="I5" t="str">
            <v>PDGF-A, IL-1 beta, Oncostatin M, HEY1, N-cadherin, NOTCH4, ACTA2, PDGF-R-alpha, Endothelin-1, Fibronectin, Claudin-1, WNT, Frizzled, c-Jun</v>
          </cell>
        </row>
        <row r="6">
          <cell r="B6" t="str">
            <v>Development_Hedgehog and PTH signaling pathways in bone and cartilage development</v>
          </cell>
          <cell r="C6">
            <v>36</v>
          </cell>
          <cell r="D6">
            <v>1.67683994450312E-6</v>
          </cell>
          <cell r="E6">
            <v>5.6174138140854596E-4</v>
          </cell>
          <cell r="F6">
            <v>1.67683994450312E-6</v>
          </cell>
          <cell r="G6">
            <v>5.6174138140854596E-4</v>
          </cell>
          <cell r="H6">
            <v>10</v>
          </cell>
          <cell r="I6" t="str">
            <v>PTHR1, COL1A1, Cyclin D1, PKA-reg (cAMP-dependent), COL1A2, c-Fos, PLC-beta, PTCH1, VDR, PKA-cat (cAMP-dependent)</v>
          </cell>
        </row>
        <row r="7">
          <cell r="B7" t="str">
            <v>Canonical WNT signaling pathway in colorectal cancer</v>
          </cell>
          <cell r="C7">
            <v>66</v>
          </cell>
          <cell r="D7">
            <v>3.3342659917683702E-6</v>
          </cell>
          <cell r="E7">
            <v>7.9978618343283904E-4</v>
          </cell>
          <cell r="F7">
            <v>3.3342659917683702E-6</v>
          </cell>
          <cell r="G7">
            <v>7.9978618343283904E-4</v>
          </cell>
          <cell r="H7">
            <v>13</v>
          </cell>
          <cell r="I7" t="str">
            <v>FZD1, Cyclin D1, CAS-L, p21, Leptin receptor, CD44, FZD10, SFRP2, c-Myc, FZD7, WNT, DACT3, Frizzled</v>
          </cell>
        </row>
        <row r="8">
          <cell r="B8" t="str">
            <v>Inflammatory mechanisms of pancreatic cancerogenesis</v>
          </cell>
          <cell r="C8">
            <v>67</v>
          </cell>
          <cell r="D8">
            <v>3.9790357384718306E-6</v>
          </cell>
          <cell r="E8">
            <v>7.9978618343283904E-4</v>
          </cell>
          <cell r="F8">
            <v>3.9790357384718399E-6</v>
          </cell>
          <cell r="G8">
            <v>7.9978618343283904E-4</v>
          </cell>
          <cell r="H8">
            <v>13</v>
          </cell>
          <cell r="I8" t="str">
            <v>IL-1 beta, C/EBP, TNF-R2, c-Jun/c-Fos, CCL20, AP-1, TGF-alpha, GRO-1, c-Fos, ICAM1, IL8RA, PLAU (UPA), c-Jun</v>
          </cell>
        </row>
        <row r="9">
          <cell r="B9" t="str">
            <v>Role of stellate cells in progression of pancreatic cancer</v>
          </cell>
          <cell r="C9">
            <v>60</v>
          </cell>
          <cell r="D9">
            <v>6.7348640589777203E-6</v>
          </cell>
          <cell r="E9">
            <v>9.7978902509032999E-4</v>
          </cell>
          <cell r="F9">
            <v>6.7348640589777305E-6</v>
          </cell>
          <cell r="G9">
            <v>9.7978902509032999E-4</v>
          </cell>
          <cell r="H9">
            <v>12</v>
          </cell>
          <cell r="I9" t="str">
            <v>COL1A1, PDGF-A, HB-EGF, GRO-2, ACTA2, COL1A2, PDGF-R-alpha, c-Fos, PDGF receptor, Fibronectin, Collagen I, c-Jun</v>
          </cell>
        </row>
        <row r="10">
          <cell r="B10" t="str">
            <v>IL-1 signaling in melanoma</v>
          </cell>
          <cell r="C10">
            <v>42</v>
          </cell>
          <cell r="D10">
            <v>7.7116865599200805E-6</v>
          </cell>
          <cell r="E10">
            <v>9.7978902509032999E-4</v>
          </cell>
          <cell r="F10">
            <v>7.7116865599200991E-6</v>
          </cell>
          <cell r="G10">
            <v>9.7978902509032999E-4</v>
          </cell>
          <cell r="H10">
            <v>10</v>
          </cell>
          <cell r="I10" t="str">
            <v>GRO-2, IL-1 beta, c-Jun/c-Fos, AP-1, GRO-1, p21, ICAM1, GRO-3, c-Jun, PD-L1</v>
          </cell>
        </row>
        <row r="11">
          <cell r="B11" t="str">
            <v>Blood coagulation_Platelet microparticle generation</v>
          </cell>
          <cell r="C11">
            <v>71</v>
          </cell>
          <cell r="D11">
            <v>7.7993156226096004E-6</v>
          </cell>
          <cell r="E11">
            <v>9.7978902509032999E-4</v>
          </cell>
          <cell r="F11">
            <v>7.7993156226096004E-6</v>
          </cell>
          <cell r="G11">
            <v>9.7978902509032999E-4</v>
          </cell>
          <cell r="H11">
            <v>13</v>
          </cell>
          <cell r="I11" t="str">
            <v>IL-1 beta, PLA2G7, Filamin A, PKC, Alpha-2A adrenergic receptor, PLC-beta, Fibronectin, MyHC, MYLK1, cPLA2, Coagulation factor V, Collagen I, IP3 receptor</v>
          </cell>
        </row>
        <row r="12">
          <cell r="B12" t="str">
            <v>Role of cell adhesion in vaso-occlusion in Sickle cell disease</v>
          </cell>
          <cell r="C12">
            <v>43</v>
          </cell>
          <cell r="D12">
            <v>9.6708937596656001E-6</v>
          </cell>
          <cell r="E12">
            <v>1.07991646982932E-3</v>
          </cell>
          <cell r="F12">
            <v>9.6708937596656001E-6</v>
          </cell>
          <cell r="G12">
            <v>1.07991646982932E-3</v>
          </cell>
          <cell r="H12">
            <v>10</v>
          </cell>
          <cell r="I12" t="str">
            <v>IL-1 beta, PECAM1, PKA-reg (cAMP-dependent), CD45, ICAM1, CD44, Fibronectin, PKA-cat (cAMP-dependent), BCAM, CD36</v>
          </cell>
        </row>
        <row r="13">
          <cell r="B13" t="str">
            <v>G protein-coupled receptors signaling in lung cancer</v>
          </cell>
          <cell r="C13">
            <v>74</v>
          </cell>
          <cell r="D13">
            <v>1.25013740634198E-5</v>
          </cell>
          <cell r="E13">
            <v>1.2563880933736901E-3</v>
          </cell>
          <cell r="F13">
            <v>1.25013740634198E-5</v>
          </cell>
          <cell r="G13">
            <v>1.2563880933736901E-3</v>
          </cell>
          <cell r="H13">
            <v>13</v>
          </cell>
          <cell r="I13" t="str">
            <v>HB-EGF, PGE2R4, Galpha(i)-specific peptide GPCRs, Cyclin D1, PKA-reg (cAMP-dependent), Amphiregulin, TGF-alpha, Galpha(q)-specific peptide GPCRs, c-Fos, Endothelin-1, CD44, IL8RA, PKA-cat (cAMP-dependent)</v>
          </cell>
        </row>
        <row r="14">
          <cell r="B14" t="str">
            <v>Airway smooth muscle contraction in asthma</v>
          </cell>
          <cell r="C14">
            <v>56</v>
          </cell>
          <cell r="D14">
            <v>1.9543166147683E-5</v>
          </cell>
          <cell r="E14">
            <v>1.78553472531104E-3</v>
          </cell>
          <cell r="F14">
            <v>1.9543166147683E-5</v>
          </cell>
          <cell r="G14">
            <v>1.78553472531104E-3</v>
          </cell>
          <cell r="H14">
            <v>11</v>
          </cell>
          <cell r="I14" t="str">
            <v>L-type Ca(II) channel, alpha 1C subunit, GEFT, PKA-reg (cAMP-dependent), Telokin, PLC-beta, MyHC, Adenylate cyclase, PKA-cat (cAMP-dependent), MLCK, MRLC, IP3 receptor</v>
          </cell>
        </row>
        <row r="15">
          <cell r="B15" t="str">
            <v>Transcription_Role of AP-1 in regulation of cellular metabolism</v>
          </cell>
          <cell r="C15">
            <v>38</v>
          </cell>
          <cell r="D15">
            <v>2.3161379984281301E-5</v>
          </cell>
          <cell r="E15">
            <v>1.9397655736835601E-3</v>
          </cell>
          <cell r="F15">
            <v>2.3161379984281403E-5</v>
          </cell>
          <cell r="G15">
            <v>1.9397655736835601E-3</v>
          </cell>
          <cell r="H15">
            <v>9</v>
          </cell>
          <cell r="I15" t="str">
            <v>c-Jun/c-Fos, Cyclin D1, AP-1, FasL(TNFSF6), Alpha1-globin, ITGA2, c-Fos, p21, c-Jun</v>
          </cell>
        </row>
        <row r="16">
          <cell r="B16" t="str">
            <v>Mechanisms of drug resistance in multiple myeloma</v>
          </cell>
          <cell r="C16">
            <v>49</v>
          </cell>
          <cell r="D16">
            <v>3.2946891343907299E-5</v>
          </cell>
          <cell r="E16">
            <v>2.5470481385097602E-3</v>
          </cell>
          <cell r="F16">
            <v>3.2946891343907401E-5</v>
          </cell>
          <cell r="G16">
            <v>2.5470481385097602E-3</v>
          </cell>
          <cell r="H16">
            <v>10</v>
          </cell>
          <cell r="I16" t="str">
            <v>Cyclin D1, HAS1, p21, CD44, WNT3A, IL8RA, HES1, c-Myc, Frizzled, MDR1</v>
          </cell>
        </row>
        <row r="17">
          <cell r="B17" t="str">
            <v>Immune response_C5a signaling</v>
          </cell>
          <cell r="C17">
            <v>50</v>
          </cell>
          <cell r="D17">
            <v>3.9639222450939103E-5</v>
          </cell>
          <cell r="E17">
            <v>2.5951296054238502E-3</v>
          </cell>
          <cell r="F17">
            <v>3.9639222450939198E-5</v>
          </cell>
          <cell r="G17">
            <v>2.5951296054238502E-3</v>
          </cell>
          <cell r="H17">
            <v>10</v>
          </cell>
          <cell r="I17" t="str">
            <v>C5aR, IL-1 beta, Oncostatin M, c-Jun/c-Fos, AP-1, PKC, p67-phox, c-Fos, PLC-beta, c-Jun</v>
          </cell>
        </row>
        <row r="18">
          <cell r="B18" t="str">
            <v>Development_VEGF-family signaling</v>
          </cell>
          <cell r="C18">
            <v>41</v>
          </cell>
          <cell r="D18">
            <v>4.4423175951013103E-5</v>
          </cell>
          <cell r="E18">
            <v>2.5951296054238502E-3</v>
          </cell>
          <cell r="F18">
            <v>4.4423175951013103E-5</v>
          </cell>
          <cell r="G18">
            <v>2.5951296054238502E-3</v>
          </cell>
          <cell r="H18">
            <v>9</v>
          </cell>
          <cell r="I18" t="str">
            <v>Neuropilin-2, VEGFR-1, c-Jun/c-Fos, c-Fos, PLGF, Fibronectin, PLC-gamma, c-Jun, IP3 receptor</v>
          </cell>
        </row>
        <row r="19">
          <cell r="B19" t="str">
            <v>Muscle contraction_GPCRs in the regulation of smooth muscle tone</v>
          </cell>
          <cell r="C19">
            <v>83</v>
          </cell>
          <cell r="D19">
            <v>4.4548728074817803E-5</v>
          </cell>
          <cell r="E19">
            <v>2.5951296054238502E-3</v>
          </cell>
          <cell r="F19">
            <v>4.4548728074817803E-5</v>
          </cell>
          <cell r="G19">
            <v>2.5951296054238502E-3</v>
          </cell>
          <cell r="H19">
            <v>13</v>
          </cell>
          <cell r="I19" t="str">
            <v>L-type Ca(II) channel, alpha 1C subunit, GEFT, MaxiK alpha subunit, PKA-reg (cAMP-dependent), Telokin, PLC-beta, Endothelin-1, MyHC, Adenylate cyclase, PKA-cat (cAMP-dependent), MLCK, MRLC, IP3 receptor</v>
          </cell>
        </row>
        <row r="20">
          <cell r="B20" t="str">
            <v>Transcription_Role of VDR in regulation of genes involved in osteoporosis</v>
          </cell>
          <cell r="C20">
            <v>61</v>
          </cell>
          <cell r="D20">
            <v>4.5272690981233904E-5</v>
          </cell>
          <cell r="E20">
            <v>2.5951296054238502E-3</v>
          </cell>
          <cell r="F20">
            <v>4.5272690981234005E-5</v>
          </cell>
          <cell r="G20">
            <v>2.5951296054238502E-3</v>
          </cell>
          <cell r="H20">
            <v>11</v>
          </cell>
          <cell r="I20" t="str">
            <v>PTHR1, COL1A1, IL-1 beta, c-Jun/c-Fos, FasL(TNFSF6), Osteoprotegerin, c-Fos, VDR, PKA-cat (cAMP-dependent), c-Jun, CALB1</v>
          </cell>
        </row>
        <row r="21">
          <cell r="B21" t="str">
            <v>Reproduction_GnRH signaling</v>
          </cell>
          <cell r="C21">
            <v>72</v>
          </cell>
          <cell r="D21">
            <v>4.6479933231471904E-5</v>
          </cell>
          <cell r="E21">
            <v>2.5951296054238502E-3</v>
          </cell>
          <cell r="F21">
            <v>4.6479933231471904E-5</v>
          </cell>
          <cell r="G21">
            <v>2.5951296054238502E-3</v>
          </cell>
          <cell r="H21">
            <v>12</v>
          </cell>
          <cell r="I21" t="str">
            <v>CaMK I, L-type Ca(II) channel, alpha 1C subunit, c-Jun/c-Fos, PKA-reg (cAMP-dependent), AP-1, c-Fos, PLC-beta, Adenylate cyclase, PKA-cat (cAMP-dependent), MEK6(MAP2K6), c-Jun, IP3 receptor</v>
          </cell>
        </row>
        <row r="22">
          <cell r="B22" t="str">
            <v>Immune response_ETV3 affect on CSF1-promoted macrophage differentiation</v>
          </cell>
          <cell r="C22">
            <v>33</v>
          </cell>
          <cell r="D22">
            <v>5.5427095753327403E-5</v>
          </cell>
          <cell r="E22">
            <v>2.8419714868364301E-3</v>
          </cell>
          <cell r="F22">
            <v>5.5427095753327505E-5</v>
          </cell>
          <cell r="G22">
            <v>2.8419714868364301E-3</v>
          </cell>
          <cell r="H22">
            <v>8</v>
          </cell>
          <cell r="I22" t="str">
            <v>c-Jun/c-Fos, AP-1, CSF1, c-Fos, MSR1, c-Myc, PLAU (UPA), c-Jun</v>
          </cell>
        </row>
        <row r="23">
          <cell r="B23" t="str">
            <v>Cell adhesion_ECM remodeling</v>
          </cell>
          <cell r="C23">
            <v>52</v>
          </cell>
          <cell r="D23">
            <v>5.6556646504207399E-5</v>
          </cell>
          <cell r="E23">
            <v>2.8419714868364301E-3</v>
          </cell>
          <cell r="F23">
            <v>5.6556646504207501E-5</v>
          </cell>
          <cell r="G23">
            <v>2.8419714868364301E-3</v>
          </cell>
          <cell r="H23">
            <v>10</v>
          </cell>
          <cell r="I23" t="str">
            <v>HB-EGF, Collagen II, CD44, TIMP2, IL8RA, Fibronectin, Nidogen, PLAU (UPA), Collagen I, Versican</v>
          </cell>
        </row>
        <row r="24">
          <cell r="B24" t="str">
            <v>Immune response_T regulatory cell-mediated modulation of effector T cell and NK cell functions</v>
          </cell>
          <cell r="C24">
            <v>53</v>
          </cell>
          <cell r="D24">
            <v>6.7097854121656307E-5</v>
          </cell>
          <cell r="E24">
            <v>3.1781780820954301E-3</v>
          </cell>
          <cell r="F24">
            <v>6.7097854121656402E-5</v>
          </cell>
          <cell r="G24">
            <v>3.1781780820954301E-3</v>
          </cell>
          <cell r="H24">
            <v>10</v>
          </cell>
          <cell r="I24" t="str">
            <v>PGE2R4, PKA-reg (cAMP-dependent), FasL(TNFSF6), STAT4, MIP-1-alpha, KLRK1 (NKG2D), HES1, Granzyme A, PKA-cat (cAMP-dependent), Connexin 43</v>
          </cell>
        </row>
        <row r="25">
          <cell r="B25" t="str">
            <v>Cytoskeleton remodeling_TGF, WNT and cytoskeletal remodeling</v>
          </cell>
          <cell r="C25">
            <v>111</v>
          </cell>
          <cell r="D25">
            <v>6.9572057518506997E-5</v>
          </cell>
          <cell r="E25">
            <v>3.1781780820954301E-3</v>
          </cell>
          <cell r="F25">
            <v>6.9572057518507105E-5</v>
          </cell>
          <cell r="G25">
            <v>3.1781780820954301E-3</v>
          </cell>
          <cell r="H25">
            <v>15</v>
          </cell>
          <cell r="I25" t="str">
            <v>Cyclin D1, RHEB2, Caveolin-1, p21, Fibronectin, MYLK1, c-Myc, WNT, Actin, PLAU (UPA), MLCK, MRLC, Frizzled, Paxillin, c-Jun</v>
          </cell>
        </row>
        <row r="26">
          <cell r="B26" t="str">
            <v>Nociception_Nociceptin receptor signaling</v>
          </cell>
          <cell r="C26">
            <v>76</v>
          </cell>
          <cell r="D26">
            <v>8.0422217523700207E-5</v>
          </cell>
          <cell r="E26">
            <v>3.5141012439703799E-3</v>
          </cell>
          <cell r="F26">
            <v>8.0422217523700207E-5</v>
          </cell>
          <cell r="G26">
            <v>3.5141012439703799E-3</v>
          </cell>
          <cell r="H26">
            <v>12</v>
          </cell>
          <cell r="I26" t="str">
            <v>Prepronociceptin, PKA-reg (cAMP-dependent), PKC, c-Fos, PLC-beta, cPLA2, Actin, Adenylate cyclase, PKA-cat (cAMP-dependent), c-Jun, IP3 receptor, Nociceptin</v>
          </cell>
        </row>
        <row r="27">
          <cell r="B27" t="str">
            <v>Role of osteoblasts in bone lesions formation in multiple myeloma</v>
          </cell>
          <cell r="C27">
            <v>35</v>
          </cell>
          <cell r="D27">
            <v>8.7165974424397111E-5</v>
          </cell>
          <cell r="E27">
            <v>3.65007517902163E-3</v>
          </cell>
          <cell r="F27">
            <v>8.7165974424397206E-5</v>
          </cell>
          <cell r="G27">
            <v>3.65007517902163E-3</v>
          </cell>
          <cell r="H27">
            <v>8</v>
          </cell>
          <cell r="I27" t="str">
            <v>FasL(TNFSF6), Osteoprotegerin, WNT3A, MIP-1-alpha, SFRP2, WNT, Frizzled, Collagen I</v>
          </cell>
        </row>
        <row r="28">
          <cell r="B28" t="str">
            <v>Role of activation of WNT signaling in the progression of lung cancer</v>
          </cell>
          <cell r="C28">
            <v>77</v>
          </cell>
          <cell r="D28">
            <v>9.1663143768418902E-5</v>
          </cell>
          <cell r="E28">
            <v>3.68485837949044E-3</v>
          </cell>
          <cell r="F28">
            <v>9.1663143768419011E-5</v>
          </cell>
          <cell r="G28">
            <v>3.68485837949044E-3</v>
          </cell>
          <cell r="H28">
            <v>12</v>
          </cell>
          <cell r="I28" t="str">
            <v>FZD1, Cyclin D1, p21, WNT3A, DKK3, NKD1, SFRP2, c-Myc, FZD7, WNT, Frizzled, NOTCH3</v>
          </cell>
        </row>
        <row r="29">
          <cell r="B29" t="str">
            <v>Beta-catenin-dependent transcription regulation in colorectal cancer</v>
          </cell>
          <cell r="C29">
            <v>36</v>
          </cell>
          <cell r="D29">
            <v>1.0794715923557599E-4</v>
          </cell>
          <cell r="E29">
            <v>4.0180331493242204E-3</v>
          </cell>
          <cell r="F29">
            <v>1.0794715923557599E-4</v>
          </cell>
          <cell r="G29">
            <v>4.0180331493242204E-3</v>
          </cell>
          <cell r="H29">
            <v>8</v>
          </cell>
          <cell r="I29" t="str">
            <v>c-Jun/c-Fos, Cyclin D1, CD44, Claudin-1, CD44 soluble, PLAU (UPA), MDR1, CD44 (EXT)</v>
          </cell>
        </row>
        <row r="30">
          <cell r="B30" t="str">
            <v>WNT signaling in gastric cancer</v>
          </cell>
          <cell r="C30">
            <v>36</v>
          </cell>
          <cell r="D30">
            <v>1.0794715923557599E-4</v>
          </cell>
          <cell r="E30">
            <v>4.0180331493242204E-3</v>
          </cell>
          <cell r="F30">
            <v>1.0794715923557599E-4</v>
          </cell>
          <cell r="G30">
            <v>4.0180331493242204E-3</v>
          </cell>
          <cell r="H30">
            <v>8</v>
          </cell>
          <cell r="I30" t="str">
            <v>Cyclin D1, CD44, WNT3A, DKK3, SFRP2, WNT, WNT 8A, Frizzled</v>
          </cell>
        </row>
        <row r="31">
          <cell r="B31" t="str">
            <v>Immune response_MIF - the neuroendocrine-macrophage connector</v>
          </cell>
          <cell r="C31">
            <v>46</v>
          </cell>
          <cell r="D31">
            <v>1.1559397818879899E-4</v>
          </cell>
          <cell r="E31">
            <v>4.1489981457051E-3</v>
          </cell>
          <cell r="F31">
            <v>1.1559397818879899E-4</v>
          </cell>
          <cell r="G31">
            <v>4.1489981457051E-3</v>
          </cell>
          <cell r="H31">
            <v>9</v>
          </cell>
          <cell r="I31" t="str">
            <v>MHC class II, PKA-reg (cAMP-dependent), ABCA1, PKC, PLC-beta, PLA2, cPLA2, PKA-cat (cAMP-dependent), IP3 receptor</v>
          </cell>
        </row>
        <row r="32">
          <cell r="B32" t="str">
            <v>IL-6 signaling in colorectal cancer</v>
          </cell>
          <cell r="C32">
            <v>37</v>
          </cell>
          <cell r="D32">
            <v>1.3266090471243799E-4</v>
          </cell>
          <cell r="E32">
            <v>4.5544687449130998E-3</v>
          </cell>
          <cell r="F32">
            <v>1.3266090471243799E-4</v>
          </cell>
          <cell r="G32">
            <v>4.5544687449130998E-3</v>
          </cell>
          <cell r="H32">
            <v>8</v>
          </cell>
          <cell r="I32" t="str">
            <v>TNF-R2, Cyclin D1, Cyclin B, ICAM1, sIL6-RA, HSP70, c-Myc, IL6RA</v>
          </cell>
        </row>
        <row r="33">
          <cell r="B33" t="str">
            <v>Mucin expression in CF airways</v>
          </cell>
          <cell r="C33">
            <v>69</v>
          </cell>
          <cell r="D33">
            <v>1.4525880966885399E-4</v>
          </cell>
          <cell r="E33">
            <v>4.5544687449130998E-3</v>
          </cell>
          <cell r="F33">
            <v>1.4525880966885399E-4</v>
          </cell>
          <cell r="G33">
            <v>4.5544687449130998E-3</v>
          </cell>
          <cell r="H33">
            <v>11</v>
          </cell>
          <cell r="I33" t="str">
            <v>IL-1 beta, PGE2R4, CFTR, c-Jun/c-Fos, TGF-alpha, PKC-theta, PLC-beta, PKA-cat (cAMP-dependent), MEK6(MAP2K6), c-Jun, IP3 receptor</v>
          </cell>
        </row>
        <row r="34">
          <cell r="B34" t="str">
            <v>Development_Regulation of cytoskeleton proteins in oligodendrocyte differentiation and myelination</v>
          </cell>
          <cell r="C34">
            <v>58</v>
          </cell>
          <cell r="D34">
            <v>1.48377598880227E-4</v>
          </cell>
          <cell r="E34">
            <v>4.5544687449130998E-3</v>
          </cell>
          <cell r="F34">
            <v>1.4837759888022801E-4</v>
          </cell>
          <cell r="G34">
            <v>4.5544687449130998E-3</v>
          </cell>
          <cell r="H34">
            <v>10</v>
          </cell>
          <cell r="I34" t="str">
            <v>PDGF-A, Tau (MAPT), MAP6, MAP-1B, NCAM1, PDGF-R-alpha, MAP2, MRLC, Paxillin, TPPP (p24)</v>
          </cell>
        </row>
        <row r="35">
          <cell r="B35" t="str">
            <v>WNT signaling in proliferative-type melanoma cells</v>
          </cell>
          <cell r="C35">
            <v>38</v>
          </cell>
          <cell r="D35">
            <v>1.6186077797328001E-4</v>
          </cell>
          <cell r="E35">
            <v>4.5544687449130998E-3</v>
          </cell>
          <cell r="F35">
            <v>1.6186077797328001E-4</v>
          </cell>
          <cell r="G35">
            <v>4.5544687449130998E-3</v>
          </cell>
          <cell r="H35">
            <v>8</v>
          </cell>
          <cell r="I35" t="str">
            <v>TAJ(TNFRSF19), Cyclin D1, WNT3A, DKK3, Fibronectin, c-Myc, WNT, Frizzled</v>
          </cell>
        </row>
        <row r="36">
          <cell r="B36" t="str">
            <v>Immune response_Human NKG2D signaling</v>
          </cell>
          <cell r="C36">
            <v>38</v>
          </cell>
          <cell r="D36">
            <v>1.6186077797328001E-4</v>
          </cell>
          <cell r="E36">
            <v>4.5544687449130998E-3</v>
          </cell>
          <cell r="F36">
            <v>1.6186077797328001E-4</v>
          </cell>
          <cell r="G36">
            <v>4.5544687449130998E-3</v>
          </cell>
          <cell r="H36">
            <v>8</v>
          </cell>
          <cell r="I36" t="str">
            <v>c-Jun/c-Fos, AP-1, c-Fos, KLRK1 (NKG2D), ULBP1, PLC-gamma 2, c-Jun, IP3 receptor</v>
          </cell>
        </row>
        <row r="37">
          <cell r="B37" t="str">
            <v>Cell adhesion_Cell-matrix glycoconjugates</v>
          </cell>
          <cell r="C37">
            <v>38</v>
          </cell>
          <cell r="D37">
            <v>1.6186077797328001E-4</v>
          </cell>
          <cell r="E37">
            <v>4.5544687449130998E-3</v>
          </cell>
          <cell r="F37">
            <v>1.6186077797328001E-4</v>
          </cell>
          <cell r="G37">
            <v>4.5544687449130998E-3</v>
          </cell>
          <cell r="H37">
            <v>8</v>
          </cell>
          <cell r="I37" t="str">
            <v>CEACAM5, BCAN, NCAM1, ITIH3, CD44, TIMP2, Aggrecan, Versican</v>
          </cell>
        </row>
        <row r="38">
          <cell r="B38" t="str">
            <v>Role of Endothelin-1 in inflammation and vasoconstriction in Sickle cell disease</v>
          </cell>
          <cell r="C38">
            <v>38</v>
          </cell>
          <cell r="D38">
            <v>1.6186077797328001E-4</v>
          </cell>
          <cell r="E38">
            <v>4.5544687449130998E-3</v>
          </cell>
          <cell r="F38">
            <v>1.6186077797328001E-4</v>
          </cell>
          <cell r="G38">
            <v>4.5544687449130998E-3</v>
          </cell>
          <cell r="H38">
            <v>8</v>
          </cell>
          <cell r="I38" t="str">
            <v>VEGFR-1, c-Jun/c-Fos, AP-1, c-Fos, Endothelin-1, PLGF, SK4/IK1, c-Jun</v>
          </cell>
        </row>
        <row r="39">
          <cell r="B39" t="str">
            <v>Cell adhesion_Integrin-mediated cell adhesion and migration</v>
          </cell>
          <cell r="C39">
            <v>48</v>
          </cell>
          <cell r="D39">
            <v>1.6314514907151399E-4</v>
          </cell>
          <cell r="E39">
            <v>4.5544687449130998E-3</v>
          </cell>
          <cell r="F39">
            <v>1.6314514907151399E-4</v>
          </cell>
          <cell r="G39">
            <v>4.5544687449130998E-3</v>
          </cell>
          <cell r="H39">
            <v>9</v>
          </cell>
          <cell r="I39" t="str">
            <v>Collagen II, RASGRF1, Fibronectin, MyHC, MYLK1, MLCK, MRLC, Collagen I, Paxillin</v>
          </cell>
        </row>
        <row r="40">
          <cell r="B40" t="str">
            <v>Immune response_IL-18 signaling</v>
          </cell>
          <cell r="C40">
            <v>60</v>
          </cell>
          <cell r="D40">
            <v>1.98662817901687E-4</v>
          </cell>
          <cell r="E40">
            <v>5.3961116754377104E-3</v>
          </cell>
          <cell r="F40">
            <v>1.98662817901687E-4</v>
          </cell>
          <cell r="G40">
            <v>5.3961116754377104E-3</v>
          </cell>
          <cell r="H40">
            <v>10</v>
          </cell>
          <cell r="I40" t="str">
            <v>IL-1 beta, c-Jun/c-Fos, AP-1, FasL(TNFSF6), p67-phox, c-Fos, ICAM1, Fibronectin, MEK6(MAP2K6), c-Jun</v>
          </cell>
        </row>
        <row r="41">
          <cell r="B41" t="str">
            <v>VEGF signaling in multiple myeloma</v>
          </cell>
          <cell r="C41">
            <v>50</v>
          </cell>
          <cell r="D41">
            <v>2.2598133782811701E-4</v>
          </cell>
          <cell r="E41">
            <v>5.7894141146728802E-3</v>
          </cell>
          <cell r="F41">
            <v>2.2598133782811801E-4</v>
          </cell>
          <cell r="G41">
            <v>5.7894141146728802E-3</v>
          </cell>
          <cell r="H41">
            <v>9</v>
          </cell>
          <cell r="I41" t="str">
            <v>VEGFR-1, Caveolin-1, ICAM1, FKHR, Fibronectin, c-Myc, PLC-gamma, MDR1, IP3 receptor</v>
          </cell>
        </row>
        <row r="42">
          <cell r="B42" t="str">
            <v>WNT signaling in HCC</v>
          </cell>
          <cell r="C42">
            <v>40</v>
          </cell>
          <cell r="D42">
            <v>2.3618505343441599E-4</v>
          </cell>
          <cell r="E42">
            <v>5.7894141146728802E-3</v>
          </cell>
          <cell r="F42">
            <v>2.3618505343441599E-4</v>
          </cell>
          <cell r="G42">
            <v>5.7894141146728802E-3</v>
          </cell>
          <cell r="H42">
            <v>8</v>
          </cell>
          <cell r="I42" t="str">
            <v>Cyclin D1, WNT3A, SFRP2, c-Myc, FZD7, WNT, GLNA, Frizzled</v>
          </cell>
        </row>
        <row r="43">
          <cell r="B43" t="str">
            <v>Development_Role of Activin A in cell differentiation and proliferation</v>
          </cell>
          <cell r="C43">
            <v>40</v>
          </cell>
          <cell r="D43">
            <v>2.3618505343441599E-4</v>
          </cell>
          <cell r="E43">
            <v>5.7894141146728802E-3</v>
          </cell>
          <cell r="F43">
            <v>2.3618505343441599E-4</v>
          </cell>
          <cell r="G43">
            <v>5.7894141146728802E-3</v>
          </cell>
          <cell r="H43">
            <v>8</v>
          </cell>
          <cell r="I43" t="str">
            <v>PKA-reg (cAMP-dependent), p21, Activin A, VDR, Lefty-1, c-Myc, Adenylate cyclase, PKA-cat (cAMP-dependent)</v>
          </cell>
        </row>
        <row r="44">
          <cell r="B44" t="str">
            <v>The role of UV radiation in melanoma development</v>
          </cell>
          <cell r="C44">
            <v>40</v>
          </cell>
          <cell r="D44">
            <v>2.3618505343441599E-4</v>
          </cell>
          <cell r="E44">
            <v>5.7894141146728802E-3</v>
          </cell>
          <cell r="F44">
            <v>2.3618505343441599E-4</v>
          </cell>
          <cell r="G44">
            <v>5.7894141146728802E-3</v>
          </cell>
          <cell r="H44">
            <v>8</v>
          </cell>
          <cell r="I44" t="str">
            <v>HB-EGF, XPG, Amphiregulin, TGF-alpha, FasL(TNFSF6), p21, MEK6(MAP2K6), c-Jun</v>
          </cell>
        </row>
        <row r="45">
          <cell r="B45" t="str">
            <v>Influence of bone marrow cell environment on progression of multiple myeloma</v>
          </cell>
          <cell r="C45">
            <v>52</v>
          </cell>
          <cell r="D45">
            <v>3.0770394707257801E-4</v>
          </cell>
          <cell r="E45">
            <v>7.2465382451016797E-3</v>
          </cell>
          <cell r="F45">
            <v>3.0770394707257801E-4</v>
          </cell>
          <cell r="G45">
            <v>7.2465382451016797E-3</v>
          </cell>
          <cell r="H45">
            <v>9</v>
          </cell>
          <cell r="I45" t="str">
            <v>IL-1 beta, VEGFR-1, HAS1, PTCH1, CD44, Fibronectin, PLC-gamma, Collagen I, IP3 receptor</v>
          </cell>
        </row>
        <row r="46">
          <cell r="B46" t="str">
            <v>Cell adhesion_Chemokines and adhesion</v>
          </cell>
          <cell r="C46">
            <v>100</v>
          </cell>
          <cell r="D46">
            <v>3.1005089008892702E-4</v>
          </cell>
          <cell r="E46">
            <v>7.2465382451016797E-3</v>
          </cell>
          <cell r="F46">
            <v>3.1005089008892799E-4</v>
          </cell>
          <cell r="G46">
            <v>7.2465382451016797E-3</v>
          </cell>
          <cell r="H46">
            <v>13</v>
          </cell>
          <cell r="I46" t="str">
            <v>GRO-1, Filamin A, Caveolin-1, CD44, Caveolin-2, IL8RA, Fibronectin, c-Myc, Actin, PLAU (UPA), Collagen I, Paxillin, c-Jun</v>
          </cell>
        </row>
        <row r="47">
          <cell r="B47" t="str">
            <v>Stromal-epithelial interaction in Prostate Cancer</v>
          </cell>
          <cell r="C47">
            <v>42</v>
          </cell>
          <cell r="D47">
            <v>3.3637569448065699E-4</v>
          </cell>
          <cell r="E47">
            <v>7.5123905100680198E-3</v>
          </cell>
          <cell r="F47">
            <v>3.3637569448065802E-4</v>
          </cell>
          <cell r="G47">
            <v>7.5123905100680198E-3</v>
          </cell>
          <cell r="H47">
            <v>8</v>
          </cell>
          <cell r="I47" t="str">
            <v>PDGF-A, ACTA2, PDGF-R-alpha, TIMP2, Fibronectin, Collagen I, c-Jun, Versican</v>
          </cell>
        </row>
        <row r="48">
          <cell r="B48" t="str">
            <v>Immune response_Murine NKG2D signaling</v>
          </cell>
          <cell r="C48">
            <v>42</v>
          </cell>
          <cell r="D48">
            <v>3.3637569448065699E-4</v>
          </cell>
          <cell r="E48">
            <v>7.5123905100680198E-3</v>
          </cell>
          <cell r="F48">
            <v>3.3637569448065802E-4</v>
          </cell>
          <cell r="G48">
            <v>7.5123905100680198E-3</v>
          </cell>
          <cell r="H48">
            <v>8</v>
          </cell>
          <cell r="I48" t="str">
            <v>c-Jun/c-Fos, AP-1, c-Fos, KLRK1 (NKG2D), ULBP1, PLC-gamma 2, c-Jun, IP3 receptor</v>
          </cell>
        </row>
        <row r="49">
          <cell r="B49" t="str">
            <v>Cytoskeleton remodeling_Cytoskeleton remodeling</v>
          </cell>
          <cell r="C49">
            <v>102</v>
          </cell>
          <cell r="D49">
            <v>3.7750470027097399E-4</v>
          </cell>
          <cell r="E49">
            <v>7.98397151166645E-3</v>
          </cell>
          <cell r="F49">
            <v>3.7750470027097399E-4</v>
          </cell>
          <cell r="G49">
            <v>7.98397151166645E-3</v>
          </cell>
          <cell r="H49">
            <v>13</v>
          </cell>
          <cell r="I49" t="str">
            <v>Filamin A, Caveolin-1, p21, Fibronectin, MyHC, MYLK1, c-Myc, PLAU (UPA), MLCK, MRLC, Collagen I, Paxillin, c-Jun</v>
          </cell>
        </row>
        <row r="50">
          <cell r="B50" t="str">
            <v>G-protein signaling_Regulation of CDC42 activity</v>
          </cell>
          <cell r="C50">
            <v>33</v>
          </cell>
          <cell r="D50">
            <v>3.9721251301823199E-4</v>
          </cell>
          <cell r="E50">
            <v>7.98397151166645E-3</v>
          </cell>
          <cell r="F50">
            <v>3.9721251301823199E-4</v>
          </cell>
          <cell r="G50">
            <v>7.98397151166645E-3</v>
          </cell>
          <cell r="H50">
            <v>7</v>
          </cell>
          <cell r="I50" t="str">
            <v>LyGDI, DBS, DOCK11, RhoGDI gamma, Caspase-1, B-chimaerin, ASEF2</v>
          </cell>
        </row>
        <row r="51">
          <cell r="B51" t="str">
            <v>Role of metalloproteases and heparanase in progression of pancreatic cancer</v>
          </cell>
          <cell r="C51">
            <v>33</v>
          </cell>
          <cell r="D51">
            <v>3.9721251301823199E-4</v>
          </cell>
          <cell r="E51">
            <v>7.98397151166645E-3</v>
          </cell>
          <cell r="F51">
            <v>3.9721251301823199E-4</v>
          </cell>
          <cell r="G51">
            <v>7.98397151166645E-3</v>
          </cell>
          <cell r="H51">
            <v>7</v>
          </cell>
          <cell r="I51" t="str">
            <v>HB-EGF, FasL(TNFSF6), MMP-11 (Str-3), CD44, TIMP2, CD44 soluble, CD44 (EXT)</v>
          </cell>
        </row>
        <row r="52">
          <cell r="B52" t="str">
            <v>Cytoskeleton remodeling_Thyroliberin in cytoskeleton remodeling</v>
          </cell>
          <cell r="C52">
            <v>33</v>
          </cell>
          <cell r="D52">
            <v>3.9721251301823199E-4</v>
          </cell>
          <cell r="E52">
            <v>7.98397151166645E-3</v>
          </cell>
          <cell r="F52">
            <v>3.9721251301823199E-4</v>
          </cell>
          <cell r="G52">
            <v>7.98397151166645E-3</v>
          </cell>
          <cell r="H52">
            <v>7</v>
          </cell>
          <cell r="I52" t="str">
            <v>L-type Ca(II) channel, alpha 1C subunit, PKA-reg (cAMP-dependent), Tau (MAPT), Adenylate cyclase, PKA-cat (cAMP-dependent), PLC-beta1, IP3 receptor</v>
          </cell>
        </row>
        <row r="53">
          <cell r="B53" t="str">
            <v>Chemotaxis_CCL19- and CCl21-mediated chemotaxis</v>
          </cell>
          <cell r="C53">
            <v>33</v>
          </cell>
          <cell r="D53">
            <v>3.9721251301823199E-4</v>
          </cell>
          <cell r="E53">
            <v>7.98397151166645E-3</v>
          </cell>
          <cell r="F53">
            <v>3.9721251301823199E-4</v>
          </cell>
          <cell r="G53">
            <v>7.98397151166645E-3</v>
          </cell>
          <cell r="H53">
            <v>7</v>
          </cell>
          <cell r="I53" t="str">
            <v>PGE2R4, PKA-reg (cAMP-dependent), c-Fos, PLC-gamma 2, Adenylate cyclase, PKA-cat (cAMP-dependent), IP3 receptor</v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</sheetData>
      <sheetData sheetId="3">
        <row r="4">
          <cell r="B4" t="str">
            <v>Role of IGH translocations in multiple myeloma</v>
          </cell>
          <cell r="C4">
            <v>40</v>
          </cell>
          <cell r="D4">
            <v>6.2628958813031399E-10</v>
          </cell>
          <cell r="E4">
            <v>6.40667979096929E-7</v>
          </cell>
          <cell r="F4">
            <v>6.2628958813031503E-10</v>
          </cell>
          <cell r="G4">
            <v>6.40667979096929E-7</v>
          </cell>
          <cell r="H4">
            <v>27</v>
          </cell>
          <cell r="I4" t="str">
            <v>E-cadherin, alpha-E/beta-7 integrin, NCAM1, Cyclin D3, Histone H3, E2F1, ID1, CCR1, LSD1, NOTCH2, CDK6, Cyclin D2, Rb protein, E2F4, HDAC2, CDK4, HES1, ITGB7, RhoE, Cyclin D1, ITGAE, ITGA5, p107, c-Myc, MRF-1, Histone H4, BLIMP1 (PRDI-BF1)</v>
          </cell>
        </row>
        <row r="5">
          <cell r="B5" t="str">
            <v>Canonical WNT signaling pathway in colorectal cancer</v>
          </cell>
          <cell r="C5">
            <v>66</v>
          </cell>
          <cell r="D5">
            <v>1.12397891069637E-9</v>
          </cell>
          <cell r="E5">
            <v>6.40667979096929E-7</v>
          </cell>
          <cell r="F5">
            <v>1.12397891069637E-9</v>
          </cell>
          <cell r="G5">
            <v>6.40667979096929E-7</v>
          </cell>
          <cell r="H5">
            <v>37</v>
          </cell>
          <cell r="I5" t="str">
            <v>WNT4, Galectin-3, E-cadherin, PI3K cat class IA, AKT1, iNOS, PLD1, K-RAS, CD44, BMP4, Lef-1, DKK1, Axin1, ENC1, p21, Leptin receptor, Dsh, SFRP5, PLD2, PI3K reg class IA (p85), Survivin, FZD10, Mucin 2, WNT, SLUG, c-Myb, LRP6, FZD1, Cyclin D1, HGF receptor (Met), c-Myc, FZD7, DVL-2, Axin, TCF7 (TCF1), Frizzled, WNT6</v>
          </cell>
        </row>
        <row r="6">
          <cell r="B6" t="str">
            <v>Cytoskeleton remodeling_Cytoskeleton remodeling</v>
          </cell>
          <cell r="C6">
            <v>102</v>
          </cell>
          <cell r="D6">
            <v>2.9864983572545703E-9</v>
          </cell>
          <cell r="E6">
            <v>1.13486937575674E-6</v>
          </cell>
          <cell r="F6">
            <v>2.9864983572545703E-9</v>
          </cell>
          <cell r="G6">
            <v>1.13486937575674E-6</v>
          </cell>
          <cell r="H6">
            <v>49</v>
          </cell>
          <cell r="I6" t="str">
            <v>Casein kinase II, alpha chains, TGF-beta 1, PI3K cat class IA, ITGAV, GRB2, Tcf(Lef), TGF-beta receptor type II, Destrin, DOCK1, ERK1/2, Laminin 1, CRK, alpha-6/beta-4 integrin, eIF4G1/3, p21, LIMK1, MyHC, VAV-1, PLAU (UPA), Paxillin, Talin, 4E-BP1, p130CAS, Vitronectin, Nucleolin, PI3K reg class IA, Vinculin, PLAT (TPA), C1 inhibitor, eIF4G2, N-WASP, eIF4G3, Zyxin, MRLC, eIF4A, PLAUR (uPAR), CDC42, MSK1, Filamin A, SMAD3, LIMK2, Caveolin-1, Collagen IV, MELC, c-Myc, p38 MAPK, PAI1, MLCK, Cofilin</v>
          </cell>
        </row>
        <row r="7">
          <cell r="B7" t="str">
            <v>Beta-catenin-dependent transcription regulation in colorectal cancer</v>
          </cell>
          <cell r="C7">
            <v>36</v>
          </cell>
          <cell r="D7">
            <v>8.3626724011379805E-9</v>
          </cell>
          <cell r="E7">
            <v>2.3833616343243097E-6</v>
          </cell>
          <cell r="F7">
            <v>8.3626724011379805E-9</v>
          </cell>
          <cell r="G7">
            <v>2.3833616343243097E-6</v>
          </cell>
          <cell r="H7">
            <v>24</v>
          </cell>
          <cell r="I7" t="str">
            <v>AKT1, LAMC2, LAMC2 (80kDa), CD44, IL-8, Lef-1, Lamin A/C, LAMC2 (100kDa), Claudin-1, NRCAM, PLAU (UPA), MDR1, YAP1 (YAp65), MTS1 (S100A4), Calcyclin, Tenascin-C, Mucin 2, CD44 soluble, L1CAM, Fascin, MMP-14, CD44 (EXT), PLAUR (uPAR), Cyclin D1</v>
          </cell>
        </row>
        <row r="8">
          <cell r="B8" t="str">
            <v>G-protein signaling_RhoA regulation pathway</v>
          </cell>
          <cell r="C8">
            <v>34</v>
          </cell>
          <cell r="D8">
            <v>1.1234848003461401E-8</v>
          </cell>
          <cell r="E8">
            <v>2.5615453447891998E-6</v>
          </cell>
          <cell r="F8">
            <v>1.1234848003461401E-8</v>
          </cell>
          <cell r="G8">
            <v>2.5615453447891998E-6</v>
          </cell>
          <cell r="H8">
            <v>23</v>
          </cell>
          <cell r="I8" t="str">
            <v>G-protein alpha-12 family, PLD1, RhoGDI gamma, Rhophilin 1, GRAF, PRK1, ARHGEF1 (p115RhoGEF), Ephrin-A receptors, G-protein alpha-q/11, Myosin IXb, KAP3, LyGDI, BMX, ARHGEF2, DIA1, Rap1GDS1, Fyn, DBS, Ephexin, Ephrin-A, p200RhoGAP, IGF-1, ECT2</v>
          </cell>
        </row>
        <row r="9">
          <cell r="B9" t="str">
            <v>Canonical Notch signaling pathway in colorectal cancer</v>
          </cell>
          <cell r="C9">
            <v>47</v>
          </cell>
          <cell r="D9">
            <v>1.9390229468703902E-8</v>
          </cell>
          <cell r="E9">
            <v>3.68414359905375E-6</v>
          </cell>
          <cell r="F9">
            <v>1.9390229468703902E-8</v>
          </cell>
          <cell r="G9">
            <v>3.68414359905375E-6</v>
          </cell>
          <cell r="H9">
            <v>28</v>
          </cell>
          <cell r="I9" t="str">
            <v>HES5, CD44, KLF5, Lef-1, DNA-PK, AES (GRG), Ephrin-B receptor 3, Jagged2, p21, NOTCH2, DLL4, KLF4, NOTCH2 (2ICD), Lunatic fringe, 4E-BP1, DLL1, Survivin, HES1, Mucin 2, WNT, HES6, Cyclin D1, AKT(PKB), TLE1, Jagged1, NOX1, p27KIP1, Keratin 20</v>
          </cell>
        </row>
        <row r="10">
          <cell r="B10" t="str">
            <v>Cytoskeleton remodeling_TGF, WNT and cytoskeletal remodeling</v>
          </cell>
          <cell r="C10">
            <v>111</v>
          </cell>
          <cell r="D10">
            <v>3.0246791423013696E-8</v>
          </cell>
          <cell r="E10">
            <v>4.92590603174797E-6</v>
          </cell>
          <cell r="F10">
            <v>3.0246791423013795E-8</v>
          </cell>
          <cell r="G10">
            <v>4.92590603174797E-6</v>
          </cell>
          <cell r="H10">
            <v>50</v>
          </cell>
          <cell r="I10" t="str">
            <v>Casein kinase II, alpha chains, Tuberin, TGF-beta 1, PI3K cat class IA, GRB2, Tcf(Lef), TGF-beta receptor type II, Destrin, DOCK1, ERK1/2, Laminin 1, CRK, p21, LIMK1, Dsh, VAV-1, PLAU (UPA), Paxillin, Talin, 4E-BP1, p130CAS, Vitronectin, Nucleolin, PI3K reg class IA, Vinculin, PLAT (TPA), C1 inhibitor, WNT, N-WASP, MRLC, p15, PLAUR (uPAR), CDC42, Cyclin D1, MSK1, SMAD3, LIMK2, AKT(PKB), Caveolin-1, Collagen IV, MELC, p53, c-Myc, p38 MAPK, ERK1 (MAPK3), Axin, PAI1, MLCK, Frizzled, Cofilin</v>
          </cell>
        </row>
        <row r="11">
          <cell r="B11" t="str">
            <v>Main genetic and epigenetic alterations in lung cancer</v>
          </cell>
          <cell r="C11">
            <v>48</v>
          </cell>
          <cell r="D11">
            <v>3.6936679370396095E-8</v>
          </cell>
          <cell r="E11">
            <v>5.2634768102814504E-6</v>
          </cell>
          <cell r="F11">
            <v>3.6936679370396201E-8</v>
          </cell>
          <cell r="G11">
            <v>5.2634768102814504E-6</v>
          </cell>
          <cell r="H11">
            <v>28</v>
          </cell>
          <cell r="I11" t="str">
            <v>DNMT3B, TGF-beta 1, p14ARF, RECK, K-RAS, E2F1, TGF-beta receptor type II, EGFR, Neuropilin-1, Semaphorin 3B, MGMT, MSP, MSP receptor (RON), IBP4, Caspase-8, IBP3, FHIT, Rb protein, CDK4, RASSF1, Bcl-2, Cyclin D1, IGF-1, p53, HGF receptor (Met), p16INK4, c-Myc, IBP</v>
          </cell>
        </row>
        <row r="12">
          <cell r="B12" t="str">
            <v>Cell adhesion_Chemokines and adhesion</v>
          </cell>
          <cell r="C12">
            <v>100</v>
          </cell>
          <cell r="D12">
            <v>4.8903607359054503E-8</v>
          </cell>
          <cell r="E12">
            <v>6.19445693214691E-6</v>
          </cell>
          <cell r="F12">
            <v>4.8903607359054602E-8</v>
          </cell>
          <cell r="G12">
            <v>6.19445693214691E-6</v>
          </cell>
          <cell r="H12">
            <v>46</v>
          </cell>
          <cell r="I12" t="str">
            <v>Drebrin, PI3K cat class IA, ITGAV, GRB2, CD44, SERPINE2, Caveolin-2, MMP-1, Tcf(Lef), IL-8, G-protein alpha-i family, DOCK1, ERK1/2, Laminin 1, CRK, CCR1, alpha-6/beta-4 integrin, LIMK1, IL8RA, VAV-1, PLAU (UPA), Paxillin, Talin, p130CAS, Vitronectin, GRO-1, PI3K reg class IA, GCP2, Vinculin, PLAT (TPA), MSN (moesin), N-WASP, Zyxin, Rap1GAP1, G-protein beta/gamma, PLAUR (uPAR), CDC42, Filamin A, LIMK2, AKT(PKB), Caveolin-1, Collagen IV, c-Myc, PAI1, CD47, Cofilin</v>
          </cell>
        </row>
        <row r="13">
          <cell r="B13" t="str">
            <v>Cell adhesion_Tight junctions</v>
          </cell>
          <cell r="C13">
            <v>36</v>
          </cell>
          <cell r="D13">
            <v>5.7322032583520699E-8</v>
          </cell>
          <cell r="E13">
            <v>6.53471171452136E-6</v>
          </cell>
          <cell r="F13">
            <v>5.7322032583520798E-8</v>
          </cell>
          <cell r="G13">
            <v>6.53471171452136E-6</v>
          </cell>
          <cell r="H13">
            <v>23</v>
          </cell>
          <cell r="I13" t="str">
            <v>Cingulin, Claudin-2, AF-6, Tcf(Lef), Claudin-16, Myosin II, Prr1, JAM1, Claudin-1, ZO-2, Claudin-18, Claudin-11, LYRIC, Claudin-7, Claudin-4, Occludin, ZO-3, SNAIL1, Claudin-14, WNK4, Caveolin-1, Claudin-3, CDX1</v>
          </cell>
        </row>
        <row r="14">
          <cell r="B14" t="str">
            <v>Abnormalities in cell cycle in SCLC</v>
          </cell>
          <cell r="C14">
            <v>29</v>
          </cell>
          <cell r="D14">
            <v>6.3257247247354192E-8</v>
          </cell>
          <cell r="E14">
            <v>6.5557510783621606E-6</v>
          </cell>
          <cell r="F14">
            <v>6.3257247247354298E-8</v>
          </cell>
          <cell r="G14">
            <v>6.5557510783621606E-6</v>
          </cell>
          <cell r="H14">
            <v>20</v>
          </cell>
          <cell r="I14" t="str">
            <v>p14ARF, Histone H3, E2F1, p21, CDK1 (p34), Cyclin E2, CDK2, CDK6, PCNA, Rb protein, E2F2, CKS1, CDK4, p15, Cyclin D1, Aurora-B, p53, p16INK4, p27KIP1, c-Myc</v>
          </cell>
        </row>
        <row r="15">
          <cell r="B15" t="str">
            <v>TGF-beta signaling via SMADs in breast cancer</v>
          </cell>
          <cell r="C15">
            <v>47</v>
          </cell>
          <cell r="D15">
            <v>1.0090418064730899E-7</v>
          </cell>
          <cell r="E15">
            <v>9.5858971614943405E-6</v>
          </cell>
          <cell r="F15">
            <v>1.0090418064730899E-7</v>
          </cell>
          <cell r="G15">
            <v>9.5858971614943405E-6</v>
          </cell>
          <cell r="H15">
            <v>27</v>
          </cell>
          <cell r="I15" t="str">
            <v>E-cadherin, TGF-beta 1, CD44, PGAR, IL-8, ETS1, TGF-beta receptor type II, SMAD4, Ihh, JAM1, FOXQ1 (HFH1), GLI-2, CXADR, MTS1 (S100A4), RUNX2, SLUG, CD44 soluble, Fascin, TBX2, MMP-14, HMGA2, SNAIL1, SMAD3, CTGF, p53, PAI1, IL-11</v>
          </cell>
        </row>
        <row r="16">
          <cell r="B16" t="str">
            <v>TGF-beta 1-induced transactivation of membrane receptors signaling in HCC</v>
          </cell>
          <cell r="C16">
            <v>50</v>
          </cell>
          <cell r="D16">
            <v>1.23431634730469E-7</v>
          </cell>
          <cell r="E16">
            <v>1.08240048917489E-5</v>
          </cell>
          <cell r="F16">
            <v>1.2343163473047E-7</v>
          </cell>
          <cell r="G16">
            <v>1.08240048917489E-5</v>
          </cell>
          <cell r="H16">
            <v>28</v>
          </cell>
          <cell r="I16" t="str">
            <v>E-cadherin, Laminin 5, TGF-beta 1, PI3K cat class IA, TGF-beta receptor type II, Lef-1, DOCK1, PDGF-A, TGF-beta, CRK, ITGA6, LIMK1, DDX5, CDK2, p130CAS, ITGA2, PI3K reg class IA, CDK4, SLUG, Cyclin D1, SNAIL1, AKT(PKB), PDGF receptor, ITGA5, c-Myc, Axin, Cofilin, PDGF-R-beta</v>
          </cell>
        </row>
        <row r="17">
          <cell r="B17" t="str">
            <v>Role of histone modificators in progression of multiple myeloma</v>
          </cell>
          <cell r="C17">
            <v>30</v>
          </cell>
          <cell r="D17">
            <v>1.5103929204940799E-7</v>
          </cell>
          <cell r="E17">
            <v>1.2298913781166101E-5</v>
          </cell>
          <cell r="F17">
            <v>1.5103929204940799E-7</v>
          </cell>
          <cell r="G17">
            <v>1.2298913781166101E-5</v>
          </cell>
          <cell r="H17">
            <v>20</v>
          </cell>
          <cell r="I17" t="str">
            <v>Histone H3, K-RAS, UTX, E2F1, HDAC7, HDAC6, Jagged2, p21, CDK6, Cyclin D2, Rb protein, Tubulin alpha, HDAC2, CDK4, N-Ras, HDAC8, Cyclin D1, p27KIP1, Suv39H1, Histone H4</v>
          </cell>
        </row>
        <row r="18">
          <cell r="B18" t="str">
            <v>WNT signaling in HCC</v>
          </cell>
          <cell r="C18">
            <v>40</v>
          </cell>
          <cell r="D18">
            <v>1.6739847696365902E-7</v>
          </cell>
          <cell r="E18">
            <v>1.2722284249238101E-5</v>
          </cell>
          <cell r="F18">
            <v>1.6739847696365902E-7</v>
          </cell>
          <cell r="G18">
            <v>1.2722284249238101E-5</v>
          </cell>
          <cell r="H18">
            <v>24</v>
          </cell>
          <cell r="I18" t="str">
            <v>WNT4, Ep-CAM, NOTUM, p14ARF, FZD6, Tcf(Lef), EGFR, GLNA, DKK1, WNT3, FZD3, Dsh, SFRP5, WNT, Cyclin D1, LGR5, p53, c-Myc, FZD7, DVL-2, Axin, TBX3, Frizzled, DACT1</v>
          </cell>
        </row>
        <row r="19">
          <cell r="B19" t="str">
            <v>The role of aberrations in CDKN2 locus and CDK4 in familial melanoma</v>
          </cell>
          <cell r="C19">
            <v>28</v>
          </cell>
          <cell r="D19">
            <v>2.0361933150827398E-7</v>
          </cell>
          <cell r="E19">
            <v>1.4507877369964602E-5</v>
          </cell>
          <cell r="F19">
            <v>2.0361933150827499E-7</v>
          </cell>
          <cell r="G19">
            <v>1.4507877369964602E-5</v>
          </cell>
          <cell r="H19">
            <v>19</v>
          </cell>
          <cell r="I19" t="str">
            <v>p14ARF, E2F5, E2F1, EGFR, p21, FLRT3, CDK6, MIG6, Rb protein, E2F2, E2F4, RUNX2, CDK4, p15, Cyclin D1, b-Myb, p53, p16INK4, p107</v>
          </cell>
        </row>
        <row r="20">
          <cell r="B20" t="str">
            <v>Cell cycle progression in Prostate Cancer</v>
          </cell>
          <cell r="C20">
            <v>39</v>
          </cell>
          <cell r="D20">
            <v>4.7011706426476897E-7</v>
          </cell>
          <cell r="E20">
            <v>3.1525497250696301E-5</v>
          </cell>
          <cell r="F20">
            <v>4.7011706426476997E-7</v>
          </cell>
          <cell r="G20">
            <v>3.1525497250696301E-5</v>
          </cell>
          <cell r="H20">
            <v>23</v>
          </cell>
          <cell r="I20" t="str">
            <v>Tuberin, STAT5A, JAK2, Cyclin B, Tcf(Lef), E2F1, ERK1/2, CDC25A, p21, CDK1 (p34), CDK2, CDK6, STAT3, 4E-BP1, Rb protein, CDK4, WNT, Cyclin D1, AKT(PKB), p27KIP1, p38 MAPK, IL-6 receptor, Frizzled</v>
          </cell>
        </row>
        <row r="21">
          <cell r="B21" t="str">
            <v>Nociception_Nociceptin receptor signaling</v>
          </cell>
          <cell r="C21">
            <v>76</v>
          </cell>
          <cell r="D21">
            <v>5.6853100696103402E-7</v>
          </cell>
          <cell r="E21">
            <v>3.6006963774198903E-5</v>
          </cell>
          <cell r="F21">
            <v>5.6853100696103497E-7</v>
          </cell>
          <cell r="G21">
            <v>3.6006963774198903E-5</v>
          </cell>
          <cell r="H21">
            <v>36</v>
          </cell>
          <cell r="I21" t="str">
            <v>JAK2, cPKC (conventional), G-protein alpha-15, JAK1, G-protein alpha-12, G-protein alpha-i family, ERK1/2, Nociceptin receptor, Ca(II)channel R-type, PKA-reg (cAMP-dependent), Ca(II)channel L-type, GRK3, LIMK1, Kir3.1, AP-2, PDXP, p90Rsk, IP3 receptor, STAT3, TY3H, PKC, PLC-beta, PKC-alpha, ATF-2, cPLA2, Adenylate cyclase, G-protein beta/gamma, G-protein alpha-z, JNK(MAPK8-10), LIMK2, Ca(II)channel T-type, G-protein alpha-14, p38 MAPK, ERK1 (MAPK3), PKA-cat (cAMP-dependent), Cofilin</v>
          </cell>
        </row>
        <row r="22">
          <cell r="B22" t="str">
            <v>Rb proteins signaling in multiple myeloma</v>
          </cell>
          <cell r="C22">
            <v>18</v>
          </cell>
          <cell r="D22">
            <v>6.1508679747672593E-7</v>
          </cell>
          <cell r="E22">
            <v>3.6905207848603603E-5</v>
          </cell>
          <cell r="F22">
            <v>6.1508679747672699E-7</v>
          </cell>
          <cell r="G22">
            <v>3.6905207848603603E-5</v>
          </cell>
          <cell r="H22">
            <v>14</v>
          </cell>
          <cell r="I22" t="str">
            <v>Cyclin D3, E2F1, CDK2, CDK6, Cyclin D2, Rb protein, E2F4, CDK4, p15, Cyclin D1, JNK(MAPK8-10), p16INK4, p107, p27KIP1</v>
          </cell>
        </row>
        <row r="23">
          <cell r="B23" t="str">
            <v>Stem cells_NOTCH1-induced self-renewal of glioblastoma stem cells</v>
          </cell>
          <cell r="C23">
            <v>40</v>
          </cell>
          <cell r="D23">
            <v>8.7967750590744996E-7</v>
          </cell>
          <cell r="E23">
            <v>5.0141617836724801E-5</v>
          </cell>
          <cell r="F23">
            <v>8.7967750590744996E-7</v>
          </cell>
          <cell r="G23">
            <v>5.0141617836724801E-5</v>
          </cell>
          <cell r="H23">
            <v>23</v>
          </cell>
          <cell r="I23" t="str">
            <v>HEY1, SMAD5, JAK2, BMP receptor 2, HES5, JAK1, BMP4, EGFR, SMAD9 (SMAD8), ID1, SMAD4, Jagged2, DLL4, STAT3, DLL1, SOX2, HES1, Nestin, BMPR1A, Cyclin D1, p53, Jagged1, BMP2</v>
          </cell>
        </row>
        <row r="24">
          <cell r="B24" t="str">
            <v>Inhibition of Ephrin receptors in colorectal cancer</v>
          </cell>
          <cell r="C24">
            <v>30</v>
          </cell>
          <cell r="D24">
            <v>1.0217701999256199E-6</v>
          </cell>
          <cell r="E24">
            <v>5.5467525138819802E-5</v>
          </cell>
          <cell r="F24">
            <v>1.0217701999256299E-6</v>
          </cell>
          <cell r="G24">
            <v>5.5467525138819802E-5</v>
          </cell>
          <cell r="H24">
            <v>19</v>
          </cell>
          <cell r="I24" t="str">
            <v>Ephrin-B1, E-cadherin, Ephrin-B receptor 4, Ephrin-A receptor 1, KLF5, Ephrin-A receptors, Ephrin-B receptor 3, Ephrin-A receptor 2, Paxillin, Ephrin-B, WNT, Ephrin-B receptor 2, VAV-2, CDC42, SMAD3, Ephrin-A, Ephrin-B2, Ephrin-B receptors, Frizzled</v>
          </cell>
        </row>
        <row r="25">
          <cell r="B25" t="str">
            <v>Putative roles of SETDB1 and PLU-1 in melanoma</v>
          </cell>
          <cell r="C25">
            <v>23</v>
          </cell>
          <cell r="D25">
            <v>1.15602223063725E-6</v>
          </cell>
          <cell r="E25">
            <v>5.9902970133021005E-5</v>
          </cell>
          <cell r="F25">
            <v>1.15602223063725E-6</v>
          </cell>
          <cell r="G25">
            <v>5.9902970133021005E-5</v>
          </cell>
          <cell r="H25">
            <v>16</v>
          </cell>
          <cell r="I25" t="str">
            <v>HOXA13, HOXA4, p14ARF, Histone H3, PLU-1, ATF7IP, LMO2, TAJ(TNFRSF19), HOXA11, CDK6, HOXA6, Rb protein, HOXA2, HOXA7, p16INK4, Jagged1</v>
          </cell>
        </row>
        <row r="26">
          <cell r="B26" t="str">
            <v>IGF family, invasion and metastasis in colorectal cancer</v>
          </cell>
          <cell r="C26">
            <v>33</v>
          </cell>
          <cell r="D26">
            <v>1.4541179324477899E-6</v>
          </cell>
          <cell r="E26">
            <v>7.2073671434368593E-5</v>
          </cell>
          <cell r="F26">
            <v>1.4541179324477899E-6</v>
          </cell>
          <cell r="G26">
            <v>7.2073671434368593E-5</v>
          </cell>
          <cell r="H26">
            <v>20</v>
          </cell>
          <cell r="I26" t="str">
            <v>E-cadherin, PI3K cat class IA, ITGAV, IRS-1, Alpha-1 catenin, Laminin 1, alpha-6/beta-4 integrin, IBP6, PLAU (UPA), Vitronectin, PI3K reg class IA, PLAT (TPA), ITGB4, PLAUR (uPAR), alpha-V/beta-6 integrin, Collagen IV, IGF-1, p38 MAPK, ERK1 (MAPK3), PAI1</v>
          </cell>
        </row>
        <row r="27">
          <cell r="B27" t="str">
            <v>Epigenetic alterations in ovarian cancer</v>
          </cell>
          <cell r="C27">
            <v>82</v>
          </cell>
          <cell r="D27">
            <v>1.7617254116899498E-6</v>
          </cell>
          <cell r="E27">
            <v>8.0863349187413605E-5</v>
          </cell>
          <cell r="F27">
            <v>1.76172541168996E-6</v>
          </cell>
          <cell r="G27">
            <v>8.0863349187413605E-5</v>
          </cell>
          <cell r="H27">
            <v>37</v>
          </cell>
          <cell r="I27" t="str">
            <v>DNMT3B, E-cadherin, Maspin, PARP-1, Histone H3, GATA-6, CDC20, MGMT, HNF1-beta, H-cadherin, HRK, LSD1, p21, DAB2, CTCF, Aurora-A, Ephrin-A receptor 2, FGFR1, GLI-2, CDK6, ErbB2, HDAC2, CDK4, RASSF1, Dlec1, Vasohibin-1, CARD5, Claudin-4, AL1A1, SSTR1, p15, Aurora-B, SNAIL1, BLU, L1TD1, p16INK4, p27KIP1</v>
          </cell>
        </row>
        <row r="28">
          <cell r="B28" t="str">
            <v>Development_Regulation of cytoskeleton proteins in oligodendrocyte differentiation and myelination</v>
          </cell>
          <cell r="C28">
            <v>58</v>
          </cell>
          <cell r="D28">
            <v>1.7733190611274899E-6</v>
          </cell>
          <cell r="E28">
            <v>8.0863349187413605E-5</v>
          </cell>
          <cell r="F28">
            <v>1.7733190611274899E-6</v>
          </cell>
          <cell r="G28">
            <v>8.0863349187413605E-5</v>
          </cell>
          <cell r="H28">
            <v>29</v>
          </cell>
          <cell r="I28" t="str">
            <v>Tubulin beta, CDK5R1 (p35), MAP-1B, NCAM1, chTOG, PDGF-A, Myosin II, HDAC6, LIMK1, hnRNP A2, Gelsolin, VAV-1, Paxillin, Myelin basic protein, Tubulin alpha, MAP4, CNP1, Netrin-1, N-WASP, MRLC, L1CAM, TPPP (p24), CDC42, Fyn, Tau (MAPT), MELC, WASF1(WAVE1), Cofilin, Tubulin (in microtubules)</v>
          </cell>
        </row>
        <row r="29">
          <cell r="B29" t="str">
            <v>FGF2 signaling in melanoma</v>
          </cell>
          <cell r="C29">
            <v>39</v>
          </cell>
          <cell r="D29">
            <v>2.3699868465294499E-6</v>
          </cell>
          <cell r="E29">
            <v>1.0287845571102201E-4</v>
          </cell>
          <cell r="F29">
            <v>2.3699868465294499E-6</v>
          </cell>
          <cell r="G29">
            <v>1.0287845571102201E-4</v>
          </cell>
          <cell r="H29">
            <v>22</v>
          </cell>
          <cell r="I29" t="str">
            <v>PI3K cat class IA, Syndecan-1, GRB2, FGFR2, Fra-1, MMP-1, ERK1/2, Syndecan-4, YES, FRS2, p21, FGFR1, CDK1 (p34), STAT3, Heparanase 1, N-Ras, Perlecan, CDC42, Caveolin-1, Collagen IV, SPRY2, p38 MAPK</v>
          </cell>
        </row>
        <row r="30">
          <cell r="B30" t="str">
            <v>Development_Insulin, IGF-1 and TNF-alpha in brown adipocyte differentiation</v>
          </cell>
          <cell r="C30">
            <v>53</v>
          </cell>
          <cell r="D30">
            <v>2.52683926307773E-6</v>
          </cell>
          <cell r="E30">
            <v>1.0287845571102201E-4</v>
          </cell>
          <cell r="F30">
            <v>2.52683926307773E-6</v>
          </cell>
          <cell r="G30">
            <v>1.0287845571102201E-4</v>
          </cell>
          <cell r="H30">
            <v>27</v>
          </cell>
          <cell r="I30" t="str">
            <v>G3P2, AKT1, PI3K reg class IA (p85-alpha), SREBP1 (nuclear), IRS-2, PI3K cat class IA (p110-beta), IRS-1, C/EBPbeta, PPAR-alpha, ERK1/2, PKA-reg (cAMP-dependent), PPAR-gamma/RXR-alpha, FASN, Factor D, FKHR, Insulin receptor, PPCKM, PPARGC1 (PGC1-alpha), Beta-2 adrenergic receptor, Beta-1 adrenergic receptor, AKT(PKB), INSIG1, IGF-1, p27KIP1, PPAR-gamma, PKA-cat (cAMP-dependent), C/EBPalpha</v>
          </cell>
        </row>
        <row r="31">
          <cell r="B31" t="str">
            <v>IL-6 signaling in breast cancer cells</v>
          </cell>
          <cell r="C31">
            <v>53</v>
          </cell>
          <cell r="D31">
            <v>2.52683926307773E-6</v>
          </cell>
          <cell r="E31">
            <v>1.0287845571102201E-4</v>
          </cell>
          <cell r="F31">
            <v>2.52683926307773E-6</v>
          </cell>
          <cell r="G31">
            <v>1.0287845571102201E-4</v>
          </cell>
          <cell r="H31">
            <v>27</v>
          </cell>
          <cell r="I31" t="str">
            <v>E-cadherin, JAK2, gp130, PI3K cat class IA, GRB2, JAK1, C/EBPbeta, ERK1/2, HSD17B1, Vimentin, Carbonic anhydrase IX, MDR1, IL6RA, STAT3, MUC1, Survivin, PI3K reg class IA, Bcl-2, Fascin, Cyclin D1, SNAIL1, AKT(PKB), Jagged1, c-Myc, Tensin 4, IL-6 receptor, NOTCH3</v>
          </cell>
        </row>
        <row r="32">
          <cell r="B32" t="str">
            <v>Development_YAP/TAZ-mediated co-regulation of transcription</v>
          </cell>
          <cell r="C32">
            <v>56</v>
          </cell>
          <cell r="D32">
            <v>2.6680013067107199E-6</v>
          </cell>
          <cell r="E32">
            <v>1.0488005136724899E-4</v>
          </cell>
          <cell r="F32">
            <v>2.6680013067107199E-6</v>
          </cell>
          <cell r="G32">
            <v>1.0488005136724899E-4</v>
          </cell>
          <cell r="H32">
            <v>28</v>
          </cell>
          <cell r="I32" t="str">
            <v>PML, SOD2, HIF1A, KLF5, Lef-1, FOXM1, ID1, SMAD4, NANOG, YAP1 (YAp65), CDK6, TEF-3, Survivin, RUNX2, Endothelin-2, FKHR, SOX2, UFO, SLUG, Cyr61, HBP17, Cyclin D1, SNAIL1, SMAD3, CTGF, c-Myc, PUMA, UCA1</v>
          </cell>
        </row>
        <row r="33">
          <cell r="B33" t="str">
            <v>Cell adhesion_Histamine H1 receptor signaling in the interruption of cell barrier integrity</v>
          </cell>
          <cell r="C33">
            <v>45</v>
          </cell>
          <cell r="D33">
            <v>3.1923767527456199E-6</v>
          </cell>
          <cell r="E33">
            <v>1.2131031660433401E-4</v>
          </cell>
          <cell r="F33">
            <v>3.1923767527456199E-6</v>
          </cell>
          <cell r="G33">
            <v>1.2131031660433401E-4</v>
          </cell>
          <cell r="H33">
            <v>24</v>
          </cell>
          <cell r="I33" t="str">
            <v>Pyk2(FAK2), E-cadherin, GEFT, Myosin II, G-protein alpha-q/11, LIMK1, Alpha-catenin, Paxillin, IP3 receptor, Talin, Histamine H1 receptor, p130CAS, Calmodulin, PLC-beta, Vinculin, PKC-alpha, MRLC, Occludin, G-protein beta/gamma, LIMK2, MELC, p120-catenin, MLCK, Cofilin</v>
          </cell>
        </row>
        <row r="34">
          <cell r="B34" t="str">
            <v>Expression targets of Tissue factor signaling in cancer</v>
          </cell>
          <cell r="C34">
            <v>22</v>
          </cell>
          <cell r="D34">
            <v>3.7534100587978599E-6</v>
          </cell>
          <cell r="E34">
            <v>1.3802862796869601E-4</v>
          </cell>
          <cell r="F34">
            <v>3.7534100587978599E-6</v>
          </cell>
          <cell r="G34">
            <v>1.3802862796869601E-4</v>
          </cell>
          <cell r="H34">
            <v>15</v>
          </cell>
          <cell r="I34" t="str">
            <v>IL-8, PAR2, Coagulation factor X, Tissue factor, Coagulation factor V, PLAU (UPA), GRO-1, Thrombin, GM-CSF, NFKBIE, Cyr61, PLAUR (uPAR), PAR1, CTGF, PAI1</v>
          </cell>
        </row>
        <row r="35">
          <cell r="B35" t="str">
            <v>DNA damage_ATM/ATR regulation of G1/S checkpoint</v>
          </cell>
          <cell r="C35">
            <v>32</v>
          </cell>
          <cell r="D35">
            <v>4.1254310407160997E-6</v>
          </cell>
          <cell r="E35">
            <v>1.46968480825511E-4</v>
          </cell>
          <cell r="F35">
            <v>4.1254310407160997E-6</v>
          </cell>
          <cell r="G35">
            <v>1.46968480825511E-4</v>
          </cell>
          <cell r="H35">
            <v>19</v>
          </cell>
          <cell r="I35" t="str">
            <v>NFBD1, SMC1, BLM, Cyclin D, GADD45 beta, CDC25A, FANCL, p21, ATRIP, CDK2, PCNA, I-kB, Chk1, CDK4, ATM, p53, c-Myc, Claspin, Nibrin</v>
          </cell>
        </row>
        <row r="36">
          <cell r="B36" t="str">
            <v>Role of activation of WNT signaling in the progression of lung cancer</v>
          </cell>
          <cell r="C36">
            <v>77</v>
          </cell>
          <cell r="D36">
            <v>8.2329641617556496E-6</v>
          </cell>
          <cell r="E36">
            <v>2.8441148922428699E-4</v>
          </cell>
          <cell r="F36">
            <v>8.2329641617556496E-6</v>
          </cell>
          <cell r="G36">
            <v>2.8441148922428699E-4</v>
          </cell>
          <cell r="H36">
            <v>34</v>
          </cell>
          <cell r="I36" t="str">
            <v>WNT4, E-cadherin, iNOS, RUNX3, FZD6, NKD1, Tcf(Lef), Krm1, Porcn, Lef-1, DKK1, WNT3, FZD3, p21, Dsh, JNK1(MAPK8), SFRP5, Sirtuin1, Survivin, WNT, FZD5, LRP6, FZD1, Cyclin D1, FZD9, HOXB9, c-Myc, FZD7, DVL-2, p38 MAPK, Axin, CD147, Frizzled, NOTCH3</v>
          </cell>
        </row>
        <row r="37">
          <cell r="B37" t="str">
            <v>Inhibition of tumor suppressive pathways in pancreatic cancer</v>
          </cell>
          <cell r="C37">
            <v>21</v>
          </cell>
          <cell r="D37">
            <v>1.1952615085898901E-5</v>
          </cell>
          <cell r="E37">
            <v>3.8027229202637299E-4</v>
          </cell>
          <cell r="F37">
            <v>1.1952615085898901E-5</v>
          </cell>
          <cell r="G37">
            <v>3.8027229202637299E-4</v>
          </cell>
          <cell r="H37">
            <v>14</v>
          </cell>
          <cell r="I37" t="str">
            <v>p14ARF, Brca2, E2F1, SMAD4, p21, Rad51, CDK6, Rb protein, CDK4, p15, Cyclin D1, SNAIL1, p53, p16INK4</v>
          </cell>
        </row>
        <row r="38">
          <cell r="B38" t="str">
            <v>Transcription targets of Androgen receptor involved in Prostate Cancer</v>
          </cell>
          <cell r="C38">
            <v>42</v>
          </cell>
          <cell r="D38">
            <v>1.2036243184185401E-5</v>
          </cell>
          <cell r="E38">
            <v>3.8027229202637299E-4</v>
          </cell>
          <cell r="F38">
            <v>1.2036243184185401E-5</v>
          </cell>
          <cell r="G38">
            <v>3.8027229202637299E-4</v>
          </cell>
          <cell r="H38">
            <v>22</v>
          </cell>
          <cell r="I38" t="str">
            <v>E-cadherin, SLC45A3, TGF-beta 1, TMPRSS2, KLF5, IL-8, Kallikrein 4, Versican, p21, IBP3, Kallikrein 3 (PSA), PPAP, Cyclin D1, PAR1, Relaxin 1, IGF-1, ADAM10, ER81, c-Myc, c-FLIP (S), TERT, Prosaposin</v>
          </cell>
        </row>
        <row r="39">
          <cell r="B39" t="str">
            <v>EGFR family signaling in pancreatic cancer</v>
          </cell>
          <cell r="C39">
            <v>75</v>
          </cell>
          <cell r="D39">
            <v>1.2205086764879101E-5</v>
          </cell>
          <cell r="E39">
            <v>3.8027229202637299E-4</v>
          </cell>
          <cell r="F39">
            <v>1.2205086764879101E-5</v>
          </cell>
          <cell r="G39">
            <v>3.8027229202637299E-4</v>
          </cell>
          <cell r="H39">
            <v>33</v>
          </cell>
          <cell r="I39" t="str">
            <v>Tuberin, JAK2, PI3K cat class IA, GRB2, Cytochrome b-558, p22-phox, EGFR, Neuropilin-1, gp91-phox, ERK1/2, p67-phox, p21, VAV-1, PLAU (UPA), CDK2, STAT3, I-kB, PI3K reg class IA (p85), Rb protein, ErbB2, Survivin, CDK4, ATF-2, N-Ras, Bcl-2, VAV-2, Cyclin D1, JNK(MAPK8-10), PEA3, AKT(PKB), p27KIP1, c-Myc, p38 MAPK</v>
          </cell>
        </row>
        <row r="40">
          <cell r="B40" t="str">
            <v>Hedgehog signaling in prostate cancer</v>
          </cell>
          <cell r="C40">
            <v>26</v>
          </cell>
          <cell r="D40">
            <v>1.2749351384911002E-5</v>
          </cell>
          <cell r="E40">
            <v>3.8027229202637299E-4</v>
          </cell>
          <cell r="F40">
            <v>1.2749351384911002E-5</v>
          </cell>
          <cell r="G40">
            <v>3.8027229202637299E-4</v>
          </cell>
          <cell r="H40">
            <v>16</v>
          </cell>
          <cell r="I40" t="str">
            <v>E-cadherin, PKC-eta, Stathmin, Ihh, p21, IBP6, KIF27, Smoothened, GLI-2, Bcl-2, Perlecan, Nestin, Cyclin D1, SNAIL1, HSP90, c-Myc</v>
          </cell>
        </row>
        <row r="41">
          <cell r="B41" t="str">
            <v>Role of alpha-6/beta-4 integrins in carcinoma progression</v>
          </cell>
          <cell r="C41">
            <v>45</v>
          </cell>
          <cell r="D41">
            <v>1.30093152535338E-5</v>
          </cell>
          <cell r="E41">
            <v>3.8027229202637299E-4</v>
          </cell>
          <cell r="F41">
            <v>1.30093152535338E-5</v>
          </cell>
          <cell r="G41">
            <v>3.8027229202637299E-4</v>
          </cell>
          <cell r="H41">
            <v>23</v>
          </cell>
          <cell r="I41" t="str">
            <v>Laminin 5, PI3K cat class IA, AKT1, IRS-2, IRS-1, EGFR, Laminin 1, MSP, alpha-6/beta-4 integrin, MSP receptor (RON), LIMK1, 14-3-3 theta, IP3 receptor, 4E-BP1, PI3K reg class IA (p85), ErbB2, PKC-alpha, PLC-gamma 1, ITGB4, AKT(PKB), HGF receptor (Met), SSH1L, Cofilin</v>
          </cell>
        </row>
        <row r="42">
          <cell r="B42" t="str">
            <v>Mechanisms of resistance to EGFR inhibitors in lung cancer</v>
          </cell>
          <cell r="C42">
            <v>45</v>
          </cell>
          <cell r="D42">
            <v>1.30093152535338E-5</v>
          </cell>
          <cell r="E42">
            <v>3.8027229202637299E-4</v>
          </cell>
          <cell r="F42">
            <v>1.30093152535338E-5</v>
          </cell>
          <cell r="G42">
            <v>3.8027229202637299E-4</v>
          </cell>
          <cell r="H42">
            <v>23</v>
          </cell>
          <cell r="I42" t="str">
            <v>E-cadherin, Ep-CAM, PI3K cat class IA, GRB2, K-RAS, c-Cbl, IRS-1, EGFR, CIN85, Vimentin, TCF8, 4E-BP1, PI3K reg class IA (p85), ErbB2, Survivin, TACSTD2 (TROP2), Claudin-7, Claudin-4, SNAIL1, AKT(PKB), HSP90, HGF receptor (Met), ERK1 (MAPK3)</v>
          </cell>
        </row>
        <row r="43">
          <cell r="B43" t="str">
            <v>Signal transduction_PKA signaling</v>
          </cell>
          <cell r="C43">
            <v>51</v>
          </cell>
          <cell r="D43">
            <v>1.42115018975488E-5</v>
          </cell>
          <cell r="E43">
            <v>4.0502780408014201E-4</v>
          </cell>
          <cell r="F43">
            <v>1.42115018975488E-5</v>
          </cell>
          <cell r="G43">
            <v>4.0502780408014201E-4</v>
          </cell>
          <cell r="H43">
            <v>25</v>
          </cell>
          <cell r="I43" t="str">
            <v>LBC, G-protein alpha-12 family, AKAP11, AKAP2, G-protein alpha-i family, KDELR, PP2A regulatory, PKA-reg type II (cAMP-dependent), PKA-reg (cAMP-dependent), SMAD4, DARPP-32, AKAP7 gamma, Troponin I, cardiac, GABA-A receptor beta-3 subunit, PDE4A, G-protein alpha-s, PDE4D, AKAP12, Adenylate cyclase, Ryanodine receptor 1, NFKBIB, SMAD3, WASF1(WAVE1), PKI, PKA-cat (cAMP-dependent)</v>
          </cell>
        </row>
        <row r="44">
          <cell r="B44" t="str">
            <v>Histone deacetylases in Prostate Cancer</v>
          </cell>
          <cell r="C44">
            <v>29</v>
          </cell>
          <cell r="D44">
            <v>1.6956762987070702E-5</v>
          </cell>
          <cell r="E44">
            <v>4.7148072695757799E-4</v>
          </cell>
          <cell r="F44">
            <v>1.69567629870708E-5</v>
          </cell>
          <cell r="G44">
            <v>4.7148072695757799E-4</v>
          </cell>
          <cell r="H44">
            <v>17</v>
          </cell>
          <cell r="I44" t="str">
            <v>HDAC11, TMPRSS2, HIF1A, HDAC4, HDAC7, HDAC6, HDAC5, p21, Kallikrein 3 (PSA), Sirtuin1, Tubulin alpha, HDAC2, FKHR, Sirtuin5, HDAC8, HSP90, p53</v>
          </cell>
        </row>
        <row r="45">
          <cell r="B45" t="str">
            <v>Stem cells_Response to hypoxia in glioblastoma stem cells</v>
          </cell>
          <cell r="C45">
            <v>40</v>
          </cell>
          <cell r="D45">
            <v>1.8137292842022203E-5</v>
          </cell>
          <cell r="E45">
            <v>4.9229794856917605E-4</v>
          </cell>
          <cell r="F45">
            <v>1.8137292842022203E-5</v>
          </cell>
          <cell r="G45">
            <v>4.9229794856917605E-4</v>
          </cell>
          <cell r="H45">
            <v>21</v>
          </cell>
          <cell r="I45" t="str">
            <v>HEY1, SMAD5, BMP receptor 2, HES5, HIF1A, BMP4, SMAD9 (SMAD8), ID1, BMP7, SMAD4, Jagged2, p21, DLL4, DLL1, HES1, BMPR1A, Cyclin D1, HIF-prolyl hydroxylase, p53, Jagged1, BMP2</v>
          </cell>
        </row>
        <row r="46">
          <cell r="B46" t="str">
            <v>Role of epigenetic alterations in survival and migration of SCLC cells</v>
          </cell>
          <cell r="C46">
            <v>43</v>
          </cell>
          <cell r="D46">
            <v>1.96238633853866E-5</v>
          </cell>
          <cell r="E46">
            <v>5.2026056417071398E-4</v>
          </cell>
          <cell r="F46">
            <v>1.96238633853866E-5</v>
          </cell>
          <cell r="G46">
            <v>5.2026056417071398E-4</v>
          </cell>
          <cell r="H46">
            <v>22</v>
          </cell>
          <cell r="I46" t="str">
            <v>DNMT3B, Laminin 5, AIP1 (DAB2ip), LAMC2, K-RAS, Connexin 26, ROBO1, Semaphorin 3B, MGMT, H-cadherin, DAB2, Caspase-8, LAMA3 (Epiligrin), FHIT, HDAC2, STK4, RASSF1, CARD5, Bcl-2, FasR(CD95), LAMB3, HGF receptor (Met)</v>
          </cell>
        </row>
        <row r="47">
          <cell r="B47" t="str">
            <v>Cell cycle_Role of Nek in cell cycle regulation</v>
          </cell>
          <cell r="C47">
            <v>32</v>
          </cell>
          <cell r="D47">
            <v>2.0924034693705901E-5</v>
          </cell>
          <cell r="E47">
            <v>5.36656588200418E-4</v>
          </cell>
          <cell r="F47">
            <v>2.0924034693706002E-5</v>
          </cell>
          <cell r="G47">
            <v>5.36656588200418E-4</v>
          </cell>
          <cell r="H47">
            <v>18</v>
          </cell>
          <cell r="I47" t="str">
            <v>Tubulin beta, PI3K cat class IA, Histone H3, IRS-1, MAD2a, NEK6, RCC1, Nek11, Aurora-A, CDK1 (p34), MAD1 (mitotic checkpoint), Tubulin alpha, PI3K reg class IA, Insulin receptor, NEK1, TPX2, Histone H1, Tubulin (in microtubules)</v>
          </cell>
        </row>
        <row r="48">
          <cell r="B48" t="str">
            <v>Development_c-Kit ligand signaling pathway during hemopoiesis</v>
          </cell>
          <cell r="C48">
            <v>61</v>
          </cell>
          <cell r="D48">
            <v>2.11838126921218E-5</v>
          </cell>
          <cell r="E48">
            <v>5.36656588200418E-4</v>
          </cell>
          <cell r="F48">
            <v>2.11838126921218E-5</v>
          </cell>
          <cell r="G48">
            <v>5.36656588200418E-4</v>
          </cell>
          <cell r="H48">
            <v>28</v>
          </cell>
          <cell r="I48" t="str">
            <v>Pyk2(FAK2), JAK2, PI3K cat class IA, PLD1, GRB2, c-Cbl, GRAP, ERK1/2, SOCS1, VEGFR-1, MGF, c-Kit, p90Rsk, VAV-1, Paxillin, IP3 receptor, STAT3, PI3K reg class IA (p85), PKC-alpha, SLUG, PLC-gamma, DOK1, STAT5, Fyn, AKT(PKB), p27KIP1, Elk-1, CXCR4</v>
          </cell>
        </row>
        <row r="49">
          <cell r="B49" t="str">
            <v>Cell adhesion_ECM remodeling</v>
          </cell>
          <cell r="C49">
            <v>52</v>
          </cell>
          <cell r="D49">
            <v>2.1771472553067103E-5</v>
          </cell>
          <cell r="E49">
            <v>5.3955388501079297E-4</v>
          </cell>
          <cell r="F49">
            <v>2.1771472553067103E-5</v>
          </cell>
          <cell r="G49">
            <v>5.3955388501079297E-4</v>
          </cell>
          <cell r="H49">
            <v>25</v>
          </cell>
          <cell r="I49" t="str">
            <v>Laminin 5, CD44, SERPINE2, MMP-1, IL-8, EGFR, Laminin 1, Versican, IBP4, IL8RA, Nidogen, PLAU (UPA), Kallikrein 3 (PSA), Vitronectin, PLAT (TPA), MSN (moesin), MMP-15, MMP-14, PLAUR (uPAR), Collagen II, Collagen IV, TIMP2, IGF-1, Kallikrein 1, PAI1</v>
          </cell>
        </row>
        <row r="50">
          <cell r="B50" t="str">
            <v xml:space="preserve">Development_TGF-beta-dependent induction of EMT via SMADs </v>
          </cell>
          <cell r="C50">
            <v>35</v>
          </cell>
          <cell r="D50">
            <v>2.4430111279568701E-5</v>
          </cell>
          <cell r="E50">
            <v>5.9256014592996495E-4</v>
          </cell>
          <cell r="F50">
            <v>2.4430111279568701E-5</v>
          </cell>
          <cell r="G50">
            <v>5.9256014592996495E-4</v>
          </cell>
          <cell r="H50">
            <v>19</v>
          </cell>
          <cell r="I50" t="str">
            <v>HEY1, E-cadherin, TGF-beta 1, E2A, ETS1, TGF-beta receptor type II, Lef-1, TGF-beta, SMAD4, Vimentin, TCF8, Claudin-1, SLUG, Occludin, HMGA2, SNAIL1, SMAD3, Jagged1, PAI1</v>
          </cell>
        </row>
        <row r="51">
          <cell r="B51" t="str">
            <v>Inhibition of TGF-beta 1 signaling in early colorectal cancer</v>
          </cell>
          <cell r="C51">
            <v>27</v>
          </cell>
          <cell r="D51">
            <v>2.49990951129729E-5</v>
          </cell>
          <cell r="E51">
            <v>5.9372850893310699E-4</v>
          </cell>
          <cell r="F51">
            <v>2.49990951129729E-5</v>
          </cell>
          <cell r="G51">
            <v>5.9372850893310699E-4</v>
          </cell>
          <cell r="H51">
            <v>16</v>
          </cell>
          <cell r="I51" t="str">
            <v>E-cadherin, TGF-beta 1, PI3K cat class IA, SMAD7, TGF-beta receptor type II, Sno-N, SMAD4, p21, Survivin, PI3K reg class IA, CDK4, Beta-fodrin, CEACAM5, SMAD3, AKT(PKB), c-Myc</v>
          </cell>
        </row>
        <row r="52">
          <cell r="B52" t="str">
            <v>Regulation of CFTR activity (normal and CF)</v>
          </cell>
          <cell r="C52">
            <v>62</v>
          </cell>
          <cell r="D52">
            <v>3.0705432569726104E-5</v>
          </cell>
          <cell r="E52">
            <v>7.1230538657751597E-4</v>
          </cell>
          <cell r="F52">
            <v>3.0705432569726198E-5</v>
          </cell>
          <cell r="G52">
            <v>7.1230538657751597E-4</v>
          </cell>
          <cell r="H52">
            <v>28</v>
          </cell>
          <cell r="I52" t="str">
            <v>Casein kinase II, alpha chains, PGE2R4, Calcineurin A (catalytic), Adenosine A2b receptor, MUNC18, AMPK beta subunit, G-protein alpha-i family, PDZK1, CFTR, EBP50, PP2A regulatory, PKA-reg type II (cAMP-dependent), PKA-reg (cAMP-dependent), PP2C, Syntaxin 1A, PKC-epsilon, E3KARP (NHERF2), LPA2 receptor, G-protein alpha-s, PDE4D, Filamin B (TABP), Annexin II, Adenylate cyclase, Beta-2 adrenergic receptor, Filamin A, S100A10, PKA-cat (cAMP-dependent), Tubulin (in microtubules)</v>
          </cell>
        </row>
        <row r="53">
          <cell r="B53" t="str">
            <v>Activation of TGF-beta signaling in advanced colorectal cancer</v>
          </cell>
          <cell r="C53">
            <v>30</v>
          </cell>
          <cell r="D53">
            <v>3.1241464323575304E-5</v>
          </cell>
          <cell r="E53">
            <v>7.1230538657751597E-4</v>
          </cell>
          <cell r="F53">
            <v>3.1241464323575304E-5</v>
          </cell>
          <cell r="G53">
            <v>7.1230538657751597E-4</v>
          </cell>
          <cell r="H53">
            <v>17</v>
          </cell>
          <cell r="I53" t="str">
            <v>E-cadherin, TGF-beta 1, PI3K cat class IA, IL-8, TGF-beta receptor type II, SMAD4, JNK1(MAPK8), IBP3, PI3K reg class IA, CDK4, Cyclin D1, SNAIL1, SMAD3, AKT(PKB), c-Myc, p38 MAPK, PAI1</v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46" Type="http://schemas.openxmlformats.org/officeDocument/2006/relationships/hyperlink" Target="http://portal.genego.com/cgi/imagemap.cgi?id=4516" TargetMode="External"/><Relationship Id="rId47" Type="http://schemas.openxmlformats.org/officeDocument/2006/relationships/hyperlink" Target="http://portal.genego.com/cgi/imagemap.cgi?id=1488" TargetMode="External"/><Relationship Id="rId48" Type="http://schemas.openxmlformats.org/officeDocument/2006/relationships/hyperlink" Target="http://portal.genego.com/cgi/imagemap.cgi?id=1496" TargetMode="External"/><Relationship Id="rId49" Type="http://schemas.openxmlformats.org/officeDocument/2006/relationships/hyperlink" Target="http://portal.genego.com/cgi/imagemap.cgi?id=6460" TargetMode="External"/><Relationship Id="rId20" Type="http://schemas.openxmlformats.org/officeDocument/2006/relationships/hyperlink" Target="http://portal.genego.com/cgi/imagemap.cgi?id=3109" TargetMode="External"/><Relationship Id="rId21" Type="http://schemas.openxmlformats.org/officeDocument/2006/relationships/hyperlink" Target="http://portal.genego.com/cgi/imagemap.cgi?id=3294" TargetMode="External"/><Relationship Id="rId22" Type="http://schemas.openxmlformats.org/officeDocument/2006/relationships/hyperlink" Target="http://portal.genego.com/cgi/imagemap.cgi?id=4454" TargetMode="External"/><Relationship Id="rId23" Type="http://schemas.openxmlformats.org/officeDocument/2006/relationships/hyperlink" Target="http://portal.genego.com/cgi/imagemap.cgi?id=516" TargetMode="External"/><Relationship Id="rId24" Type="http://schemas.openxmlformats.org/officeDocument/2006/relationships/hyperlink" Target="http://portal.genego.com/cgi/imagemap.cgi?id=553" TargetMode="External"/><Relationship Id="rId25" Type="http://schemas.openxmlformats.org/officeDocument/2006/relationships/hyperlink" Target="http://portal.genego.com/cgi/imagemap.cgi?id=6365" TargetMode="External"/><Relationship Id="rId26" Type="http://schemas.openxmlformats.org/officeDocument/2006/relationships/hyperlink" Target="http://portal.genego.com/cgi/imagemap.cgi?id=6026" TargetMode="External"/><Relationship Id="rId27" Type="http://schemas.openxmlformats.org/officeDocument/2006/relationships/hyperlink" Target="http://portal.genego.com/cgi/imagemap.cgi?id=6447" TargetMode="External"/><Relationship Id="rId28" Type="http://schemas.openxmlformats.org/officeDocument/2006/relationships/hyperlink" Target="http://portal.genego.com/cgi/imagemap.cgi?id=3100" TargetMode="External"/><Relationship Id="rId29" Type="http://schemas.openxmlformats.org/officeDocument/2006/relationships/hyperlink" Target="http://portal.genego.com/cgi/imagemap.cgi?id=6605" TargetMode="External"/><Relationship Id="rId50" Type="http://schemas.openxmlformats.org/officeDocument/2006/relationships/hyperlink" Target="http://portal.genego.com/cgi/imagemap.cgi?id=3295" TargetMode="External"/><Relationship Id="rId1" Type="http://schemas.openxmlformats.org/officeDocument/2006/relationships/hyperlink" Target="http://portal.genego.com/cgi/imagemap.cgi?id=3093" TargetMode="External"/><Relationship Id="rId2" Type="http://schemas.openxmlformats.org/officeDocument/2006/relationships/hyperlink" Target="http://portal.genego.com/cgi/imagemap.cgi?id=2816" TargetMode="External"/><Relationship Id="rId3" Type="http://schemas.openxmlformats.org/officeDocument/2006/relationships/hyperlink" Target="http://portal.genego.com/cgi/imagemap.cgi?id=3018" TargetMode="External"/><Relationship Id="rId4" Type="http://schemas.openxmlformats.org/officeDocument/2006/relationships/hyperlink" Target="http://portal.genego.com/cgi/imagemap.cgi?id=1485" TargetMode="External"/><Relationship Id="rId5" Type="http://schemas.openxmlformats.org/officeDocument/2006/relationships/hyperlink" Target="http://portal.genego.com/cgi/imagemap.cgi?id=3163" TargetMode="External"/><Relationship Id="rId30" Type="http://schemas.openxmlformats.org/officeDocument/2006/relationships/hyperlink" Target="http://portal.genego.com/cgi/imagemap.cgi?id=5014" TargetMode="External"/><Relationship Id="rId31" Type="http://schemas.openxmlformats.org/officeDocument/2006/relationships/hyperlink" Target="http://portal.genego.com/cgi/imagemap.cgi?id=3108" TargetMode="External"/><Relationship Id="rId32" Type="http://schemas.openxmlformats.org/officeDocument/2006/relationships/hyperlink" Target="http://portal.genego.com/cgi/imagemap.cgi?id=3022" TargetMode="External"/><Relationship Id="rId9" Type="http://schemas.openxmlformats.org/officeDocument/2006/relationships/hyperlink" Target="http://portal.genego.com/cgi/imagemap.cgi?id=6459" TargetMode="External"/><Relationship Id="rId6" Type="http://schemas.openxmlformats.org/officeDocument/2006/relationships/hyperlink" Target="http://portal.genego.com/cgi/imagemap.cgi?id=6301" TargetMode="External"/><Relationship Id="rId7" Type="http://schemas.openxmlformats.org/officeDocument/2006/relationships/hyperlink" Target="http://portal.genego.com/cgi/imagemap.cgi?id=5148" TargetMode="External"/><Relationship Id="rId8" Type="http://schemas.openxmlformats.org/officeDocument/2006/relationships/hyperlink" Target="http://portal.genego.com/cgi/imagemap.cgi?id=2996" TargetMode="External"/><Relationship Id="rId33" Type="http://schemas.openxmlformats.org/officeDocument/2006/relationships/hyperlink" Target="http://portal.genego.com/cgi/imagemap.cgi?id=5468" TargetMode="External"/><Relationship Id="rId34" Type="http://schemas.openxmlformats.org/officeDocument/2006/relationships/hyperlink" Target="http://portal.genego.com/cgi/imagemap.cgi?id=2694" TargetMode="External"/><Relationship Id="rId35" Type="http://schemas.openxmlformats.org/officeDocument/2006/relationships/hyperlink" Target="http://portal.genego.com/cgi/imagemap.cgi?id=3257" TargetMode="External"/><Relationship Id="rId36" Type="http://schemas.openxmlformats.org/officeDocument/2006/relationships/hyperlink" Target="http://portal.genego.com/cgi/imagemap.cgi?id=6889" TargetMode="External"/><Relationship Id="rId10" Type="http://schemas.openxmlformats.org/officeDocument/2006/relationships/hyperlink" Target="http://portal.genego.com/cgi/imagemap.cgi?id=3158" TargetMode="External"/><Relationship Id="rId11" Type="http://schemas.openxmlformats.org/officeDocument/2006/relationships/hyperlink" Target="http://portal.genego.com/cgi/imagemap.cgi?id=2638" TargetMode="External"/><Relationship Id="rId12" Type="http://schemas.openxmlformats.org/officeDocument/2006/relationships/hyperlink" Target="http://portal.genego.com/cgi/imagemap.cgi?id=4523" TargetMode="External"/><Relationship Id="rId13" Type="http://schemas.openxmlformats.org/officeDocument/2006/relationships/hyperlink" Target="http://portal.genego.com/cgi/imagemap.cgi?id=6594" TargetMode="External"/><Relationship Id="rId14" Type="http://schemas.openxmlformats.org/officeDocument/2006/relationships/hyperlink" Target="http://portal.genego.com/cgi/imagemap.cgi?id=6071" TargetMode="External"/><Relationship Id="rId15" Type="http://schemas.openxmlformats.org/officeDocument/2006/relationships/hyperlink" Target="http://portal.genego.com/cgi/imagemap.cgi?id=3159" TargetMode="External"/><Relationship Id="rId16" Type="http://schemas.openxmlformats.org/officeDocument/2006/relationships/hyperlink" Target="http://portal.genego.com/cgi/imagemap.cgi?id=3117" TargetMode="External"/><Relationship Id="rId17" Type="http://schemas.openxmlformats.org/officeDocument/2006/relationships/hyperlink" Target="http://portal.genego.com/cgi/imagemap.cgi?id=6518" TargetMode="External"/><Relationship Id="rId18" Type="http://schemas.openxmlformats.org/officeDocument/2006/relationships/hyperlink" Target="http://portal.genego.com/cgi/imagemap.cgi?id=4890" TargetMode="External"/><Relationship Id="rId19" Type="http://schemas.openxmlformats.org/officeDocument/2006/relationships/hyperlink" Target="http://portal.genego.com/cgi/imagemap.cgi?id=2695" TargetMode="External"/><Relationship Id="rId37" Type="http://schemas.openxmlformats.org/officeDocument/2006/relationships/hyperlink" Target="http://portal.genego.com/cgi/imagemap.cgi?id=6985" TargetMode="External"/><Relationship Id="rId38" Type="http://schemas.openxmlformats.org/officeDocument/2006/relationships/hyperlink" Target="http://portal.genego.com/cgi/imagemap.cgi?id=731" TargetMode="External"/><Relationship Id="rId39" Type="http://schemas.openxmlformats.org/officeDocument/2006/relationships/hyperlink" Target="http://portal.genego.com/cgi/imagemap.cgi?id=6404" TargetMode="External"/><Relationship Id="rId40" Type="http://schemas.openxmlformats.org/officeDocument/2006/relationships/hyperlink" Target="http://portal.genego.com/cgi/imagemap.cgi?id=717" TargetMode="External"/><Relationship Id="rId41" Type="http://schemas.openxmlformats.org/officeDocument/2006/relationships/hyperlink" Target="http://portal.genego.com/cgi/imagemap.cgi?id=6428" TargetMode="External"/><Relationship Id="rId42" Type="http://schemas.openxmlformats.org/officeDocument/2006/relationships/hyperlink" Target="http://portal.genego.com/cgi/imagemap.cgi?id=6774" TargetMode="External"/><Relationship Id="rId43" Type="http://schemas.openxmlformats.org/officeDocument/2006/relationships/hyperlink" Target="http://portal.genego.com/cgi/imagemap.cgi?id=3223" TargetMode="External"/><Relationship Id="rId44" Type="http://schemas.openxmlformats.org/officeDocument/2006/relationships/hyperlink" Target="http://portal.genego.com/cgi/imagemap.cgi?id=3216" TargetMode="External"/><Relationship Id="rId45" Type="http://schemas.openxmlformats.org/officeDocument/2006/relationships/hyperlink" Target="http://portal.genego.com/cgi/imagemap.cgi?id=7285" TargetMode="External"/></Relationships>
</file>

<file path=xl/worksheets/_rels/sheet5.xml.rels><?xml version="1.0" encoding="UTF-8" standalone="yes"?>
<Relationships xmlns="http://schemas.openxmlformats.org/package/2006/relationships"><Relationship Id="rId46" Type="http://schemas.openxmlformats.org/officeDocument/2006/relationships/hyperlink" Target="http://portal.genego.com/cgi/imagemap.cgi?id=714" TargetMode="External"/><Relationship Id="rId47" Type="http://schemas.openxmlformats.org/officeDocument/2006/relationships/hyperlink" Target="http://portal.genego.com/cgi/imagemap.cgi?id=389" TargetMode="External"/><Relationship Id="rId48" Type="http://schemas.openxmlformats.org/officeDocument/2006/relationships/hyperlink" Target="http://portal.genego.com/cgi/imagemap.cgi?id=3239" TargetMode="External"/><Relationship Id="rId49" Type="http://schemas.openxmlformats.org/officeDocument/2006/relationships/hyperlink" Target="http://portal.genego.com/cgi/imagemap.cgi?id=3152" TargetMode="External"/><Relationship Id="rId20" Type="http://schemas.openxmlformats.org/officeDocument/2006/relationships/hyperlink" Target="http://portal.genego.com/cgi/imagemap.cgi?id=717" TargetMode="External"/><Relationship Id="rId21" Type="http://schemas.openxmlformats.org/officeDocument/2006/relationships/hyperlink" Target="http://portal.genego.com/cgi/imagemap.cgi?id=6406" TargetMode="External"/><Relationship Id="rId22" Type="http://schemas.openxmlformats.org/officeDocument/2006/relationships/hyperlink" Target="http://portal.genego.com/cgi/imagemap.cgi?id=715" TargetMode="External"/><Relationship Id="rId23" Type="http://schemas.openxmlformats.org/officeDocument/2006/relationships/hyperlink" Target="http://portal.genego.com/cgi/imagemap.cgi?id=7076" TargetMode="External"/><Relationship Id="rId24" Type="http://schemas.openxmlformats.org/officeDocument/2006/relationships/hyperlink" Target="http://portal.genego.com/cgi/imagemap.cgi?id=5148" TargetMode="External"/><Relationship Id="rId25" Type="http://schemas.openxmlformats.org/officeDocument/2006/relationships/hyperlink" Target="http://portal.genego.com/cgi/imagemap.cgi?id=6026" TargetMode="External"/><Relationship Id="rId26" Type="http://schemas.openxmlformats.org/officeDocument/2006/relationships/hyperlink" Target="http://portal.genego.com/cgi/imagemap.cgi?id=6459" TargetMode="External"/><Relationship Id="rId27" Type="http://schemas.openxmlformats.org/officeDocument/2006/relationships/hyperlink" Target="http://portal.genego.com/cgi/imagemap.cgi?id=3159" TargetMode="External"/><Relationship Id="rId28" Type="http://schemas.openxmlformats.org/officeDocument/2006/relationships/hyperlink" Target="http://portal.genego.com/cgi/imagemap.cgi?id=518" TargetMode="External"/><Relationship Id="rId29" Type="http://schemas.openxmlformats.org/officeDocument/2006/relationships/hyperlink" Target="http://portal.genego.com/cgi/imagemap.cgi?id=6489" TargetMode="External"/><Relationship Id="rId50" Type="http://schemas.openxmlformats.org/officeDocument/2006/relationships/hyperlink" Target="http://portal.genego.com/cgi/imagemap.cgi?id=7043" TargetMode="External"/><Relationship Id="rId1" Type="http://schemas.openxmlformats.org/officeDocument/2006/relationships/hyperlink" Target="http://portal.genego.com/cgi/imagemap.cgi?id=6473" TargetMode="External"/><Relationship Id="rId2" Type="http://schemas.openxmlformats.org/officeDocument/2006/relationships/hyperlink" Target="http://portal.genego.com/cgi/imagemap.cgi?id=3018" TargetMode="External"/><Relationship Id="rId3" Type="http://schemas.openxmlformats.org/officeDocument/2006/relationships/hyperlink" Target="http://portal.genego.com/cgi/imagemap.cgi?id=553" TargetMode="External"/><Relationship Id="rId4" Type="http://schemas.openxmlformats.org/officeDocument/2006/relationships/hyperlink" Target="http://portal.genego.com/cgi/imagemap.cgi?id=6301" TargetMode="External"/><Relationship Id="rId5" Type="http://schemas.openxmlformats.org/officeDocument/2006/relationships/hyperlink" Target="http://portal.genego.com/cgi/imagemap.cgi?id=4516" TargetMode="External"/><Relationship Id="rId30" Type="http://schemas.openxmlformats.org/officeDocument/2006/relationships/hyperlink" Target="http://portal.genego.com/cgi/imagemap.cgi?id=2654" TargetMode="External"/><Relationship Id="rId31" Type="http://schemas.openxmlformats.org/officeDocument/2006/relationships/hyperlink" Target="http://portal.genego.com/cgi/imagemap.cgi?id=4890" TargetMode="External"/><Relationship Id="rId32" Type="http://schemas.openxmlformats.org/officeDocument/2006/relationships/hyperlink" Target="http://portal.genego.com/cgi/imagemap.cgi?id=6447" TargetMode="External"/><Relationship Id="rId9" Type="http://schemas.openxmlformats.org/officeDocument/2006/relationships/hyperlink" Target="http://portal.genego.com/cgi/imagemap.cgi?id=6686" TargetMode="External"/><Relationship Id="rId6" Type="http://schemas.openxmlformats.org/officeDocument/2006/relationships/hyperlink" Target="http://portal.genego.com/cgi/imagemap.cgi?id=3294" TargetMode="External"/><Relationship Id="rId7" Type="http://schemas.openxmlformats.org/officeDocument/2006/relationships/hyperlink" Target="http://portal.genego.com/cgi/imagemap.cgi?id=6508" TargetMode="External"/><Relationship Id="rId8" Type="http://schemas.openxmlformats.org/officeDocument/2006/relationships/hyperlink" Target="http://portal.genego.com/cgi/imagemap.cgi?id=6446" TargetMode="External"/><Relationship Id="rId33" Type="http://schemas.openxmlformats.org/officeDocument/2006/relationships/hyperlink" Target="http://portal.genego.com/cgi/imagemap.cgi?id=2250" TargetMode="External"/><Relationship Id="rId34" Type="http://schemas.openxmlformats.org/officeDocument/2006/relationships/hyperlink" Target="http://portal.genego.com/cgi/imagemap.cgi?id=741" TargetMode="External"/><Relationship Id="rId35" Type="http://schemas.openxmlformats.org/officeDocument/2006/relationships/hyperlink" Target="http://portal.genego.com/cgi/imagemap.cgi?id=6633" TargetMode="External"/><Relationship Id="rId36" Type="http://schemas.openxmlformats.org/officeDocument/2006/relationships/hyperlink" Target="http://portal.genego.com/cgi/imagemap.cgi?id=450" TargetMode="External"/><Relationship Id="rId10" Type="http://schemas.openxmlformats.org/officeDocument/2006/relationships/hyperlink" Target="http://portal.genego.com/cgi/imagemap.cgi?id=6201" TargetMode="External"/><Relationship Id="rId11" Type="http://schemas.openxmlformats.org/officeDocument/2006/relationships/hyperlink" Target="http://portal.genego.com/cgi/imagemap.cgi?id=3216" TargetMode="External"/><Relationship Id="rId12" Type="http://schemas.openxmlformats.org/officeDocument/2006/relationships/hyperlink" Target="http://portal.genego.com/cgi/imagemap.cgi?id=434" TargetMode="External"/><Relationship Id="rId13" Type="http://schemas.openxmlformats.org/officeDocument/2006/relationships/hyperlink" Target="http://portal.genego.com/cgi/imagemap.cgi?id=5468" TargetMode="External"/><Relationship Id="rId14" Type="http://schemas.openxmlformats.org/officeDocument/2006/relationships/hyperlink" Target="http://portal.genego.com/cgi/imagemap.cgi?id=6453" TargetMode="External"/><Relationship Id="rId15" Type="http://schemas.openxmlformats.org/officeDocument/2006/relationships/hyperlink" Target="http://portal.genego.com/cgi/imagemap.cgi?id=445" TargetMode="External"/><Relationship Id="rId16" Type="http://schemas.openxmlformats.org/officeDocument/2006/relationships/hyperlink" Target="http://portal.genego.com/cgi/imagemap.cgi?id=2393" TargetMode="External"/><Relationship Id="rId17" Type="http://schemas.openxmlformats.org/officeDocument/2006/relationships/hyperlink" Target="http://portal.genego.com/cgi/imagemap.cgi?id=669" TargetMode="External"/><Relationship Id="rId18" Type="http://schemas.openxmlformats.org/officeDocument/2006/relationships/hyperlink" Target="http://portal.genego.com/cgi/imagemap.cgi?id=3137" TargetMode="External"/><Relationship Id="rId19" Type="http://schemas.openxmlformats.org/officeDocument/2006/relationships/hyperlink" Target="http://portal.genego.com/cgi/imagemap.cgi?id=2991" TargetMode="External"/><Relationship Id="rId37" Type="http://schemas.openxmlformats.org/officeDocument/2006/relationships/hyperlink" Target="http://portal.genego.com/cgi/imagemap.cgi?id=6610" TargetMode="External"/><Relationship Id="rId38" Type="http://schemas.openxmlformats.org/officeDocument/2006/relationships/hyperlink" Target="http://portal.genego.com/cgi/imagemap.cgi?id=6011" TargetMode="External"/><Relationship Id="rId39" Type="http://schemas.openxmlformats.org/officeDocument/2006/relationships/hyperlink" Target="http://portal.genego.com/cgi/imagemap.cgi?id=3163" TargetMode="External"/><Relationship Id="rId40" Type="http://schemas.openxmlformats.org/officeDocument/2006/relationships/hyperlink" Target="http://portal.genego.com/cgi/imagemap.cgi?id=2482" TargetMode="External"/><Relationship Id="rId41" Type="http://schemas.openxmlformats.org/officeDocument/2006/relationships/hyperlink" Target="http://portal.genego.com/cgi/imagemap.cgi?id=6597" TargetMode="External"/><Relationship Id="rId42" Type="http://schemas.openxmlformats.org/officeDocument/2006/relationships/hyperlink" Target="http://portal.genego.com/cgi/imagemap.cgi?id=5011" TargetMode="External"/><Relationship Id="rId43" Type="http://schemas.openxmlformats.org/officeDocument/2006/relationships/hyperlink" Target="http://portal.genego.com/cgi/imagemap.cgi?id=716" TargetMode="External"/><Relationship Id="rId44" Type="http://schemas.openxmlformats.org/officeDocument/2006/relationships/hyperlink" Target="http://portal.genego.com/cgi/imagemap.cgi?id=3204" TargetMode="External"/><Relationship Id="rId45" Type="http://schemas.openxmlformats.org/officeDocument/2006/relationships/hyperlink" Target="http://portal.genego.com/cgi/imagemap.cgi?id=2251" TargetMode="External"/></Relationships>
</file>

<file path=xl/worksheets/_rels/sheet7.xml.rels><?xml version="1.0" encoding="UTF-8" standalone="yes"?>
<Relationships xmlns="http://schemas.openxmlformats.org/package/2006/relationships"><Relationship Id="rId46" Type="http://schemas.openxmlformats.org/officeDocument/2006/relationships/hyperlink" Target="http://portal.genego.com/cgi/network/net_net.cgi?term=10&amp;id=147315" TargetMode="External"/><Relationship Id="rId47" Type="http://schemas.openxmlformats.org/officeDocument/2006/relationships/hyperlink" Target="http://portal.genego.com/cgi/network/net_net.cgi?term=10&amp;id=147247" TargetMode="External"/><Relationship Id="rId48" Type="http://schemas.openxmlformats.org/officeDocument/2006/relationships/hyperlink" Target="http://portal.genego.com/cgi/network/net_net.cgi?term=10&amp;id=147375" TargetMode="External"/><Relationship Id="rId49" Type="http://schemas.openxmlformats.org/officeDocument/2006/relationships/hyperlink" Target="http://portal.genego.com/cgi/network/net_net.cgi?term=10&amp;id=147180" TargetMode="External"/><Relationship Id="rId20" Type="http://schemas.openxmlformats.org/officeDocument/2006/relationships/hyperlink" Target="http://portal.genego.com/cgi/network/net_net.cgi?term=10&amp;id=147034" TargetMode="External"/><Relationship Id="rId21" Type="http://schemas.openxmlformats.org/officeDocument/2006/relationships/hyperlink" Target="http://portal.genego.com/cgi/network/net_net.cgi?term=10&amp;id=147057" TargetMode="External"/><Relationship Id="rId22" Type="http://schemas.openxmlformats.org/officeDocument/2006/relationships/hyperlink" Target="http://portal.genego.com/cgi/network/net_net.cgi?term=10&amp;id=147112" TargetMode="External"/><Relationship Id="rId23" Type="http://schemas.openxmlformats.org/officeDocument/2006/relationships/hyperlink" Target="http://portal.genego.com/cgi/network/net_net.cgi?term=10&amp;id=147244" TargetMode="External"/><Relationship Id="rId24" Type="http://schemas.openxmlformats.org/officeDocument/2006/relationships/hyperlink" Target="http://portal.genego.com/cgi/network/net_net.cgi?term=10&amp;id=147110" TargetMode="External"/><Relationship Id="rId25" Type="http://schemas.openxmlformats.org/officeDocument/2006/relationships/hyperlink" Target="http://portal.genego.com/cgi/network/net_net.cgi?term=10&amp;id=147163" TargetMode="External"/><Relationship Id="rId26" Type="http://schemas.openxmlformats.org/officeDocument/2006/relationships/hyperlink" Target="http://portal.genego.com/cgi/network/net_net.cgi?term=10&amp;id=147017" TargetMode="External"/><Relationship Id="rId27" Type="http://schemas.openxmlformats.org/officeDocument/2006/relationships/hyperlink" Target="http://portal.genego.com/cgi/network/net_net.cgi?term=10&amp;id=147358" TargetMode="External"/><Relationship Id="rId28" Type="http://schemas.openxmlformats.org/officeDocument/2006/relationships/hyperlink" Target="http://portal.genego.com/cgi/network/net_net.cgi?term=10&amp;id=147345" TargetMode="External"/><Relationship Id="rId29" Type="http://schemas.openxmlformats.org/officeDocument/2006/relationships/hyperlink" Target="http://portal.genego.com/cgi/network/net_net.cgi?term=10&amp;id=147239" TargetMode="External"/><Relationship Id="rId50" Type="http://schemas.openxmlformats.org/officeDocument/2006/relationships/hyperlink" Target="http://portal.genego.com/cgi/network/net_net.cgi?term=10&amp;id=147336" TargetMode="External"/><Relationship Id="rId1" Type="http://schemas.openxmlformats.org/officeDocument/2006/relationships/hyperlink" Target="http://portal.genego.com/cgi/network/net_net.cgi?term=10&amp;id=147192" TargetMode="External"/><Relationship Id="rId2" Type="http://schemas.openxmlformats.org/officeDocument/2006/relationships/hyperlink" Target="http://portal.genego.com/cgi/network/net_net.cgi?term=10&amp;id=147223" TargetMode="External"/><Relationship Id="rId3" Type="http://schemas.openxmlformats.org/officeDocument/2006/relationships/hyperlink" Target="http://portal.genego.com/cgi/network/net_net.cgi?term=10&amp;id=147248" TargetMode="External"/><Relationship Id="rId4" Type="http://schemas.openxmlformats.org/officeDocument/2006/relationships/hyperlink" Target="http://portal.genego.com/cgi/network/net_net.cgi?term=10&amp;id=147267" TargetMode="External"/><Relationship Id="rId5" Type="http://schemas.openxmlformats.org/officeDocument/2006/relationships/hyperlink" Target="http://portal.genego.com/cgi/network/net_net.cgi?term=10&amp;id=147063" TargetMode="External"/><Relationship Id="rId30" Type="http://schemas.openxmlformats.org/officeDocument/2006/relationships/hyperlink" Target="http://portal.genego.com/cgi/network/net_net.cgi?term=10&amp;id=147224" TargetMode="External"/><Relationship Id="rId31" Type="http://schemas.openxmlformats.org/officeDocument/2006/relationships/hyperlink" Target="http://portal.genego.com/cgi/network/net_net.cgi?term=10&amp;id=147312" TargetMode="External"/><Relationship Id="rId32" Type="http://schemas.openxmlformats.org/officeDocument/2006/relationships/hyperlink" Target="http://portal.genego.com/cgi/network/net_net.cgi?term=10&amp;id=147255" TargetMode="External"/><Relationship Id="rId9" Type="http://schemas.openxmlformats.org/officeDocument/2006/relationships/hyperlink" Target="http://portal.genego.com/cgi/network/net_net.cgi?term=10&amp;id=147027" TargetMode="External"/><Relationship Id="rId6" Type="http://schemas.openxmlformats.org/officeDocument/2006/relationships/hyperlink" Target="http://portal.genego.com/cgi/network/net_net.cgi?term=10&amp;id=147320" TargetMode="External"/><Relationship Id="rId7" Type="http://schemas.openxmlformats.org/officeDocument/2006/relationships/hyperlink" Target="http://portal.genego.com/cgi/network/net_net.cgi?term=10&amp;id=147285" TargetMode="External"/><Relationship Id="rId8" Type="http://schemas.openxmlformats.org/officeDocument/2006/relationships/hyperlink" Target="http://portal.genego.com/cgi/network/net_net.cgi?term=10&amp;id=147007" TargetMode="External"/><Relationship Id="rId33" Type="http://schemas.openxmlformats.org/officeDocument/2006/relationships/hyperlink" Target="http://portal.genego.com/cgi/network/net_net.cgi?term=10&amp;id=147220" TargetMode="External"/><Relationship Id="rId34" Type="http://schemas.openxmlformats.org/officeDocument/2006/relationships/hyperlink" Target="http://portal.genego.com/cgi/network/net_net.cgi?term=10&amp;id=147334" TargetMode="External"/><Relationship Id="rId35" Type="http://schemas.openxmlformats.org/officeDocument/2006/relationships/hyperlink" Target="http://portal.genego.com/cgi/network/net_net.cgi?term=10&amp;id=147233" TargetMode="External"/><Relationship Id="rId36" Type="http://schemas.openxmlformats.org/officeDocument/2006/relationships/hyperlink" Target="http://portal.genego.com/cgi/network/net_net.cgi?term=10&amp;id=147151" TargetMode="External"/><Relationship Id="rId10" Type="http://schemas.openxmlformats.org/officeDocument/2006/relationships/hyperlink" Target="http://portal.genego.com/cgi/network/net_net.cgi?term=10&amp;id=147394" TargetMode="External"/><Relationship Id="rId11" Type="http://schemas.openxmlformats.org/officeDocument/2006/relationships/hyperlink" Target="http://portal.genego.com/cgi/network/net_net.cgi?term=10&amp;id=147106" TargetMode="External"/><Relationship Id="rId12" Type="http://schemas.openxmlformats.org/officeDocument/2006/relationships/hyperlink" Target="http://portal.genego.com/cgi/network/net_net.cgi?term=10&amp;id=147178" TargetMode="External"/><Relationship Id="rId13" Type="http://schemas.openxmlformats.org/officeDocument/2006/relationships/hyperlink" Target="http://portal.genego.com/cgi/network/net_net.cgi?term=10&amp;id=147095" TargetMode="External"/><Relationship Id="rId14" Type="http://schemas.openxmlformats.org/officeDocument/2006/relationships/hyperlink" Target="http://portal.genego.com/cgi/network/net_net.cgi?term=10&amp;id=147205" TargetMode="External"/><Relationship Id="rId15" Type="http://schemas.openxmlformats.org/officeDocument/2006/relationships/hyperlink" Target="http://portal.genego.com/cgi/network/net_net.cgi?term=10&amp;id=147238" TargetMode="External"/><Relationship Id="rId16" Type="http://schemas.openxmlformats.org/officeDocument/2006/relationships/hyperlink" Target="http://portal.genego.com/cgi/network/net_net.cgi?term=10&amp;id=147265" TargetMode="External"/><Relationship Id="rId17" Type="http://schemas.openxmlformats.org/officeDocument/2006/relationships/hyperlink" Target="http://portal.genego.com/cgi/network/net_net.cgi?term=10&amp;id=147092" TargetMode="External"/><Relationship Id="rId18" Type="http://schemas.openxmlformats.org/officeDocument/2006/relationships/hyperlink" Target="http://portal.genego.com/cgi/network/net_net.cgi?term=10&amp;id=147307" TargetMode="External"/><Relationship Id="rId19" Type="http://schemas.openxmlformats.org/officeDocument/2006/relationships/hyperlink" Target="http://portal.genego.com/cgi/network/net_net.cgi?term=10&amp;id=147222" TargetMode="External"/><Relationship Id="rId37" Type="http://schemas.openxmlformats.org/officeDocument/2006/relationships/hyperlink" Target="http://portal.genego.com/cgi/network/net_net.cgi?term=10&amp;id=147096" TargetMode="External"/><Relationship Id="rId38" Type="http://schemas.openxmlformats.org/officeDocument/2006/relationships/hyperlink" Target="http://portal.genego.com/cgi/network/net_net.cgi?term=10&amp;id=147152" TargetMode="External"/><Relationship Id="rId39" Type="http://schemas.openxmlformats.org/officeDocument/2006/relationships/hyperlink" Target="http://portal.genego.com/cgi/network/net_net.cgi?term=10&amp;id=147172" TargetMode="External"/><Relationship Id="rId40" Type="http://schemas.openxmlformats.org/officeDocument/2006/relationships/hyperlink" Target="http://portal.genego.com/cgi/network/net_net.cgi?term=10&amp;id=147338" TargetMode="External"/><Relationship Id="rId41" Type="http://schemas.openxmlformats.org/officeDocument/2006/relationships/hyperlink" Target="http://portal.genego.com/cgi/network/net_net.cgi?term=10&amp;id=147148" TargetMode="External"/><Relationship Id="rId42" Type="http://schemas.openxmlformats.org/officeDocument/2006/relationships/hyperlink" Target="http://portal.genego.com/cgi/network/net_net.cgi?term=10&amp;id=147130" TargetMode="External"/><Relationship Id="rId43" Type="http://schemas.openxmlformats.org/officeDocument/2006/relationships/hyperlink" Target="http://portal.genego.com/cgi/network/net_net.cgi?term=10&amp;id=147379" TargetMode="External"/><Relationship Id="rId44" Type="http://schemas.openxmlformats.org/officeDocument/2006/relationships/hyperlink" Target="http://portal.genego.com/cgi/network/net_net.cgi?term=10&amp;id=147071" TargetMode="External"/><Relationship Id="rId45" Type="http://schemas.openxmlformats.org/officeDocument/2006/relationships/hyperlink" Target="http://portal.genego.com/cgi/network/net_net.cgi?term=10&amp;id=147337" TargetMode="External"/></Relationships>
</file>

<file path=xl/worksheets/_rels/sheet8.xml.rels><?xml version="1.0" encoding="UTF-8" standalone="yes"?>
<Relationships xmlns="http://schemas.openxmlformats.org/package/2006/relationships"><Relationship Id="rId46" Type="http://schemas.openxmlformats.org/officeDocument/2006/relationships/hyperlink" Target="http://portal.genego.com/cgi/imagemap.cgi?id=442" TargetMode="External"/><Relationship Id="rId47" Type="http://schemas.openxmlformats.org/officeDocument/2006/relationships/hyperlink" Target="http://portal.genego.com/cgi/imagemap.cgi?id=3168" TargetMode="External"/><Relationship Id="rId48" Type="http://schemas.openxmlformats.org/officeDocument/2006/relationships/hyperlink" Target="http://portal.genego.com/cgi/imagemap.cgi?id=6301" TargetMode="External"/><Relationship Id="rId49" Type="http://schemas.openxmlformats.org/officeDocument/2006/relationships/hyperlink" Target="http://portal.genego.com/cgi/imagemap.cgi?id=5329" TargetMode="External"/><Relationship Id="rId20" Type="http://schemas.openxmlformats.org/officeDocument/2006/relationships/hyperlink" Target="http://portal.genego.com/cgi/imagemap.cgi?id=5951" TargetMode="External"/><Relationship Id="rId21" Type="http://schemas.openxmlformats.org/officeDocument/2006/relationships/hyperlink" Target="http://portal.genego.com/cgi/imagemap.cgi?id=3101" TargetMode="External"/><Relationship Id="rId22" Type="http://schemas.openxmlformats.org/officeDocument/2006/relationships/hyperlink" Target="http://portal.genego.com/cgi/imagemap.cgi?id=701" TargetMode="External"/><Relationship Id="rId23" Type="http://schemas.openxmlformats.org/officeDocument/2006/relationships/hyperlink" Target="http://portal.genego.com/cgi/imagemap.cgi?id=6192" TargetMode="External"/><Relationship Id="rId24" Type="http://schemas.openxmlformats.org/officeDocument/2006/relationships/hyperlink" Target="http://portal.genego.com/cgi/imagemap.cgi?id=6994" TargetMode="External"/><Relationship Id="rId25" Type="http://schemas.openxmlformats.org/officeDocument/2006/relationships/hyperlink" Target="http://portal.genego.com/cgi/imagemap.cgi?id=6691" TargetMode="External"/><Relationship Id="rId26" Type="http://schemas.openxmlformats.org/officeDocument/2006/relationships/hyperlink" Target="http://portal.genego.com/cgi/imagemap.cgi?id=540" TargetMode="External"/><Relationship Id="rId27" Type="http://schemas.openxmlformats.org/officeDocument/2006/relationships/hyperlink" Target="http://portal.genego.com/cgi/imagemap.cgi?id=516" TargetMode="External"/><Relationship Id="rId28" Type="http://schemas.openxmlformats.org/officeDocument/2006/relationships/hyperlink" Target="http://portal.genego.com/cgi/imagemap.cgi?id=515" TargetMode="External"/><Relationship Id="rId29" Type="http://schemas.openxmlformats.org/officeDocument/2006/relationships/hyperlink" Target="http://portal.genego.com/cgi/imagemap.cgi?id=143" TargetMode="External"/><Relationship Id="rId50" Type="http://schemas.openxmlformats.org/officeDocument/2006/relationships/hyperlink" Target="http://portal.genego.com/cgi/imagemap.cgi?id=2772" TargetMode="External"/><Relationship Id="rId1" Type="http://schemas.openxmlformats.org/officeDocument/2006/relationships/hyperlink" Target="http://portal.genego.com/cgi/imagemap.cgi?id=6606" TargetMode="External"/><Relationship Id="rId2" Type="http://schemas.openxmlformats.org/officeDocument/2006/relationships/hyperlink" Target="http://portal.genego.com/cgi/imagemap.cgi?id=3109" TargetMode="External"/><Relationship Id="rId3" Type="http://schemas.openxmlformats.org/officeDocument/2006/relationships/hyperlink" Target="http://portal.genego.com/cgi/imagemap.cgi?id=3289" TargetMode="External"/><Relationship Id="rId4" Type="http://schemas.openxmlformats.org/officeDocument/2006/relationships/hyperlink" Target="http://portal.genego.com/cgi/imagemap.cgi?id=3089" TargetMode="External"/><Relationship Id="rId5" Type="http://schemas.openxmlformats.org/officeDocument/2006/relationships/hyperlink" Target="http://portal.genego.com/cgi/imagemap.cgi?id=3292" TargetMode="External"/><Relationship Id="rId30" Type="http://schemas.openxmlformats.org/officeDocument/2006/relationships/hyperlink" Target="http://portal.genego.com/cgi/imagemap.cgi?id=6026" TargetMode="External"/><Relationship Id="rId31" Type="http://schemas.openxmlformats.org/officeDocument/2006/relationships/hyperlink" Target="http://portal.genego.com/cgi/imagemap.cgi?id=3159" TargetMode="External"/><Relationship Id="rId32" Type="http://schemas.openxmlformats.org/officeDocument/2006/relationships/hyperlink" Target="http://portal.genego.com/cgi/imagemap.cgi?id=1496" TargetMode="External"/><Relationship Id="rId9" Type="http://schemas.openxmlformats.org/officeDocument/2006/relationships/hyperlink" Target="http://portal.genego.com/cgi/imagemap.cgi?id=3118" TargetMode="External"/><Relationship Id="rId6" Type="http://schemas.openxmlformats.org/officeDocument/2006/relationships/hyperlink" Target="http://portal.genego.com/cgi/imagemap.cgi?id=2373" TargetMode="External"/><Relationship Id="rId7" Type="http://schemas.openxmlformats.org/officeDocument/2006/relationships/hyperlink" Target="http://portal.genego.com/cgi/imagemap.cgi?id=3163" TargetMode="External"/><Relationship Id="rId8" Type="http://schemas.openxmlformats.org/officeDocument/2006/relationships/hyperlink" Target="http://portal.genego.com/cgi/imagemap.cgi?id=6311" TargetMode="External"/><Relationship Id="rId33" Type="http://schemas.openxmlformats.org/officeDocument/2006/relationships/hyperlink" Target="http://portal.genego.com/cgi/imagemap.cgi?id=3117" TargetMode="External"/><Relationship Id="rId34" Type="http://schemas.openxmlformats.org/officeDocument/2006/relationships/hyperlink" Target="http://portal.genego.com/cgi/imagemap.cgi?id=6489" TargetMode="External"/><Relationship Id="rId35" Type="http://schemas.openxmlformats.org/officeDocument/2006/relationships/hyperlink" Target="http://portal.genego.com/cgi/imagemap.cgi?id=544" TargetMode="External"/><Relationship Id="rId36" Type="http://schemas.openxmlformats.org/officeDocument/2006/relationships/hyperlink" Target="http://portal.genego.com/cgi/imagemap.cgi?id=3096" TargetMode="External"/><Relationship Id="rId10" Type="http://schemas.openxmlformats.org/officeDocument/2006/relationships/hyperlink" Target="http://portal.genego.com/cgi/imagemap.cgi?id=6201" TargetMode="External"/><Relationship Id="rId11" Type="http://schemas.openxmlformats.org/officeDocument/2006/relationships/hyperlink" Target="http://portal.genego.com/cgi/imagemap.cgi?id=6939" TargetMode="External"/><Relationship Id="rId12" Type="http://schemas.openxmlformats.org/officeDocument/2006/relationships/hyperlink" Target="http://portal.genego.com/cgi/imagemap.cgi?id=3127" TargetMode="External"/><Relationship Id="rId13" Type="http://schemas.openxmlformats.org/officeDocument/2006/relationships/hyperlink" Target="http://portal.genego.com/cgi/imagemap.cgi?id=6447" TargetMode="External"/><Relationship Id="rId14" Type="http://schemas.openxmlformats.org/officeDocument/2006/relationships/hyperlink" Target="http://portal.genego.com/cgi/imagemap.cgi?id=414" TargetMode="External"/><Relationship Id="rId15" Type="http://schemas.openxmlformats.org/officeDocument/2006/relationships/hyperlink" Target="http://portal.genego.com/cgi/imagemap.cgi?id=7285" TargetMode="External"/><Relationship Id="rId16" Type="http://schemas.openxmlformats.org/officeDocument/2006/relationships/hyperlink" Target="http://portal.genego.com/cgi/imagemap.cgi?id=6490" TargetMode="External"/><Relationship Id="rId17" Type="http://schemas.openxmlformats.org/officeDocument/2006/relationships/hyperlink" Target="http://portal.genego.com/cgi/imagemap.cgi?id=554" TargetMode="External"/><Relationship Id="rId18" Type="http://schemas.openxmlformats.org/officeDocument/2006/relationships/hyperlink" Target="http://portal.genego.com/cgi/imagemap.cgi?id=6555" TargetMode="External"/><Relationship Id="rId19" Type="http://schemas.openxmlformats.org/officeDocument/2006/relationships/hyperlink" Target="http://portal.genego.com/cgi/imagemap.cgi?id=715" TargetMode="External"/><Relationship Id="rId37" Type="http://schemas.openxmlformats.org/officeDocument/2006/relationships/hyperlink" Target="http://portal.genego.com/cgi/imagemap.cgi?id=6315" TargetMode="External"/><Relationship Id="rId38" Type="http://schemas.openxmlformats.org/officeDocument/2006/relationships/hyperlink" Target="http://portal.genego.com/cgi/imagemap.cgi?id=3145" TargetMode="External"/><Relationship Id="rId39" Type="http://schemas.openxmlformats.org/officeDocument/2006/relationships/hyperlink" Target="http://portal.genego.com/cgi/imagemap.cgi?id=4433" TargetMode="External"/><Relationship Id="rId40" Type="http://schemas.openxmlformats.org/officeDocument/2006/relationships/hyperlink" Target="http://portal.genego.com/cgi/imagemap.cgi?id=3202" TargetMode="External"/><Relationship Id="rId41" Type="http://schemas.openxmlformats.org/officeDocument/2006/relationships/hyperlink" Target="http://portal.genego.com/cgi/imagemap.cgi?id=2689" TargetMode="External"/><Relationship Id="rId42" Type="http://schemas.openxmlformats.org/officeDocument/2006/relationships/hyperlink" Target="http://portal.genego.com/cgi/imagemap.cgi?id=6935" TargetMode="External"/><Relationship Id="rId43" Type="http://schemas.openxmlformats.org/officeDocument/2006/relationships/hyperlink" Target="http://portal.genego.com/cgi/imagemap.cgi?id=726" TargetMode="External"/><Relationship Id="rId44" Type="http://schemas.openxmlformats.org/officeDocument/2006/relationships/hyperlink" Target="http://portal.genego.com/cgi/imagemap.cgi?id=7054" TargetMode="External"/><Relationship Id="rId45" Type="http://schemas.openxmlformats.org/officeDocument/2006/relationships/hyperlink" Target="http://portal.genego.com/cgi/imagemap.cgi?id=3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25" sqref="B25"/>
    </sheetView>
  </sheetViews>
  <sheetFormatPr baseColWidth="10" defaultColWidth="11.5" defaultRowHeight="12" x14ac:dyDescent="0"/>
  <sheetData>
    <row r="1" spans="1:2">
      <c r="A1" s="6" t="s">
        <v>30</v>
      </c>
      <c r="B1" s="7" t="s">
        <v>39</v>
      </c>
    </row>
    <row r="2" spans="1:2">
      <c r="A2" s="6" t="s">
        <v>40</v>
      </c>
      <c r="B2" s="7" t="s">
        <v>41</v>
      </c>
    </row>
    <row r="3" spans="1:2">
      <c r="A3" s="6" t="s">
        <v>32</v>
      </c>
      <c r="B3" s="7" t="s">
        <v>42</v>
      </c>
    </row>
    <row r="4" spans="1:2">
      <c r="A4" s="6" t="s">
        <v>33</v>
      </c>
      <c r="B4" s="7" t="s">
        <v>43</v>
      </c>
    </row>
    <row r="5" spans="1:2">
      <c r="A5" s="6" t="s">
        <v>34</v>
      </c>
      <c r="B5" s="7" t="s">
        <v>44</v>
      </c>
    </row>
    <row r="6" spans="1:2">
      <c r="A6" s="6" t="s">
        <v>35</v>
      </c>
      <c r="B6" s="7" t="s">
        <v>45</v>
      </c>
    </row>
    <row r="7" spans="1:2">
      <c r="A7" s="6" t="s">
        <v>36</v>
      </c>
      <c r="B7" s="7" t="s">
        <v>46</v>
      </c>
    </row>
    <row r="8" spans="1:2">
      <c r="A8" s="6" t="s">
        <v>37</v>
      </c>
      <c r="B8" s="7" t="s">
        <v>47</v>
      </c>
    </row>
    <row r="9" spans="1:2">
      <c r="A9" s="6" t="s">
        <v>38</v>
      </c>
      <c r="B9" s="7" t="s">
        <v>48</v>
      </c>
    </row>
    <row r="10" spans="1:2">
      <c r="A10" s="6" t="s">
        <v>1</v>
      </c>
      <c r="B10" s="7" t="s">
        <v>49</v>
      </c>
    </row>
    <row r="11" spans="1:2">
      <c r="A11" s="79" t="s">
        <v>457</v>
      </c>
      <c r="B11" s="80" t="s">
        <v>458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7"/>
  <sheetViews>
    <sheetView zoomScale="125" zoomScaleNormal="125" zoomScalePageLayoutView="125" workbookViewId="0">
      <pane xSplit="10" ySplit="2" topLeftCell="K77" activePane="bottomRight" state="frozen"/>
      <selection pane="topRight"/>
      <selection pane="bottomLeft"/>
      <selection pane="bottomRight" activeCell="R2" sqref="R1:S1048576"/>
    </sheetView>
  </sheetViews>
  <sheetFormatPr baseColWidth="10" defaultColWidth="8.83203125" defaultRowHeight="12" x14ac:dyDescent="0"/>
  <cols>
    <col min="1" max="1" width="14" customWidth="1"/>
    <col min="2" max="9" width="10" customWidth="1"/>
    <col min="10" max="10" width="17" customWidth="1"/>
    <col min="11" max="14" width="10" customWidth="1"/>
    <col min="15" max="15" width="17.33203125" customWidth="1"/>
    <col min="16" max="17" width="10.5" customWidth="1"/>
  </cols>
  <sheetData>
    <row r="1" spans="1:17" ht="30" customHeight="1">
      <c r="A1" s="75" t="s">
        <v>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  <c r="O1" s="72" t="s">
        <v>65</v>
      </c>
      <c r="P1" s="73"/>
      <c r="Q1" s="74"/>
    </row>
    <row r="2" spans="1:17" ht="30" customHeight="1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37</v>
      </c>
      <c r="H2" s="3" t="s">
        <v>1</v>
      </c>
      <c r="I2" s="3" t="s">
        <v>38</v>
      </c>
      <c r="J2" s="3" t="s">
        <v>30</v>
      </c>
      <c r="K2" s="4" t="s">
        <v>63</v>
      </c>
      <c r="L2" s="5" t="s">
        <v>1</v>
      </c>
      <c r="M2" s="4" t="s">
        <v>64</v>
      </c>
      <c r="N2" s="34" t="s">
        <v>1</v>
      </c>
      <c r="O2" s="35" t="s">
        <v>62</v>
      </c>
      <c r="P2" s="35" t="s">
        <v>63</v>
      </c>
      <c r="Q2" s="35" t="s">
        <v>64</v>
      </c>
    </row>
    <row r="3" spans="1:17" ht="15" customHeight="1">
      <c r="A3" s="8" t="str">
        <f>HYPERLINK("http://portal.genego.com/cgi/entity_page.cgi?term=100&amp;id=4259","GCR-alpha")</f>
        <v>GCR-alpha</v>
      </c>
      <c r="B3" s="9">
        <v>146</v>
      </c>
      <c r="C3" s="9">
        <v>1420</v>
      </c>
      <c r="D3" s="9">
        <v>1150</v>
      </c>
      <c r="E3" s="9">
        <v>26819</v>
      </c>
      <c r="F3" s="9">
        <v>60.89</v>
      </c>
      <c r="G3" s="9">
        <v>2.3980000000000001</v>
      </c>
      <c r="H3" s="9">
        <v>3.481E-23</v>
      </c>
      <c r="I3" s="9">
        <v>11.46</v>
      </c>
      <c r="J3" s="10" t="s">
        <v>2</v>
      </c>
      <c r="K3" s="11">
        <v>1.5541239</v>
      </c>
      <c r="L3" s="12">
        <v>3.993625E-2</v>
      </c>
      <c r="M3" s="13">
        <v>0.52938795000000005</v>
      </c>
      <c r="N3" s="32">
        <v>3.993625E-2</v>
      </c>
      <c r="O3" s="33">
        <f>VLOOKUP(A3,'Colo205_Transcription factor'!A:N,7,FALSE)</f>
        <v>2.16</v>
      </c>
      <c r="P3" s="33">
        <f>VLOOKUP(A3,'Colo205_Transcription factor'!A:N,11,FALSE)</f>
        <v>0</v>
      </c>
      <c r="Q3" s="33">
        <f>VLOOKUP(A3,'Colo205_Transcription factor'!A:N,13,FALSE)</f>
        <v>0</v>
      </c>
    </row>
    <row r="4" spans="1:17" ht="15" customHeight="1">
      <c r="A4" s="8" t="str">
        <f>HYPERLINK("http://portal.genego.com/cgi/entity_page.cgi?term=100&amp;id=2498","SP1")</f>
        <v>SP1</v>
      </c>
      <c r="B4" s="9">
        <v>176</v>
      </c>
      <c r="C4" s="9">
        <v>1420</v>
      </c>
      <c r="D4" s="9">
        <v>1593</v>
      </c>
      <c r="E4" s="9">
        <v>26819</v>
      </c>
      <c r="F4" s="9">
        <v>84.35</v>
      </c>
      <c r="G4" s="9">
        <v>2.0870000000000002</v>
      </c>
      <c r="H4" s="9">
        <v>4.3219999999999997E-21</v>
      </c>
      <c r="I4" s="9">
        <v>10.57</v>
      </c>
      <c r="J4" s="10"/>
      <c r="K4" s="14"/>
      <c r="L4" s="12"/>
      <c r="M4" s="14"/>
      <c r="N4" s="32"/>
      <c r="O4" s="33">
        <f>VLOOKUP(A4,'Colo205_Transcription factor'!A:N,7,FALSE)</f>
        <v>1.8660000000000001</v>
      </c>
      <c r="P4" s="33">
        <f>VLOOKUP(A4,'Colo205_Transcription factor'!A:N,11,FALSE)</f>
        <v>0</v>
      </c>
      <c r="Q4" s="33">
        <f>VLOOKUP(A4,'Colo205_Transcription factor'!A:N,13,FALSE)</f>
        <v>0</v>
      </c>
    </row>
    <row r="5" spans="1:17" ht="15" customHeight="1">
      <c r="A5" s="8" t="str">
        <f>HYPERLINK("http://portal.genego.com/cgi/entity_page.cgi?term=100&amp;id=-1923663997","p63")</f>
        <v>p63</v>
      </c>
      <c r="B5" s="9">
        <v>69</v>
      </c>
      <c r="C5" s="9">
        <v>1420</v>
      </c>
      <c r="D5" s="9">
        <v>429</v>
      </c>
      <c r="E5" s="9">
        <v>26819</v>
      </c>
      <c r="F5" s="9">
        <v>22.71</v>
      </c>
      <c r="G5" s="9">
        <v>3.0379999999999998</v>
      </c>
      <c r="H5" s="9">
        <v>1.3460000000000001E-16</v>
      </c>
      <c r="I5" s="9">
        <v>10.06</v>
      </c>
      <c r="J5" s="10"/>
      <c r="K5" s="14"/>
      <c r="L5" s="12"/>
      <c r="M5" s="14"/>
      <c r="N5" s="32"/>
      <c r="O5" s="33">
        <f>VLOOKUP(A5,'Colo205_Transcription factor'!A:N,7,FALSE)</f>
        <v>1.994</v>
      </c>
      <c r="P5" s="33">
        <f>VLOOKUP(A5,'Colo205_Transcription factor'!A:N,11,FALSE)</f>
        <v>0</v>
      </c>
      <c r="Q5" s="33">
        <f>VLOOKUP(A5,'Colo205_Transcription factor'!A:N,13,FALSE)</f>
        <v>0</v>
      </c>
    </row>
    <row r="6" spans="1:17" ht="15" customHeight="1">
      <c r="A6" s="8" t="str">
        <f>HYPERLINK("http://portal.genego.com/cgi/entity_page.cgi?term=100&amp;id=4423","Androgen receptor")</f>
        <v>Androgen receptor</v>
      </c>
      <c r="B6" s="9">
        <v>114</v>
      </c>
      <c r="C6" s="9">
        <v>1420</v>
      </c>
      <c r="D6" s="9">
        <v>973</v>
      </c>
      <c r="E6" s="9">
        <v>26819</v>
      </c>
      <c r="F6" s="9">
        <v>51.52</v>
      </c>
      <c r="G6" s="9">
        <v>2.2130000000000001</v>
      </c>
      <c r="H6" s="9">
        <v>1.0999999999999999E-15</v>
      </c>
      <c r="I6" s="9">
        <v>9.1120000000000001</v>
      </c>
      <c r="J6" s="10"/>
      <c r="K6" s="14"/>
      <c r="L6" s="12"/>
      <c r="M6" s="14"/>
      <c r="N6" s="32"/>
      <c r="O6" s="33">
        <f>VLOOKUP(A6,'Colo205_Transcription factor'!A:N,7,FALSE)</f>
        <v>1.863</v>
      </c>
      <c r="P6" s="33">
        <f>VLOOKUP(A6,'Colo205_Transcription factor'!A:N,11,FALSE)</f>
        <v>0</v>
      </c>
      <c r="Q6" s="33">
        <f>VLOOKUP(A6,'Colo205_Transcription factor'!A:N,13,FALSE)</f>
        <v>0</v>
      </c>
    </row>
    <row r="7" spans="1:17" ht="15" customHeight="1">
      <c r="A7" s="8" t="str">
        <f>HYPERLINK("http://portal.genego.com/cgi/entity_page.cgi?term=100&amp;id=722","STAT3")</f>
        <v>STAT3</v>
      </c>
      <c r="B7" s="9">
        <v>84</v>
      </c>
      <c r="C7" s="9">
        <v>1420</v>
      </c>
      <c r="D7" s="9">
        <v>623</v>
      </c>
      <c r="E7" s="9">
        <v>26819</v>
      </c>
      <c r="F7" s="9">
        <v>32.99</v>
      </c>
      <c r="G7" s="9">
        <v>2.5470000000000002</v>
      </c>
      <c r="H7" s="9">
        <v>3.13E-15</v>
      </c>
      <c r="I7" s="9">
        <v>9.2349999999999994</v>
      </c>
      <c r="J7" s="10"/>
      <c r="K7" s="14"/>
      <c r="L7" s="12"/>
      <c r="M7" s="14"/>
      <c r="N7" s="32"/>
      <c r="O7" s="33">
        <f>VLOOKUP(A7,'Colo205_Transcription factor'!A:N,7,FALSE)</f>
        <v>2.0590000000000002</v>
      </c>
      <c r="P7" s="33">
        <f>VLOOKUP(A7,'Colo205_Transcription factor'!A:N,11,FALSE)</f>
        <v>0</v>
      </c>
      <c r="Q7" s="33">
        <f>VLOOKUP(A7,'Colo205_Transcription factor'!A:N,13,FALSE)</f>
        <v>0</v>
      </c>
    </row>
    <row r="8" spans="1:17" ht="15" customHeight="1">
      <c r="A8" s="8" t="str">
        <f>HYPERLINK("http://portal.genego.com/cgi/entity_page.cgi?term=100&amp;id=884","c-Jun")</f>
        <v>c-Jun</v>
      </c>
      <c r="B8" s="9">
        <v>94</v>
      </c>
      <c r="C8" s="9">
        <v>1420</v>
      </c>
      <c r="D8" s="9">
        <v>795</v>
      </c>
      <c r="E8" s="9">
        <v>26819</v>
      </c>
      <c r="F8" s="9">
        <v>42.09</v>
      </c>
      <c r="G8" s="9">
        <v>2.2330000000000001</v>
      </c>
      <c r="H8" s="9">
        <v>2.3329999999999998E-13</v>
      </c>
      <c r="I8" s="9">
        <v>8.3460000000000001</v>
      </c>
      <c r="J8" s="10"/>
      <c r="K8" s="14"/>
      <c r="L8" s="12"/>
      <c r="M8" s="14"/>
      <c r="N8" s="32"/>
      <c r="O8" s="33">
        <f>VLOOKUP(A8,'Colo205_Transcription factor'!A:N,7,FALSE)</f>
        <v>2.5099999999999998</v>
      </c>
      <c r="P8" s="33">
        <f>VLOOKUP(A8,'Colo205_Transcription factor'!A:N,11,FALSE)</f>
        <v>-1.1280958999999999</v>
      </c>
      <c r="Q8" s="33">
        <f>VLOOKUP(A8,'Colo205_Transcription factor'!A:N,13,FALSE)</f>
        <v>-1.0279853000000001</v>
      </c>
    </row>
    <row r="9" spans="1:17" ht="15" customHeight="1">
      <c r="A9" s="8" t="str">
        <f>HYPERLINK("http://portal.genego.com/cgi/entity_page.cgi?term=100&amp;id=2636","C/EBPalpha")</f>
        <v>C/EBPalpha</v>
      </c>
      <c r="B9" s="9">
        <v>55</v>
      </c>
      <c r="C9" s="9">
        <v>1420</v>
      </c>
      <c r="D9" s="9">
        <v>374</v>
      </c>
      <c r="E9" s="9">
        <v>26819</v>
      </c>
      <c r="F9" s="9">
        <v>19.8</v>
      </c>
      <c r="G9" s="9">
        <v>2.7770000000000001</v>
      </c>
      <c r="H9" s="9">
        <v>6.7199999999999996E-12</v>
      </c>
      <c r="I9" s="9">
        <v>8.1850000000000005</v>
      </c>
      <c r="J9" s="10"/>
      <c r="K9" s="14"/>
      <c r="L9" s="12"/>
      <c r="M9" s="14"/>
      <c r="N9" s="32"/>
      <c r="O9" s="33">
        <f>VLOOKUP(A9,'Colo205_Transcription factor'!A:N,7,FALSE)</f>
        <v>2.7770000000000001</v>
      </c>
      <c r="P9" s="33">
        <f>VLOOKUP(A9,'Colo205_Transcription factor'!A:N,11,FALSE)</f>
        <v>1.8372815</v>
      </c>
      <c r="Q9" s="33">
        <f>VLOOKUP(A9,'Colo205_Transcription factor'!A:N,13,FALSE)</f>
        <v>1.9224763</v>
      </c>
    </row>
    <row r="10" spans="1:17" ht="15" customHeight="1">
      <c r="A10" s="8" t="str">
        <f>HYPERLINK("http://portal.genego.com/cgi/entity_page.cgi?term=100&amp;id=6436","SMAD1")</f>
        <v>SMAD1</v>
      </c>
      <c r="B10" s="9">
        <v>30</v>
      </c>
      <c r="C10" s="9">
        <v>1420</v>
      </c>
      <c r="D10" s="9">
        <v>131</v>
      </c>
      <c r="E10" s="9">
        <v>26819</v>
      </c>
      <c r="F10" s="9">
        <v>6.9359999999999999</v>
      </c>
      <c r="G10" s="9">
        <v>4.3250000000000002</v>
      </c>
      <c r="H10" s="9">
        <v>7.2719999999999997E-12</v>
      </c>
      <c r="I10" s="9">
        <v>9.0210000000000008</v>
      </c>
      <c r="J10" s="10"/>
      <c r="K10" s="14"/>
      <c r="L10" s="12"/>
      <c r="M10" s="14"/>
      <c r="N10" s="32"/>
      <c r="O10" s="33">
        <f>VLOOKUP(A10,'Colo205_Transcription factor'!A:N,7,FALSE)</f>
        <v>3.109</v>
      </c>
      <c r="P10" s="33">
        <f>VLOOKUP(A10,'Colo205_Transcription factor'!A:N,11,FALSE)</f>
        <v>0</v>
      </c>
      <c r="Q10" s="33">
        <f>VLOOKUP(A10,'Colo205_Transcription factor'!A:N,13,FALSE)</f>
        <v>0</v>
      </c>
    </row>
    <row r="11" spans="1:17" ht="15" customHeight="1">
      <c r="A11" s="8" t="str">
        <f>HYPERLINK("http://portal.genego.com/cgi/entity_page.cgi?term=100&amp;id=4311","C/EBPbeta")</f>
        <v>C/EBPbeta</v>
      </c>
      <c r="B11" s="9">
        <v>74</v>
      </c>
      <c r="C11" s="9">
        <v>1420</v>
      </c>
      <c r="D11" s="9">
        <v>609</v>
      </c>
      <c r="E11" s="9">
        <v>26819</v>
      </c>
      <c r="F11" s="9">
        <v>32.25</v>
      </c>
      <c r="G11" s="9">
        <v>2.2949999999999999</v>
      </c>
      <c r="H11" s="9">
        <v>2.443E-11</v>
      </c>
      <c r="I11" s="9">
        <v>7.6429999999999998</v>
      </c>
      <c r="J11" s="10"/>
      <c r="K11" s="14"/>
      <c r="L11" s="12"/>
      <c r="M11" s="14"/>
      <c r="N11" s="32"/>
      <c r="O11" s="33">
        <f>VLOOKUP(A11,'Colo205_Transcription factor'!A:N,7,FALSE)</f>
        <v>2.4079999999999999</v>
      </c>
      <c r="P11" s="33">
        <f>VLOOKUP(A11,'Colo205_Transcription factor'!A:N,11,FALSE)</f>
        <v>0</v>
      </c>
      <c r="Q11" s="33">
        <f>VLOOKUP(A11,'Colo205_Transcription factor'!A:N,13,FALSE)</f>
        <v>0</v>
      </c>
    </row>
    <row r="12" spans="1:17" ht="15" customHeight="1">
      <c r="A12" s="8" t="str">
        <f>HYPERLINK("http://portal.genego.com/cgi/entity_page.cgi?term=100&amp;id=883","c-Fos")</f>
        <v>c-Fos</v>
      </c>
      <c r="B12" s="9">
        <v>50</v>
      </c>
      <c r="C12" s="9">
        <v>1420</v>
      </c>
      <c r="D12" s="9">
        <v>342</v>
      </c>
      <c r="E12" s="9">
        <v>26819</v>
      </c>
      <c r="F12" s="9">
        <v>18.11</v>
      </c>
      <c r="G12" s="9">
        <v>2.7610000000000001</v>
      </c>
      <c r="H12" s="9">
        <v>7.5119999999999995E-11</v>
      </c>
      <c r="I12" s="9">
        <v>7.7510000000000003</v>
      </c>
      <c r="J12" s="10"/>
      <c r="K12" s="14"/>
      <c r="L12" s="12"/>
      <c r="M12" s="14"/>
      <c r="N12" s="32"/>
      <c r="O12" s="33">
        <f>VLOOKUP(A12,'Colo205_Transcription factor'!A:N,7,FALSE)</f>
        <v>2.4409999999999998</v>
      </c>
      <c r="P12" s="33">
        <f>VLOOKUP(A12,'Colo205_Transcription factor'!A:N,11,FALSE)</f>
        <v>0.57882785999999997</v>
      </c>
      <c r="Q12" s="33">
        <f>VLOOKUP(A12,'Colo205_Transcription factor'!A:N,13,FALSE)</f>
        <v>1.0694349999999999</v>
      </c>
    </row>
    <row r="13" spans="1:17" ht="15" customHeight="1">
      <c r="A13" s="8" t="str">
        <f>HYPERLINK("http://portal.genego.com/cgi/entity_page.cgi?term=100&amp;id=9063","RelA (p65 NF-kB subunit)")</f>
        <v>RelA (p65 NF-kB subunit)</v>
      </c>
      <c r="B13" s="9">
        <v>92</v>
      </c>
      <c r="C13" s="9">
        <v>1420</v>
      </c>
      <c r="D13" s="9">
        <v>865</v>
      </c>
      <c r="E13" s="9">
        <v>26819</v>
      </c>
      <c r="F13" s="9">
        <v>45.8</v>
      </c>
      <c r="G13" s="9">
        <v>2.0089999999999999</v>
      </c>
      <c r="H13" s="9">
        <v>1.4810000000000001E-10</v>
      </c>
      <c r="I13" s="9">
        <v>7.1310000000000002</v>
      </c>
      <c r="J13" s="10"/>
      <c r="K13" s="14"/>
      <c r="L13" s="12"/>
      <c r="M13" s="14"/>
      <c r="N13" s="32"/>
      <c r="O13" s="33">
        <f>VLOOKUP(A13,'Colo205_Transcription factor'!A:N,7,FALSE)</f>
        <v>1.907</v>
      </c>
      <c r="P13" s="33">
        <f>VLOOKUP(A13,'Colo205_Transcription factor'!A:N,11,FALSE)</f>
        <v>0</v>
      </c>
      <c r="Q13" s="33">
        <f>VLOOKUP(A13,'Colo205_Transcription factor'!A:N,13,FALSE)</f>
        <v>0</v>
      </c>
    </row>
    <row r="14" spans="1:17" ht="15" customHeight="1">
      <c r="A14" s="8" t="str">
        <f>HYPERLINK("http://portal.genego.com/cgi/entity_page.cgi?term=100&amp;id=1075","p53")</f>
        <v>p53</v>
      </c>
      <c r="B14" s="9">
        <v>117</v>
      </c>
      <c r="C14" s="9">
        <v>1420</v>
      </c>
      <c r="D14" s="9">
        <v>1209</v>
      </c>
      <c r="E14" s="9">
        <v>26819</v>
      </c>
      <c r="F14" s="9">
        <v>64.010000000000005</v>
      </c>
      <c r="G14" s="9">
        <v>1.8280000000000001</v>
      </c>
      <c r="H14" s="9">
        <v>1.7650000000000001E-10</v>
      </c>
      <c r="I14" s="9">
        <v>6.9640000000000004</v>
      </c>
      <c r="J14" s="10"/>
      <c r="K14" s="14"/>
      <c r="L14" s="12"/>
      <c r="M14" s="14"/>
      <c r="N14" s="32"/>
      <c r="O14" s="33">
        <f>VLOOKUP(A14,'Colo205_Transcription factor'!A:N,7,FALSE)</f>
        <v>1.802</v>
      </c>
      <c r="P14" s="33">
        <f>VLOOKUP(A14,'Colo205_Transcription factor'!A:N,11,FALSE)</f>
        <v>0</v>
      </c>
      <c r="Q14" s="33">
        <f>VLOOKUP(A14,'Colo205_Transcription factor'!A:N,13,FALSE)</f>
        <v>0</v>
      </c>
    </row>
    <row r="15" spans="1:17" ht="15" customHeight="1">
      <c r="A15" s="8" t="str">
        <f>HYPERLINK("http://portal.genego.com/cgi/entity_page.cgi?term=100&amp;id=4385","ETS1")</f>
        <v>ETS1</v>
      </c>
      <c r="B15" s="9">
        <v>52</v>
      </c>
      <c r="C15" s="9">
        <v>1420</v>
      </c>
      <c r="D15" s="9">
        <v>383</v>
      </c>
      <c r="E15" s="9">
        <v>26819</v>
      </c>
      <c r="F15" s="9">
        <v>20.28</v>
      </c>
      <c r="G15" s="9">
        <v>2.5640000000000001</v>
      </c>
      <c r="H15" s="9">
        <v>4.8289999999999996E-10</v>
      </c>
      <c r="I15" s="9">
        <v>7.29</v>
      </c>
      <c r="J15" s="10"/>
      <c r="K15" s="14"/>
      <c r="L15" s="12"/>
      <c r="M15" s="14"/>
      <c r="N15" s="32"/>
      <c r="O15" s="33">
        <f>VLOOKUP(A15,'Colo205_Transcription factor'!A:N,7,FALSE)</f>
        <v>1.9670000000000001</v>
      </c>
      <c r="P15" s="33">
        <f>VLOOKUP(A15,'Colo205_Transcription factor'!A:N,11,FALSE)</f>
        <v>0</v>
      </c>
      <c r="Q15" s="33">
        <f>VLOOKUP(A15,'Colo205_Transcription factor'!A:N,13,FALSE)</f>
        <v>0</v>
      </c>
    </row>
    <row r="16" spans="1:17" ht="15" customHeight="1">
      <c r="A16" s="8" t="str">
        <f>HYPERLINK("http://portal.genego.com/cgi/entity_page.cgi?term=100&amp;id=9097","ESR1 (nuclear)")</f>
        <v>ESR1 (nuclear)</v>
      </c>
      <c r="B16" s="9">
        <v>118</v>
      </c>
      <c r="C16" s="9">
        <v>1420</v>
      </c>
      <c r="D16" s="9">
        <v>1249</v>
      </c>
      <c r="E16" s="9">
        <v>26819</v>
      </c>
      <c r="F16" s="9">
        <v>66.13</v>
      </c>
      <c r="G16" s="9">
        <v>1.784</v>
      </c>
      <c r="H16" s="9">
        <v>6.3050000000000005E-10</v>
      </c>
      <c r="I16" s="9">
        <v>6.7119999999999997</v>
      </c>
      <c r="J16" s="10"/>
      <c r="K16" s="14"/>
      <c r="L16" s="12"/>
      <c r="M16" s="14"/>
      <c r="N16" s="32"/>
      <c r="O16" s="33">
        <f>VLOOKUP(A16,'Colo205_Transcription factor'!A:N,7,FALSE)</f>
        <v>1.647</v>
      </c>
      <c r="P16" s="33">
        <f>VLOOKUP(A16,'Colo205_Transcription factor'!A:N,11,FALSE)</f>
        <v>0</v>
      </c>
      <c r="Q16" s="33">
        <f>VLOOKUP(A16,'Colo205_Transcription factor'!A:N,13,FALSE)</f>
        <v>0</v>
      </c>
    </row>
    <row r="17" spans="1:17" ht="15" customHeight="1">
      <c r="A17" s="8" t="str">
        <f>HYPERLINK("http://portal.genego.com/cgi/entity_page.cgi?term=100&amp;id=733","SMAD4")</f>
        <v>SMAD4</v>
      </c>
      <c r="B17" s="9">
        <v>37</v>
      </c>
      <c r="C17" s="9">
        <v>1420</v>
      </c>
      <c r="D17" s="9">
        <v>224</v>
      </c>
      <c r="E17" s="9">
        <v>26819</v>
      </c>
      <c r="F17" s="9">
        <v>11.86</v>
      </c>
      <c r="G17" s="9">
        <v>3.12</v>
      </c>
      <c r="H17" s="9">
        <v>7.1419999999999997E-10</v>
      </c>
      <c r="I17" s="9">
        <v>7.5330000000000004</v>
      </c>
      <c r="J17" s="10"/>
      <c r="K17" s="14"/>
      <c r="L17" s="12"/>
      <c r="M17" s="14"/>
      <c r="N17" s="32"/>
      <c r="O17" s="33">
        <f>VLOOKUP(A17,'Colo205_Transcription factor'!A:N,7,FALSE)</f>
        <v>2.3639999999999999</v>
      </c>
      <c r="P17" s="33">
        <f>VLOOKUP(A17,'Colo205_Transcription factor'!A:N,11,FALSE)</f>
        <v>0</v>
      </c>
      <c r="Q17" s="33">
        <f>VLOOKUP(A17,'Colo205_Transcription factor'!A:N,13,FALSE)</f>
        <v>0</v>
      </c>
    </row>
    <row r="18" spans="1:17" ht="15" customHeight="1">
      <c r="A18" s="8" t="str">
        <f>HYPERLINK("http://portal.genego.com/cgi/entity_page.cgi?term=100&amp;id=-115825747","Oct-3/4")</f>
        <v>Oct-3/4</v>
      </c>
      <c r="B18" s="9">
        <v>114</v>
      </c>
      <c r="C18" s="9">
        <v>1420</v>
      </c>
      <c r="D18" s="9">
        <v>1209</v>
      </c>
      <c r="E18" s="9">
        <v>26819</v>
      </c>
      <c r="F18" s="9">
        <v>64.010000000000005</v>
      </c>
      <c r="G18" s="9">
        <v>1.7809999999999999</v>
      </c>
      <c r="H18" s="9">
        <v>1.3999999999999999E-9</v>
      </c>
      <c r="I18" s="9">
        <v>6.57</v>
      </c>
      <c r="J18" s="10"/>
      <c r="K18" s="14"/>
      <c r="L18" s="12"/>
      <c r="M18" s="14"/>
      <c r="N18" s="32"/>
      <c r="O18" s="33">
        <f>VLOOKUP(A18,'Colo205_Transcription factor'!A:N,7,FALSE)</f>
        <v>1.331</v>
      </c>
      <c r="P18" s="33">
        <f>VLOOKUP(A18,'Colo205_Transcription factor'!A:N,11,FALSE)</f>
        <v>0</v>
      </c>
      <c r="Q18" s="33">
        <f>VLOOKUP(A18,'Colo205_Transcription factor'!A:N,13,FALSE)</f>
        <v>0</v>
      </c>
    </row>
    <row r="19" spans="1:17" ht="15" customHeight="1">
      <c r="A19" s="8" t="str">
        <f>HYPERLINK("http://portal.genego.com/cgi/entity_page.cgi?term=100&amp;id=4322","SMAD3")</f>
        <v>SMAD3</v>
      </c>
      <c r="B19" s="9">
        <v>39</v>
      </c>
      <c r="C19" s="9">
        <v>1420</v>
      </c>
      <c r="D19" s="9">
        <v>253</v>
      </c>
      <c r="E19" s="9">
        <v>26819</v>
      </c>
      <c r="F19" s="9">
        <v>13.4</v>
      </c>
      <c r="G19" s="9">
        <v>2.911</v>
      </c>
      <c r="H19" s="9">
        <v>1.9559999999999999E-9</v>
      </c>
      <c r="I19" s="9">
        <v>7.2229999999999999</v>
      </c>
      <c r="J19" s="10" t="s">
        <v>3</v>
      </c>
      <c r="K19" s="15">
        <v>-1.6178593999999999</v>
      </c>
      <c r="L19" s="12">
        <v>1.7885580000000001E-8</v>
      </c>
      <c r="M19" s="16">
        <v>-1.5640830999999999</v>
      </c>
      <c r="N19" s="32">
        <v>1.7885580000000001E-8</v>
      </c>
      <c r="O19" s="33">
        <f>VLOOKUP(A19,'Colo205_Transcription factor'!A:N,7,FALSE)</f>
        <v>2.4950000000000001</v>
      </c>
      <c r="P19" s="33">
        <f>VLOOKUP(A19,'Colo205_Transcription factor'!A:N,11,FALSE)</f>
        <v>0</v>
      </c>
      <c r="Q19" s="33">
        <f>VLOOKUP(A19,'Colo205_Transcription factor'!A:N,13,FALSE)</f>
        <v>0</v>
      </c>
    </row>
    <row r="20" spans="1:17" ht="15" customHeight="1">
      <c r="A20" s="8" t="str">
        <f>HYPERLINK("http://portal.genego.com/cgi/entity_page.cgi?term=100&amp;id=4333","HNF3-beta")</f>
        <v>HNF3-beta</v>
      </c>
      <c r="B20" s="9">
        <v>42</v>
      </c>
      <c r="C20" s="9">
        <v>1420</v>
      </c>
      <c r="D20" s="9">
        <v>288</v>
      </c>
      <c r="E20" s="9">
        <v>26819</v>
      </c>
      <c r="F20" s="9">
        <v>15.25</v>
      </c>
      <c r="G20" s="9">
        <v>2.754</v>
      </c>
      <c r="H20" s="9">
        <v>2.6329999999999999E-9</v>
      </c>
      <c r="I20" s="9">
        <v>7.077</v>
      </c>
      <c r="J20" s="10"/>
      <c r="K20" s="14"/>
      <c r="L20" s="12"/>
      <c r="M20" s="14"/>
      <c r="N20" s="32"/>
      <c r="O20" s="33">
        <f>VLOOKUP(A20,'Colo205_Transcription factor'!A:N,7,FALSE)</f>
        <v>2.0510000000000002</v>
      </c>
      <c r="P20" s="33">
        <f>VLOOKUP(A20,'Colo205_Transcription factor'!A:N,11,FALSE)</f>
        <v>0</v>
      </c>
      <c r="Q20" s="33">
        <f>VLOOKUP(A20,'Colo205_Transcription factor'!A:N,13,FALSE)</f>
        <v>0</v>
      </c>
    </row>
    <row r="21" spans="1:17" ht="15" customHeight="1">
      <c r="A21" s="8" t="str">
        <f>HYPERLINK("http://portal.genego.com/cgi/entity_page.cgi?term=100&amp;id=4394","ATF-3")</f>
        <v>ATF-3</v>
      </c>
      <c r="B21" s="9">
        <v>27</v>
      </c>
      <c r="C21" s="9">
        <v>1420</v>
      </c>
      <c r="D21" s="9">
        <v>139</v>
      </c>
      <c r="E21" s="9">
        <v>26819</v>
      </c>
      <c r="F21" s="9">
        <v>7.36</v>
      </c>
      <c r="G21" s="9">
        <v>3.669</v>
      </c>
      <c r="H21" s="9">
        <v>3.9449999999999999E-9</v>
      </c>
      <c r="I21" s="9">
        <v>7.4580000000000002</v>
      </c>
      <c r="J21" s="10"/>
      <c r="K21" s="14"/>
      <c r="L21" s="12"/>
      <c r="M21" s="14"/>
      <c r="N21" s="32"/>
      <c r="O21" s="33">
        <f>VLOOKUP(A21,'Colo205_Transcription factor'!A:N,7,FALSE)</f>
        <v>3.077</v>
      </c>
      <c r="P21" s="33">
        <f>VLOOKUP(A21,'Colo205_Transcription factor'!A:N,11,FALSE)</f>
        <v>0</v>
      </c>
      <c r="Q21" s="33">
        <f>VLOOKUP(A21,'Colo205_Transcription factor'!A:N,13,FALSE)</f>
        <v>0</v>
      </c>
    </row>
    <row r="22" spans="1:17" ht="15" customHeight="1">
      <c r="A22" s="8" t="str">
        <f>HYPERLINK("http://portal.genego.com/cgi/entity_page.cgi?term=100&amp;id=2554","SP3")</f>
        <v>SP3</v>
      </c>
      <c r="B22" s="9">
        <v>60</v>
      </c>
      <c r="C22" s="9">
        <v>1420</v>
      </c>
      <c r="D22" s="9">
        <v>511</v>
      </c>
      <c r="E22" s="9">
        <v>26819</v>
      </c>
      <c r="F22" s="9">
        <v>27.06</v>
      </c>
      <c r="G22" s="9">
        <v>2.218</v>
      </c>
      <c r="H22" s="9">
        <v>6.9779999999999997E-9</v>
      </c>
      <c r="I22" s="9">
        <v>6.5709999999999997</v>
      </c>
      <c r="J22" s="10"/>
      <c r="K22" s="14"/>
      <c r="L22" s="12"/>
      <c r="M22" s="14"/>
      <c r="N22" s="32"/>
      <c r="O22" s="33">
        <f>VLOOKUP(A22,'Colo205_Transcription factor'!A:N,7,FALSE)</f>
        <v>2.3109999999999999</v>
      </c>
      <c r="P22" s="33">
        <f>VLOOKUP(A22,'Colo205_Transcription factor'!A:N,11,FALSE)</f>
        <v>0</v>
      </c>
      <c r="Q22" s="33">
        <f>VLOOKUP(A22,'Colo205_Transcription factor'!A:N,13,FALSE)</f>
        <v>0</v>
      </c>
    </row>
    <row r="23" spans="1:17" ht="15" customHeight="1">
      <c r="A23" s="8" t="str">
        <f>HYPERLINK("http://portal.genego.com/cgi/entity_page.cgi?term=100&amp;id=-2007163176","KLF4")</f>
        <v>KLF4</v>
      </c>
      <c r="B23" s="9">
        <v>43</v>
      </c>
      <c r="C23" s="9">
        <v>1420</v>
      </c>
      <c r="D23" s="9">
        <v>310</v>
      </c>
      <c r="E23" s="9">
        <v>26819</v>
      </c>
      <c r="F23" s="9">
        <v>16.41</v>
      </c>
      <c r="G23" s="9">
        <v>2.62</v>
      </c>
      <c r="H23" s="9">
        <v>7.9539999999999996E-9</v>
      </c>
      <c r="I23" s="9">
        <v>6.782</v>
      </c>
      <c r="J23" s="10"/>
      <c r="K23" s="14"/>
      <c r="L23" s="12"/>
      <c r="M23" s="14"/>
      <c r="N23" s="32"/>
      <c r="O23" s="33">
        <f>VLOOKUP(A23,'Colo205_Transcription factor'!A:N,7,FALSE)</f>
        <v>2.036</v>
      </c>
      <c r="P23" s="33">
        <f>VLOOKUP(A23,'Colo205_Transcription factor'!A:N,11,FALSE)</f>
        <v>0</v>
      </c>
      <c r="Q23" s="33">
        <f>VLOOKUP(A23,'Colo205_Transcription factor'!A:N,13,FALSE)</f>
        <v>0</v>
      </c>
    </row>
    <row r="24" spans="1:17" ht="15" customHeight="1">
      <c r="A24" s="8" t="str">
        <f>HYPERLINK("http://portal.genego.com/cgi/entity_page.cgi?term=100&amp;id=719","SRF")</f>
        <v>SRF</v>
      </c>
      <c r="B24" s="9">
        <v>51</v>
      </c>
      <c r="C24" s="9">
        <v>1420</v>
      </c>
      <c r="D24" s="9">
        <v>405</v>
      </c>
      <c r="E24" s="9">
        <v>26819</v>
      </c>
      <c r="F24" s="9">
        <v>21.44</v>
      </c>
      <c r="G24" s="9">
        <v>2.3780000000000001</v>
      </c>
      <c r="H24" s="9">
        <v>9.476E-9</v>
      </c>
      <c r="I24" s="9">
        <v>6.609</v>
      </c>
      <c r="J24" s="10"/>
      <c r="K24" s="14"/>
      <c r="L24" s="12"/>
      <c r="M24" s="14"/>
      <c r="N24" s="32"/>
      <c r="O24" s="33">
        <f>VLOOKUP(A24,'Colo205_Transcription factor'!A:N,7,FALSE)</f>
        <v>2.4129999999999998</v>
      </c>
      <c r="P24" s="33">
        <f>VLOOKUP(A24,'Colo205_Transcription factor'!A:N,11,FALSE)</f>
        <v>0</v>
      </c>
      <c r="Q24" s="33">
        <f>VLOOKUP(A24,'Colo205_Transcription factor'!A:N,13,FALSE)</f>
        <v>0</v>
      </c>
    </row>
    <row r="25" spans="1:17" ht="15" customHeight="1">
      <c r="A25" s="8" t="str">
        <f>HYPERLINK("http://portal.genego.com/cgi/entity_page.cgi?term=100&amp;id=4359","HIF1A")</f>
        <v>HIF1A</v>
      </c>
      <c r="B25" s="9">
        <v>70</v>
      </c>
      <c r="C25" s="9">
        <v>1420</v>
      </c>
      <c r="D25" s="9">
        <v>650</v>
      </c>
      <c r="E25" s="9">
        <v>26819</v>
      </c>
      <c r="F25" s="9">
        <v>34.42</v>
      </c>
      <c r="G25" s="9">
        <v>2.0339999999999998</v>
      </c>
      <c r="H25" s="9">
        <v>1.4710000000000001E-8</v>
      </c>
      <c r="I25" s="9">
        <v>6.31</v>
      </c>
      <c r="J25" s="10"/>
      <c r="K25" s="14"/>
      <c r="L25" s="12"/>
      <c r="M25" s="14"/>
      <c r="N25" s="32"/>
      <c r="O25" s="33">
        <f>VLOOKUP(A25,'Colo205_Transcription factor'!A:N,7,FALSE)</f>
        <v>2.2559999999999998</v>
      </c>
      <c r="P25" s="33">
        <f>VLOOKUP(A25,'Colo205_Transcription factor'!A:N,11,FALSE)</f>
        <v>0</v>
      </c>
      <c r="Q25" s="33">
        <f>VLOOKUP(A25,'Colo205_Transcription factor'!A:N,13,FALSE)</f>
        <v>0</v>
      </c>
    </row>
    <row r="26" spans="1:17" ht="15" customHeight="1">
      <c r="A26" s="8" t="str">
        <f>HYPERLINK("http://portal.genego.com/cgi/entity_page.cgi?term=100&amp;id=6101","SMAD5")</f>
        <v>SMAD5</v>
      </c>
      <c r="B26" s="9">
        <v>19</v>
      </c>
      <c r="C26" s="9">
        <v>1420</v>
      </c>
      <c r="D26" s="9">
        <v>78</v>
      </c>
      <c r="E26" s="9">
        <v>26819</v>
      </c>
      <c r="F26" s="9">
        <v>4.13</v>
      </c>
      <c r="G26" s="9">
        <v>4.601</v>
      </c>
      <c r="H26" s="9">
        <v>1.695E-8</v>
      </c>
      <c r="I26" s="9">
        <v>7.53</v>
      </c>
      <c r="J26" s="10"/>
      <c r="K26" s="14"/>
      <c r="L26" s="12"/>
      <c r="M26" s="14"/>
      <c r="N26" s="32"/>
      <c r="O26" s="33">
        <f>VLOOKUP(A26,'Colo205_Transcription factor'!A:N,7,FALSE)</f>
        <v>3.3940000000000001</v>
      </c>
      <c r="P26" s="33">
        <f>VLOOKUP(A26,'Colo205_Transcription factor'!A:N,11,FALSE)</f>
        <v>0</v>
      </c>
      <c r="Q26" s="33">
        <f>VLOOKUP(A26,'Colo205_Transcription factor'!A:N,13,FALSE)</f>
        <v>0</v>
      </c>
    </row>
    <row r="27" spans="1:17" ht="15" customHeight="1">
      <c r="A27" s="8" t="str">
        <f>HYPERLINK("http://portal.genego.com/cgi/entity_page.cgi?term=100&amp;id=6392","EPAS1")</f>
        <v>EPAS1</v>
      </c>
      <c r="B27" s="9">
        <v>30</v>
      </c>
      <c r="C27" s="9">
        <v>1420</v>
      </c>
      <c r="D27" s="9">
        <v>179</v>
      </c>
      <c r="E27" s="9">
        <v>26819</v>
      </c>
      <c r="F27" s="9">
        <v>9.4779999999999998</v>
      </c>
      <c r="G27" s="9">
        <v>3.165</v>
      </c>
      <c r="H27" s="9">
        <v>2.0199999999999999E-8</v>
      </c>
      <c r="I27" s="9">
        <v>6.8730000000000002</v>
      </c>
      <c r="J27" s="10"/>
      <c r="K27" s="14"/>
      <c r="L27" s="12"/>
      <c r="M27" s="14"/>
      <c r="N27" s="32"/>
      <c r="O27" s="33">
        <f>VLOOKUP(A27,'Colo205_Transcription factor'!A:N,7,FALSE)</f>
        <v>2.1619999999999999</v>
      </c>
      <c r="P27" s="33">
        <f>VLOOKUP(A27,'Colo205_Transcription factor'!A:N,11,FALSE)</f>
        <v>0</v>
      </c>
      <c r="Q27" s="33">
        <f>VLOOKUP(A27,'Colo205_Transcription factor'!A:N,13,FALSE)</f>
        <v>0</v>
      </c>
    </row>
    <row r="28" spans="1:17" ht="15" customHeight="1">
      <c r="A28" s="8" t="str">
        <f>HYPERLINK("http://portal.genego.com/cgi/entity_page.cgi?term=100&amp;id=1181","VDR")</f>
        <v>VDR</v>
      </c>
      <c r="B28" s="9">
        <v>35</v>
      </c>
      <c r="C28" s="9">
        <v>1420</v>
      </c>
      <c r="D28" s="9">
        <v>232</v>
      </c>
      <c r="E28" s="9">
        <v>26819</v>
      </c>
      <c r="F28" s="9">
        <v>12.28</v>
      </c>
      <c r="G28" s="9">
        <v>2.8490000000000002</v>
      </c>
      <c r="H28" s="9">
        <v>2.281E-8</v>
      </c>
      <c r="I28" s="9">
        <v>6.6890000000000001</v>
      </c>
      <c r="J28" s="10" t="s">
        <v>4</v>
      </c>
      <c r="K28" s="17">
        <v>-0.47779181999999998</v>
      </c>
      <c r="L28" s="12">
        <v>4.4380439999999998E-4</v>
      </c>
      <c r="M28" s="18">
        <v>-1.0289016</v>
      </c>
      <c r="N28" s="32">
        <v>4.4380439999999998E-4</v>
      </c>
      <c r="O28" s="33">
        <f>VLOOKUP(A28,'Colo205_Transcription factor'!A:N,7,FALSE)</f>
        <v>2.8090000000000002</v>
      </c>
      <c r="P28" s="33">
        <f>VLOOKUP(A28,'Colo205_Transcription factor'!A:N,11,FALSE)</f>
        <v>1.2303177999999999</v>
      </c>
      <c r="Q28" s="33">
        <f>VLOOKUP(A28,'Colo205_Transcription factor'!A:N,13,FALSE)</f>
        <v>1.0498628999999999</v>
      </c>
    </row>
    <row r="29" spans="1:17" ht="15" customHeight="1">
      <c r="A29" s="8" t="str">
        <f>HYPERLINK("http://portal.genego.com/cgi/entity_page.cgi?term=100&amp;id=4374","TCF7L2 (TCF4)")</f>
        <v>TCF7L2 (TCF4)</v>
      </c>
      <c r="B29" s="9">
        <v>47</v>
      </c>
      <c r="C29" s="9">
        <v>1420</v>
      </c>
      <c r="D29" s="9">
        <v>371</v>
      </c>
      <c r="E29" s="9">
        <v>26819</v>
      </c>
      <c r="F29" s="9">
        <v>19.64</v>
      </c>
      <c r="G29" s="9">
        <v>2.3929999999999998</v>
      </c>
      <c r="H29" s="9">
        <v>2.9700000000000001E-8</v>
      </c>
      <c r="I29" s="9">
        <v>6.3869999999999996</v>
      </c>
      <c r="J29" s="10" t="s">
        <v>5</v>
      </c>
      <c r="K29" s="17">
        <v>-0.28733468000000001</v>
      </c>
      <c r="L29" s="12">
        <v>2.121609E-2</v>
      </c>
      <c r="M29" s="16">
        <v>-1.2884500999999999</v>
      </c>
      <c r="N29" s="32">
        <v>2.121609E-2</v>
      </c>
      <c r="O29" s="33">
        <f>VLOOKUP(A29,'Colo205_Transcription factor'!A:N,7,FALSE)</f>
        <v>2.36</v>
      </c>
      <c r="P29" s="33">
        <f>VLOOKUP(A29,'Colo205_Transcription factor'!A:N,11,FALSE)</f>
        <v>0</v>
      </c>
      <c r="Q29" s="33">
        <f>VLOOKUP(A29,'Colo205_Transcription factor'!A:N,13,FALSE)</f>
        <v>0</v>
      </c>
    </row>
    <row r="30" spans="1:17" ht="15" customHeight="1">
      <c r="A30" s="8" t="str">
        <f>HYPERLINK("http://portal.genego.com/cgi/entity_page.cgi?term=100&amp;id=4319","IRF8")</f>
        <v>IRF8</v>
      </c>
      <c r="B30" s="9">
        <v>36</v>
      </c>
      <c r="C30" s="9">
        <v>1420</v>
      </c>
      <c r="D30" s="9">
        <v>251</v>
      </c>
      <c r="E30" s="9">
        <v>26819</v>
      </c>
      <c r="F30" s="9">
        <v>13.29</v>
      </c>
      <c r="G30" s="9">
        <v>2.7090000000000001</v>
      </c>
      <c r="H30" s="9">
        <v>5.4480000000000002E-8</v>
      </c>
      <c r="I30" s="9">
        <v>6.431</v>
      </c>
      <c r="J30" s="10"/>
      <c r="K30" s="14"/>
      <c r="L30" s="12"/>
      <c r="M30" s="14"/>
      <c r="N30" s="32"/>
      <c r="O30" s="33">
        <f>VLOOKUP(A30,'Colo205_Transcription factor'!A:N,7,FALSE)</f>
        <v>2.028</v>
      </c>
      <c r="P30" s="33">
        <f>VLOOKUP(A30,'Colo205_Transcription factor'!A:N,11,FALSE)</f>
        <v>0</v>
      </c>
      <c r="Q30" s="33">
        <f>VLOOKUP(A30,'Colo205_Transcription factor'!A:N,13,FALSE)</f>
        <v>0</v>
      </c>
    </row>
    <row r="31" spans="1:17" ht="15" customHeight="1">
      <c r="A31" s="8" t="str">
        <f>HYPERLINK("http://portal.genego.com/cgi/entity_page.cgi?term=100&amp;id=2182","FKHR")</f>
        <v>FKHR</v>
      </c>
      <c r="B31" s="9">
        <v>37</v>
      </c>
      <c r="C31" s="9">
        <v>1420</v>
      </c>
      <c r="D31" s="9">
        <v>268</v>
      </c>
      <c r="E31" s="9">
        <v>26819</v>
      </c>
      <c r="F31" s="9">
        <v>14.19</v>
      </c>
      <c r="G31" s="9">
        <v>2.6070000000000002</v>
      </c>
      <c r="H31" s="9">
        <v>9.7440000000000004E-8</v>
      </c>
      <c r="I31" s="9">
        <v>6.2530000000000001</v>
      </c>
      <c r="J31" s="10"/>
      <c r="K31" s="14"/>
      <c r="L31" s="12"/>
      <c r="M31" s="14"/>
      <c r="N31" s="32"/>
      <c r="O31" s="33">
        <f>VLOOKUP(A31,'Colo205_Transcription factor'!A:N,7,FALSE)</f>
        <v>2.6589999999999998</v>
      </c>
      <c r="P31" s="33">
        <f>VLOOKUP(A31,'Colo205_Transcription factor'!A:N,11,FALSE)</f>
        <v>1.0120233999999999</v>
      </c>
      <c r="Q31" s="33">
        <f>VLOOKUP(A31,'Colo205_Transcription factor'!A:N,13,FALSE)</f>
        <v>0.94531480000000001</v>
      </c>
    </row>
    <row r="32" spans="1:17" ht="15" customHeight="1">
      <c r="A32" s="8" t="str">
        <f>HYPERLINK("http://portal.genego.com/cgi/entity_page.cgi?term=100&amp;id=2483","Fra-1")</f>
        <v>Fra-1</v>
      </c>
      <c r="B32" s="9">
        <v>19</v>
      </c>
      <c r="C32" s="9">
        <v>1420</v>
      </c>
      <c r="D32" s="9">
        <v>88</v>
      </c>
      <c r="E32" s="9">
        <v>26819</v>
      </c>
      <c r="F32" s="9">
        <v>4.6589999999999998</v>
      </c>
      <c r="G32" s="9">
        <v>4.0780000000000003</v>
      </c>
      <c r="H32" s="9">
        <v>1.357E-7</v>
      </c>
      <c r="I32" s="9">
        <v>6.8380000000000001</v>
      </c>
      <c r="J32" s="10"/>
      <c r="K32" s="14"/>
      <c r="L32" s="12"/>
      <c r="M32" s="14"/>
      <c r="N32" s="32"/>
      <c r="O32" s="33">
        <f>VLOOKUP(A32,'Colo205_Transcription factor'!A:N,7,FALSE)</f>
        <v>2.5449999999999999</v>
      </c>
      <c r="P32" s="33">
        <f>VLOOKUP(A32,'Colo205_Transcription factor'!A:N,11,FALSE)</f>
        <v>0</v>
      </c>
      <c r="Q32" s="33">
        <f>VLOOKUP(A32,'Colo205_Transcription factor'!A:N,13,FALSE)</f>
        <v>0</v>
      </c>
    </row>
    <row r="33" spans="1:17" ht="15" customHeight="1">
      <c r="A33" s="8" t="str">
        <f>HYPERLINK("http://portal.genego.com/cgi/entity_page.cgi?term=100&amp;id=4387","EGR1")</f>
        <v>EGR1</v>
      </c>
      <c r="B33" s="9">
        <v>51</v>
      </c>
      <c r="C33" s="9">
        <v>1420</v>
      </c>
      <c r="D33" s="9">
        <v>442</v>
      </c>
      <c r="E33" s="9">
        <v>26819</v>
      </c>
      <c r="F33" s="9">
        <v>23.4</v>
      </c>
      <c r="G33" s="9">
        <v>2.1789999999999998</v>
      </c>
      <c r="H33" s="9">
        <v>1.617E-7</v>
      </c>
      <c r="I33" s="9">
        <v>5.9109999999999996</v>
      </c>
      <c r="J33" s="10" t="s">
        <v>6</v>
      </c>
      <c r="K33" s="16">
        <v>-1.5234996999999999</v>
      </c>
      <c r="L33" s="12">
        <v>9.5393750000000005E-6</v>
      </c>
      <c r="M33" s="16">
        <v>-1.5146704</v>
      </c>
      <c r="N33" s="32">
        <v>9.5393750000000005E-6</v>
      </c>
      <c r="O33" s="33">
        <f>VLOOKUP(A33,'Colo205_Transcription factor'!A:N,7,FALSE)</f>
        <v>1.9350000000000001</v>
      </c>
      <c r="P33" s="33">
        <f>VLOOKUP(A33,'Colo205_Transcription factor'!A:N,11,FALSE)</f>
        <v>0</v>
      </c>
      <c r="Q33" s="33">
        <f>VLOOKUP(A33,'Colo205_Transcription factor'!A:N,13,FALSE)</f>
        <v>0</v>
      </c>
    </row>
    <row r="34" spans="1:17" ht="15" customHeight="1">
      <c r="A34" s="8" t="str">
        <f>HYPERLINK("http://portal.genego.com/cgi/entity_page.cgi?term=100&amp;id=1100","PR (nuclear)")</f>
        <v>PR (nuclear)</v>
      </c>
      <c r="B34" s="9">
        <v>36</v>
      </c>
      <c r="C34" s="9">
        <v>1420</v>
      </c>
      <c r="D34" s="9">
        <v>263</v>
      </c>
      <c r="E34" s="9">
        <v>26819</v>
      </c>
      <c r="F34" s="9">
        <v>13.93</v>
      </c>
      <c r="G34" s="9">
        <v>2.585</v>
      </c>
      <c r="H34" s="9">
        <v>1.793E-7</v>
      </c>
      <c r="I34" s="9">
        <v>6.109</v>
      </c>
      <c r="J34" s="10"/>
      <c r="K34" s="14"/>
      <c r="L34" s="12"/>
      <c r="M34" s="14"/>
      <c r="N34" s="32"/>
      <c r="O34" s="33">
        <f>VLOOKUP(A34,'Colo205_Transcription factor'!A:N,7,FALSE)</f>
        <v>2.8650000000000002</v>
      </c>
      <c r="P34" s="33">
        <f>VLOOKUP(A34,'Colo205_Transcription factor'!A:N,11,FALSE)</f>
        <v>0</v>
      </c>
      <c r="Q34" s="33">
        <f>VLOOKUP(A34,'Colo205_Transcription factor'!A:N,13,FALSE)</f>
        <v>0</v>
      </c>
    </row>
    <row r="35" spans="1:17" ht="15" customHeight="1">
      <c r="A35" s="8" t="str">
        <f>HYPERLINK("http://portal.genego.com/cgi/entity_page.cgi?term=100&amp;id=4517","WT1")</f>
        <v>WT1</v>
      </c>
      <c r="B35" s="9">
        <v>27</v>
      </c>
      <c r="C35" s="9">
        <v>1420</v>
      </c>
      <c r="D35" s="9">
        <v>171</v>
      </c>
      <c r="E35" s="9">
        <v>26819</v>
      </c>
      <c r="F35" s="9">
        <v>9.0540000000000003</v>
      </c>
      <c r="G35" s="9">
        <v>2.9820000000000002</v>
      </c>
      <c r="H35" s="9">
        <v>3.5310000000000001E-7</v>
      </c>
      <c r="I35" s="9">
        <v>6.1479999999999997</v>
      </c>
      <c r="J35" s="10"/>
      <c r="K35" s="14"/>
      <c r="L35" s="12"/>
      <c r="M35" s="14"/>
      <c r="N35" s="32"/>
      <c r="O35" s="33">
        <f>VLOOKUP(A35,'Colo205_Transcription factor'!A:N,7,FALSE)</f>
        <v>2.5009999999999999</v>
      </c>
      <c r="P35" s="33">
        <f>VLOOKUP(A35,'Colo205_Transcription factor'!A:N,11,FALSE)</f>
        <v>0</v>
      </c>
      <c r="Q35" s="33">
        <f>VLOOKUP(A35,'Colo205_Transcription factor'!A:N,13,FALSE)</f>
        <v>0</v>
      </c>
    </row>
    <row r="36" spans="1:17" ht="15" customHeight="1">
      <c r="A36" s="8" t="str">
        <f>HYPERLINK("http://portal.genego.com/cgi/entity_page.cgi?term=100&amp;id=6011","SMAD2")</f>
        <v>SMAD2</v>
      </c>
      <c r="B36" s="9">
        <v>24</v>
      </c>
      <c r="C36" s="9">
        <v>1420</v>
      </c>
      <c r="D36" s="9">
        <v>143</v>
      </c>
      <c r="E36" s="9">
        <v>26819</v>
      </c>
      <c r="F36" s="9">
        <v>7.5709999999999997</v>
      </c>
      <c r="G36" s="9">
        <v>3.17</v>
      </c>
      <c r="H36" s="9">
        <v>4.9819999999999995E-7</v>
      </c>
      <c r="I36" s="9">
        <v>6.1509999999999998</v>
      </c>
      <c r="J36" s="10"/>
      <c r="K36" s="14"/>
      <c r="L36" s="12"/>
      <c r="M36" s="14"/>
      <c r="N36" s="32"/>
      <c r="O36" s="33">
        <f>VLOOKUP(A36,'Colo205_Transcription factor'!A:N,7,FALSE)</f>
        <v>2.8479999999999999</v>
      </c>
      <c r="P36" s="33">
        <f>VLOOKUP(A36,'Colo205_Transcription factor'!A:N,11,FALSE)</f>
        <v>0</v>
      </c>
      <c r="Q36" s="33">
        <f>VLOOKUP(A36,'Colo205_Transcription factor'!A:N,13,FALSE)</f>
        <v>0</v>
      </c>
    </row>
    <row r="37" spans="1:17" ht="15" customHeight="1">
      <c r="A37" s="8" t="str">
        <f>HYPERLINK("http://portal.genego.com/cgi/entity_page.cgi?term=100&amp;id=721","STAT1")</f>
        <v>STAT1</v>
      </c>
      <c r="B37" s="9">
        <v>41</v>
      </c>
      <c r="C37" s="9">
        <v>1420</v>
      </c>
      <c r="D37" s="9">
        <v>340</v>
      </c>
      <c r="E37" s="9">
        <v>26819</v>
      </c>
      <c r="F37" s="9">
        <v>18</v>
      </c>
      <c r="G37" s="9">
        <v>2.278</v>
      </c>
      <c r="H37" s="9">
        <v>8.2839999999999998E-7</v>
      </c>
      <c r="I37" s="9">
        <v>5.6050000000000004</v>
      </c>
      <c r="J37" s="10"/>
      <c r="K37" s="14"/>
      <c r="L37" s="12"/>
      <c r="M37" s="14"/>
      <c r="N37" s="32"/>
      <c r="O37" s="33">
        <f>VLOOKUP(A37,'Colo205_Transcription factor'!A:N,7,FALSE)</f>
        <v>2.5750000000000002</v>
      </c>
      <c r="P37" s="33">
        <f>VLOOKUP(A37,'Colo205_Transcription factor'!A:N,11,FALSE)</f>
        <v>0</v>
      </c>
      <c r="Q37" s="33">
        <f>VLOOKUP(A37,'Colo205_Transcription factor'!A:N,13,FALSE)</f>
        <v>0</v>
      </c>
    </row>
    <row r="38" spans="1:17" ht="15" customHeight="1">
      <c r="A38" s="8" t="str">
        <f>HYPERLINK("http://portal.genego.com/cgi/entity_page.cgi?term=100&amp;id=58","AHR")</f>
        <v>AHR</v>
      </c>
      <c r="B38" s="9">
        <v>34</v>
      </c>
      <c r="C38" s="9">
        <v>1420</v>
      </c>
      <c r="D38" s="9">
        <v>257</v>
      </c>
      <c r="E38" s="9">
        <v>26819</v>
      </c>
      <c r="F38" s="9">
        <v>13.61</v>
      </c>
      <c r="G38" s="9">
        <v>2.4990000000000001</v>
      </c>
      <c r="H38" s="9">
        <v>8.6759999999999996E-7</v>
      </c>
      <c r="I38" s="9">
        <v>5.7080000000000002</v>
      </c>
      <c r="J38" s="10"/>
      <c r="K38" s="14"/>
      <c r="L38" s="12"/>
      <c r="M38" s="14"/>
      <c r="N38" s="32"/>
      <c r="O38" s="33">
        <f>VLOOKUP(A38,'Colo205_Transcription factor'!A:N,7,FALSE)</f>
        <v>2.536</v>
      </c>
      <c r="P38" s="33">
        <f>VLOOKUP(A38,'Colo205_Transcription factor'!A:N,11,FALSE)</f>
        <v>0</v>
      </c>
      <c r="Q38" s="33">
        <f>VLOOKUP(A38,'Colo205_Transcription factor'!A:N,13,FALSE)</f>
        <v>0</v>
      </c>
    </row>
    <row r="39" spans="1:17" ht="15" customHeight="1">
      <c r="A39" s="8" t="str">
        <f>HYPERLINK("http://portal.genego.com/cgi/entity_page.cgi?term=100&amp;id=4363","GATA-2")</f>
        <v>GATA-2</v>
      </c>
      <c r="B39" s="9">
        <v>29</v>
      </c>
      <c r="C39" s="9">
        <v>1420</v>
      </c>
      <c r="D39" s="9">
        <v>201</v>
      </c>
      <c r="E39" s="9">
        <v>26819</v>
      </c>
      <c r="F39" s="9">
        <v>10.64</v>
      </c>
      <c r="G39" s="9">
        <v>2.7250000000000001</v>
      </c>
      <c r="H39" s="9">
        <v>9.1849999999999997E-7</v>
      </c>
      <c r="I39" s="9">
        <v>5.8040000000000003</v>
      </c>
      <c r="J39" s="10"/>
      <c r="K39" s="14"/>
      <c r="L39" s="12"/>
      <c r="M39" s="14"/>
      <c r="N39" s="32"/>
      <c r="O39" s="33">
        <f>VLOOKUP(A39,'Colo205_Transcription factor'!A:N,7,FALSE)</f>
        <v>2.431</v>
      </c>
      <c r="P39" s="33">
        <f>VLOOKUP(A39,'Colo205_Transcription factor'!A:N,11,FALSE)</f>
        <v>0</v>
      </c>
      <c r="Q39" s="33">
        <f>VLOOKUP(A39,'Colo205_Transcription factor'!A:N,13,FALSE)</f>
        <v>0</v>
      </c>
    </row>
    <row r="40" spans="1:17" ht="15" customHeight="1">
      <c r="A40" s="8" t="str">
        <f>HYPERLINK("http://portal.genego.com/cgi/entity_page.cgi?term=100&amp;id=-1859973767","NRSF")</f>
        <v>NRSF</v>
      </c>
      <c r="B40" s="9">
        <v>49</v>
      </c>
      <c r="C40" s="9">
        <v>1420</v>
      </c>
      <c r="D40" s="9">
        <v>444</v>
      </c>
      <c r="E40" s="9">
        <v>26819</v>
      </c>
      <c r="F40" s="9">
        <v>23.51</v>
      </c>
      <c r="G40" s="9">
        <v>2.0840000000000001</v>
      </c>
      <c r="H40" s="9">
        <v>1.048E-6</v>
      </c>
      <c r="I40" s="9">
        <v>5.4480000000000004</v>
      </c>
      <c r="J40" s="10"/>
      <c r="K40" s="14"/>
      <c r="L40" s="12"/>
      <c r="M40" s="14"/>
      <c r="N40" s="32"/>
      <c r="O40" s="33">
        <f>VLOOKUP(A40,'Colo205_Transcription factor'!A:N,7,FALSE)</f>
        <v>1.6970000000000001</v>
      </c>
      <c r="P40" s="33">
        <f>VLOOKUP(A40,'Colo205_Transcription factor'!A:N,11,FALSE)</f>
        <v>0</v>
      </c>
      <c r="Q40" s="33">
        <f>VLOOKUP(A40,'Colo205_Transcription factor'!A:N,13,FALSE)</f>
        <v>0</v>
      </c>
    </row>
    <row r="41" spans="1:17" ht="15" customHeight="1">
      <c r="A41" s="8" t="str">
        <f>HYPERLINK("http://portal.genego.com/cgi/entity_page.cgi?term=100&amp;id=-592889684","NANOG")</f>
        <v>NANOG</v>
      </c>
      <c r="B41" s="9">
        <v>69</v>
      </c>
      <c r="C41" s="9">
        <v>1420</v>
      </c>
      <c r="D41" s="9">
        <v>714</v>
      </c>
      <c r="E41" s="9">
        <v>26819</v>
      </c>
      <c r="F41" s="9">
        <v>37.799999999999997</v>
      </c>
      <c r="G41" s="9">
        <v>1.825</v>
      </c>
      <c r="H41" s="9">
        <v>1.1179999999999999E-6</v>
      </c>
      <c r="I41" s="9">
        <v>5.2839999999999998</v>
      </c>
      <c r="J41" s="10"/>
      <c r="K41" s="14"/>
      <c r="L41" s="12"/>
      <c r="M41" s="14"/>
      <c r="N41" s="32"/>
      <c r="O41" s="33">
        <f>VLOOKUP(A41,'Colo205_Transcription factor'!A:N,7,FALSE)</f>
        <v>1.512</v>
      </c>
      <c r="P41" s="33">
        <f>VLOOKUP(A41,'Colo205_Transcription factor'!A:N,11,FALSE)</f>
        <v>0</v>
      </c>
      <c r="Q41" s="33">
        <f>VLOOKUP(A41,'Colo205_Transcription factor'!A:N,13,FALSE)</f>
        <v>0</v>
      </c>
    </row>
    <row r="42" spans="1:17" ht="15" customHeight="1">
      <c r="A42" s="8" t="str">
        <f>HYPERLINK("http://portal.genego.com/cgi/entity_page.cgi?term=100&amp;id=-1821599095","Pitx2")</f>
        <v>Pitx2</v>
      </c>
      <c r="B42" s="9">
        <v>15</v>
      </c>
      <c r="C42" s="9">
        <v>1420</v>
      </c>
      <c r="D42" s="9">
        <v>65</v>
      </c>
      <c r="E42" s="9">
        <v>26819</v>
      </c>
      <c r="F42" s="9">
        <v>3.4420000000000002</v>
      </c>
      <c r="G42" s="9">
        <v>4.3579999999999997</v>
      </c>
      <c r="H42" s="9">
        <v>1.1349999999999999E-6</v>
      </c>
      <c r="I42" s="9">
        <v>6.41</v>
      </c>
      <c r="J42" s="10"/>
      <c r="K42" s="14"/>
      <c r="L42" s="12"/>
      <c r="M42" s="14"/>
      <c r="N42" s="32"/>
      <c r="O42" s="33">
        <f>VLOOKUP(A42,'Colo205_Transcription factor'!A:N,7,FALSE)</f>
        <v>3.133</v>
      </c>
      <c r="P42" s="33">
        <f>VLOOKUP(A42,'Colo205_Transcription factor'!A:N,11,FALSE)</f>
        <v>0</v>
      </c>
      <c r="Q42" s="33">
        <f>VLOOKUP(A42,'Colo205_Transcription factor'!A:N,13,FALSE)</f>
        <v>0</v>
      </c>
    </row>
    <row r="43" spans="1:17" ht="15" customHeight="1">
      <c r="A43" s="8" t="str">
        <f>HYPERLINK("http://portal.genego.com/cgi/entity_page.cgi?term=100&amp;id=2170","FOXO3A")</f>
        <v>FOXO3A</v>
      </c>
      <c r="B43" s="9">
        <v>28</v>
      </c>
      <c r="C43" s="9">
        <v>1420</v>
      </c>
      <c r="D43" s="9">
        <v>193</v>
      </c>
      <c r="E43" s="9">
        <v>26819</v>
      </c>
      <c r="F43" s="9">
        <v>10.220000000000001</v>
      </c>
      <c r="G43" s="9">
        <v>2.74</v>
      </c>
      <c r="H43" s="9">
        <v>1.257E-6</v>
      </c>
      <c r="I43" s="9">
        <v>5.7359999999999998</v>
      </c>
      <c r="J43" s="10"/>
      <c r="K43" s="14"/>
      <c r="L43" s="12"/>
      <c r="M43" s="14"/>
      <c r="N43" s="32"/>
      <c r="O43" s="33">
        <f>VLOOKUP(A43,'Colo205_Transcription factor'!A:N,7,FALSE)</f>
        <v>2.7429999999999999</v>
      </c>
      <c r="P43" s="33">
        <f>VLOOKUP(A43,'Colo205_Transcription factor'!A:N,11,FALSE)</f>
        <v>0</v>
      </c>
      <c r="Q43" s="33">
        <f>VLOOKUP(A43,'Colo205_Transcription factor'!A:N,13,FALSE)</f>
        <v>0</v>
      </c>
    </row>
    <row r="44" spans="1:17" ht="15" customHeight="1">
      <c r="A44" s="8" t="str">
        <f>HYPERLINK("http://portal.genego.com/cgi/entity_page.cgi?term=100&amp;id=4346","RARalpha")</f>
        <v>RARalpha</v>
      </c>
      <c r="B44" s="9">
        <v>23</v>
      </c>
      <c r="C44" s="9">
        <v>1420</v>
      </c>
      <c r="D44" s="9">
        <v>141</v>
      </c>
      <c r="E44" s="9">
        <v>26819</v>
      </c>
      <c r="F44" s="9">
        <v>7.4660000000000002</v>
      </c>
      <c r="G44" s="9">
        <v>3.081</v>
      </c>
      <c r="H44" s="9">
        <v>1.4279999999999999E-6</v>
      </c>
      <c r="I44" s="9">
        <v>5.8570000000000002</v>
      </c>
      <c r="J44" s="10"/>
      <c r="K44" s="14"/>
      <c r="L44" s="12"/>
      <c r="M44" s="14"/>
      <c r="N44" s="32"/>
      <c r="O44" s="33">
        <f>VLOOKUP(A44,'Colo205_Transcription factor'!A:N,7,FALSE)</f>
        <v>2.8879999999999999</v>
      </c>
      <c r="P44" s="33">
        <f>VLOOKUP(A44,'Colo205_Transcription factor'!A:N,11,FALSE)</f>
        <v>0</v>
      </c>
      <c r="Q44" s="33">
        <f>VLOOKUP(A44,'Colo205_Transcription factor'!A:N,13,FALSE)</f>
        <v>0</v>
      </c>
    </row>
    <row r="45" spans="1:17" ht="15" customHeight="1">
      <c r="A45" s="8" t="str">
        <f>HYPERLINK("http://portal.genego.com/cgi/entity_page.cgi?term=100&amp;id=4334","ERG")</f>
        <v>ERG</v>
      </c>
      <c r="B45" s="9">
        <v>18</v>
      </c>
      <c r="C45" s="9">
        <v>1420</v>
      </c>
      <c r="D45" s="9">
        <v>97</v>
      </c>
      <c r="E45" s="9">
        <v>26819</v>
      </c>
      <c r="F45" s="9">
        <v>5.1360000000000001</v>
      </c>
      <c r="G45" s="9">
        <v>3.5049999999999999</v>
      </c>
      <c r="H45" s="9">
        <v>2.9859999999999999E-6</v>
      </c>
      <c r="I45" s="9">
        <v>5.843</v>
      </c>
      <c r="J45" s="10"/>
      <c r="K45" s="14"/>
      <c r="L45" s="12"/>
      <c r="M45" s="14"/>
      <c r="N45" s="32"/>
      <c r="O45" s="33">
        <f>VLOOKUP(A45,'Colo205_Transcription factor'!A:N,7,FALSE)</f>
        <v>2.9390000000000001</v>
      </c>
      <c r="P45" s="33">
        <f>VLOOKUP(A45,'Colo205_Transcription factor'!A:N,11,FALSE)</f>
        <v>0</v>
      </c>
      <c r="Q45" s="33">
        <f>VLOOKUP(A45,'Colo205_Transcription factor'!A:N,13,FALSE)</f>
        <v>0</v>
      </c>
    </row>
    <row r="46" spans="1:17" ht="15" customHeight="1">
      <c r="A46" s="8" t="str">
        <f>HYPERLINK("http://portal.genego.com/cgi/entity_page.cgi?term=100&amp;id=2940","ETS2")</f>
        <v>ETS2</v>
      </c>
      <c r="B46" s="9">
        <v>21</v>
      </c>
      <c r="C46" s="9">
        <v>1420</v>
      </c>
      <c r="D46" s="9">
        <v>127</v>
      </c>
      <c r="E46" s="9">
        <v>26819</v>
      </c>
      <c r="F46" s="9">
        <v>6.7240000000000002</v>
      </c>
      <c r="G46" s="9">
        <v>3.1230000000000002</v>
      </c>
      <c r="H46" s="9">
        <v>3.2320000000000001E-6</v>
      </c>
      <c r="I46" s="9">
        <v>5.67</v>
      </c>
      <c r="J46" s="10"/>
      <c r="K46" s="14"/>
      <c r="L46" s="12"/>
      <c r="M46" s="14"/>
      <c r="N46" s="32"/>
      <c r="O46" s="33">
        <f>VLOOKUP(A46,'Colo205_Transcription factor'!A:N,7,FALSE)</f>
        <v>2.726</v>
      </c>
      <c r="P46" s="33">
        <f>VLOOKUP(A46,'Colo205_Transcription factor'!A:N,11,FALSE)</f>
        <v>0</v>
      </c>
      <c r="Q46" s="33">
        <f>VLOOKUP(A46,'Colo205_Transcription factor'!A:N,13,FALSE)</f>
        <v>0</v>
      </c>
    </row>
    <row r="47" spans="1:17" ht="15" customHeight="1">
      <c r="A47" s="8" t="str">
        <f>HYPERLINK("http://portal.genego.com/cgi/entity_page.cgi?term=100&amp;id=-1824174417","LHX2")</f>
        <v>LHX2</v>
      </c>
      <c r="B47" s="9">
        <v>42</v>
      </c>
      <c r="C47" s="9">
        <v>1420</v>
      </c>
      <c r="D47" s="9">
        <v>377</v>
      </c>
      <c r="E47" s="9">
        <v>26819</v>
      </c>
      <c r="F47" s="9">
        <v>19.96</v>
      </c>
      <c r="G47" s="9">
        <v>2.1040000000000001</v>
      </c>
      <c r="H47" s="9">
        <v>4.7700000000000001E-6</v>
      </c>
      <c r="I47" s="9">
        <v>5.1050000000000004</v>
      </c>
      <c r="J47" s="10" t="s">
        <v>7</v>
      </c>
      <c r="K47" s="16">
        <v>-1.4887885999999999</v>
      </c>
      <c r="L47" s="12">
        <v>7.5587600000000003E-3</v>
      </c>
      <c r="M47" s="17">
        <v>-0.32522773999999999</v>
      </c>
      <c r="N47" s="32">
        <v>7.5587600000000003E-3</v>
      </c>
      <c r="O47" s="33">
        <f>VLOOKUP(A47,'Colo205_Transcription factor'!A:N,7,FALSE)</f>
        <v>2.7549999999999999</v>
      </c>
      <c r="P47" s="33">
        <f>VLOOKUP(A47,'Colo205_Transcription factor'!A:N,11,FALSE)</f>
        <v>0</v>
      </c>
      <c r="Q47" s="33">
        <f>VLOOKUP(A47,'Colo205_Transcription factor'!A:N,13,FALSE)</f>
        <v>0</v>
      </c>
    </row>
    <row r="48" spans="1:17" ht="15" customHeight="1">
      <c r="A48" s="8" t="str">
        <f>HYPERLINK("http://portal.genego.com/cgi/entity_page.cgi?term=100&amp;id=6095","NF-AT2(NFATC1)")</f>
        <v>NF-AT2(NFATC1)</v>
      </c>
      <c r="B48" s="9">
        <v>20</v>
      </c>
      <c r="C48" s="9">
        <v>1420</v>
      </c>
      <c r="D48" s="9">
        <v>121</v>
      </c>
      <c r="E48" s="9">
        <v>26819</v>
      </c>
      <c r="F48" s="9">
        <v>6.407</v>
      </c>
      <c r="G48" s="9">
        <v>3.1219999999999999</v>
      </c>
      <c r="H48" s="9">
        <v>5.5310000000000001E-6</v>
      </c>
      <c r="I48" s="9">
        <v>5.5309999999999997</v>
      </c>
      <c r="J48" s="10"/>
      <c r="K48" s="14"/>
      <c r="L48" s="12"/>
      <c r="M48" s="14"/>
      <c r="N48" s="32"/>
      <c r="O48" s="33">
        <f>VLOOKUP(A48,'Colo205_Transcription factor'!A:N,7,FALSE)</f>
        <v>3.198</v>
      </c>
      <c r="P48" s="33">
        <f>VLOOKUP(A48,'Colo205_Transcription factor'!A:N,11,FALSE)</f>
        <v>0</v>
      </c>
      <c r="Q48" s="33">
        <f>VLOOKUP(A48,'Colo205_Transcription factor'!A:N,13,FALSE)</f>
        <v>0</v>
      </c>
    </row>
    <row r="49" spans="1:17" ht="15" customHeight="1">
      <c r="A49" s="8" t="str">
        <f>HYPERLINK("http://portal.genego.com/cgi/entity_page.cgi?term=100&amp;id=-1265324149","ZNF143")</f>
        <v>ZNF143</v>
      </c>
      <c r="B49" s="9">
        <v>24</v>
      </c>
      <c r="C49" s="9">
        <v>1420</v>
      </c>
      <c r="D49" s="9">
        <v>980</v>
      </c>
      <c r="E49" s="9">
        <v>26819</v>
      </c>
      <c r="F49" s="9">
        <v>51.89</v>
      </c>
      <c r="G49" s="9">
        <v>0.46250000000000002</v>
      </c>
      <c r="H49" s="9">
        <v>5.9479999999999996E-6</v>
      </c>
      <c r="I49" s="9">
        <v>-4.0529999999999999</v>
      </c>
      <c r="J49" s="10"/>
      <c r="K49" s="14"/>
      <c r="L49" s="12"/>
      <c r="M49" s="14"/>
      <c r="N49" s="32"/>
      <c r="O49" s="33" t="e">
        <f>VLOOKUP(A49,'Colo205_Transcription factor'!A:N,7,FALSE)</f>
        <v>#N/A</v>
      </c>
      <c r="P49" s="33" t="e">
        <f>VLOOKUP(A49,'Colo205_Transcription factor'!A:N,11,FALSE)</f>
        <v>#N/A</v>
      </c>
      <c r="Q49" s="33" t="e">
        <f>VLOOKUP(A49,'Colo205_Transcription factor'!A:N,13,FALSE)</f>
        <v>#N/A</v>
      </c>
    </row>
    <row r="50" spans="1:17" ht="15" customHeight="1">
      <c r="A50" s="8" t="str">
        <f>HYPERLINK("http://portal.genego.com/cgi/entity_page.cgi?term=100&amp;id=4316","RXRA")</f>
        <v>RXRA</v>
      </c>
      <c r="B50" s="9">
        <v>25</v>
      </c>
      <c r="C50" s="9">
        <v>1420</v>
      </c>
      <c r="D50" s="9">
        <v>177</v>
      </c>
      <c r="E50" s="9">
        <v>26819</v>
      </c>
      <c r="F50" s="9">
        <v>9.3719999999999999</v>
      </c>
      <c r="G50" s="9">
        <v>2.6680000000000001</v>
      </c>
      <c r="H50" s="9">
        <v>7.4200000000000001E-6</v>
      </c>
      <c r="I50" s="9">
        <v>5.2629999999999999</v>
      </c>
      <c r="J50" s="10"/>
      <c r="K50" s="14"/>
      <c r="L50" s="12"/>
      <c r="M50" s="14"/>
      <c r="N50" s="32"/>
      <c r="O50" s="33">
        <f>VLOOKUP(A50,'Colo205_Transcription factor'!A:N,7,FALSE)</f>
        <v>2.6459999999999999</v>
      </c>
      <c r="P50" s="33">
        <f>VLOOKUP(A50,'Colo205_Transcription factor'!A:N,11,FALSE)</f>
        <v>0</v>
      </c>
      <c r="Q50" s="33">
        <f>VLOOKUP(A50,'Colo205_Transcription factor'!A:N,13,FALSE)</f>
        <v>0</v>
      </c>
    </row>
    <row r="51" spans="1:17" ht="15" customHeight="1">
      <c r="A51" s="8" t="str">
        <f>HYPERLINK("http://portal.genego.com/cgi/entity_page.cgi?term=100&amp;id=4383","PEA3")</f>
        <v>PEA3</v>
      </c>
      <c r="B51" s="9">
        <v>15</v>
      </c>
      <c r="C51" s="9">
        <v>1420</v>
      </c>
      <c r="D51" s="9">
        <v>75</v>
      </c>
      <c r="E51" s="9">
        <v>26819</v>
      </c>
      <c r="F51" s="9">
        <v>3.9710000000000001</v>
      </c>
      <c r="G51" s="9">
        <v>3.7770000000000001</v>
      </c>
      <c r="H51" s="9">
        <v>7.5800000000000003E-6</v>
      </c>
      <c r="I51" s="9">
        <v>5.6950000000000003</v>
      </c>
      <c r="J51" s="10"/>
      <c r="K51" s="14"/>
      <c r="L51" s="12"/>
      <c r="M51" s="14"/>
      <c r="N51" s="32"/>
      <c r="O51" s="33" t="e">
        <f>VLOOKUP(A51,'Colo205_Transcription factor'!A:N,7,FALSE)</f>
        <v>#N/A</v>
      </c>
      <c r="P51" s="33" t="e">
        <f>VLOOKUP(A51,'Colo205_Transcription factor'!A:N,11,FALSE)</f>
        <v>#N/A</v>
      </c>
      <c r="Q51" s="33" t="e">
        <f>VLOOKUP(A51,'Colo205_Transcription factor'!A:N,13,FALSE)</f>
        <v>#N/A</v>
      </c>
    </row>
    <row r="52" spans="1:17" ht="15" customHeight="1">
      <c r="A52" s="8" t="str">
        <f>HYPERLINK("http://portal.genego.com/cgi/entity_page.cgi?term=100&amp;id=28","FOXQ1 (HFH1)")</f>
        <v>FOXQ1 (HFH1)</v>
      </c>
      <c r="B52" s="9">
        <v>6</v>
      </c>
      <c r="C52" s="9">
        <v>1420</v>
      </c>
      <c r="D52" s="9">
        <v>11</v>
      </c>
      <c r="E52" s="9">
        <v>26819</v>
      </c>
      <c r="F52" s="9">
        <v>0.58240000000000003</v>
      </c>
      <c r="G52" s="9">
        <v>10.3</v>
      </c>
      <c r="H52" s="9">
        <v>8.0010000000000001E-6</v>
      </c>
      <c r="I52" s="9">
        <v>7.2960000000000003</v>
      </c>
      <c r="J52" s="10"/>
      <c r="K52" s="14"/>
      <c r="L52" s="12"/>
      <c r="M52" s="14"/>
      <c r="N52" s="32"/>
      <c r="O52" s="33">
        <f>VLOOKUP(A52,'Colo205_Transcription factor'!A:N,7,FALSE)</f>
        <v>9.2560000000000002</v>
      </c>
      <c r="P52" s="33">
        <f>VLOOKUP(A52,'Colo205_Transcription factor'!A:N,11,FALSE)</f>
        <v>0</v>
      </c>
      <c r="Q52" s="33">
        <f>VLOOKUP(A52,'Colo205_Transcription factor'!A:N,13,FALSE)</f>
        <v>0</v>
      </c>
    </row>
    <row r="53" spans="1:17" ht="15" customHeight="1">
      <c r="A53" s="8" t="str">
        <f>HYPERLINK("http://portal.genego.com/cgi/entity_page.cgi?term=100&amp;id=4407","CTCF")</f>
        <v>CTCF</v>
      </c>
      <c r="B53" s="9">
        <v>23</v>
      </c>
      <c r="C53" s="9">
        <v>1420</v>
      </c>
      <c r="D53" s="9">
        <v>156</v>
      </c>
      <c r="E53" s="9">
        <v>26819</v>
      </c>
      <c r="F53" s="9">
        <v>8.26</v>
      </c>
      <c r="G53" s="9">
        <v>2.7850000000000001</v>
      </c>
      <c r="H53" s="9">
        <v>8.2770000000000005E-6</v>
      </c>
      <c r="I53" s="9">
        <v>5.2859999999999996</v>
      </c>
      <c r="J53" s="10"/>
      <c r="K53" s="14"/>
      <c r="L53" s="12"/>
      <c r="M53" s="14"/>
      <c r="N53" s="32"/>
      <c r="O53" s="33">
        <f>VLOOKUP(A53,'Colo205_Transcription factor'!A:N,7,FALSE)</f>
        <v>2.089</v>
      </c>
      <c r="P53" s="33">
        <f>VLOOKUP(A53,'Colo205_Transcription factor'!A:N,11,FALSE)</f>
        <v>0</v>
      </c>
      <c r="Q53" s="33">
        <f>VLOOKUP(A53,'Colo205_Transcription factor'!A:N,13,FALSE)</f>
        <v>0</v>
      </c>
    </row>
    <row r="54" spans="1:17" ht="15" customHeight="1">
      <c r="A54" s="8" t="str">
        <f>HYPERLINK("http://portal.genego.com/cgi/entity_page.cgi?term=100&amp;id=6018","HNF4-alpha")</f>
        <v>HNF4-alpha</v>
      </c>
      <c r="B54" s="9">
        <v>51</v>
      </c>
      <c r="C54" s="9">
        <v>1420</v>
      </c>
      <c r="D54" s="9">
        <v>510</v>
      </c>
      <c r="E54" s="9">
        <v>26819</v>
      </c>
      <c r="F54" s="9">
        <v>27</v>
      </c>
      <c r="G54" s="9">
        <v>1.889</v>
      </c>
      <c r="H54" s="9">
        <v>1.0879999999999999E-5</v>
      </c>
      <c r="I54" s="9">
        <v>4.7910000000000004</v>
      </c>
      <c r="J54" s="10"/>
      <c r="K54" s="14"/>
      <c r="L54" s="12"/>
      <c r="M54" s="14"/>
      <c r="N54" s="32"/>
      <c r="O54" s="33">
        <f>VLOOKUP(A54,'Colo205_Transcription factor'!A:N,7,FALSE)</f>
        <v>1.7170000000000001</v>
      </c>
      <c r="P54" s="33">
        <f>VLOOKUP(A54,'Colo205_Transcription factor'!A:N,11,FALSE)</f>
        <v>0</v>
      </c>
      <c r="Q54" s="33">
        <f>VLOOKUP(A54,'Colo205_Transcription factor'!A:N,13,FALSE)</f>
        <v>0</v>
      </c>
    </row>
    <row r="55" spans="1:17" ht="15" customHeight="1">
      <c r="A55" s="8" t="str">
        <f>HYPERLINK("http://portal.genego.com/cgi/entity_page.cgi?term=100&amp;id=4366","C/EBPdelta")</f>
        <v>C/EBPdelta</v>
      </c>
      <c r="B55" s="9">
        <v>23</v>
      </c>
      <c r="C55" s="9">
        <v>1420</v>
      </c>
      <c r="D55" s="9">
        <v>160</v>
      </c>
      <c r="E55" s="9">
        <v>26819</v>
      </c>
      <c r="F55" s="9">
        <v>8.4719999999999995</v>
      </c>
      <c r="G55" s="9">
        <v>2.7149999999999999</v>
      </c>
      <c r="H55" s="9">
        <v>1.2660000000000001E-5</v>
      </c>
      <c r="I55" s="9">
        <v>5.1440000000000001</v>
      </c>
      <c r="J55" s="10"/>
      <c r="K55" s="14"/>
      <c r="L55" s="12"/>
      <c r="M55" s="14"/>
      <c r="N55" s="32"/>
      <c r="O55" s="33">
        <f>VLOOKUP(A55,'Colo205_Transcription factor'!A:N,7,FALSE)</f>
        <v>3.0550000000000002</v>
      </c>
      <c r="P55" s="33">
        <f>VLOOKUP(A55,'Colo205_Transcription factor'!A:N,11,FALSE)</f>
        <v>0</v>
      </c>
      <c r="Q55" s="33">
        <f>VLOOKUP(A55,'Colo205_Transcription factor'!A:N,13,FALSE)</f>
        <v>0</v>
      </c>
    </row>
    <row r="56" spans="1:17" ht="15" customHeight="1">
      <c r="A56" s="8" t="str">
        <f>HYPERLINK("http://portal.genego.com/cgi/entity_page.cgi?term=100&amp;id=-630625533","PAX6")</f>
        <v>PAX6</v>
      </c>
      <c r="B56" s="9">
        <v>20</v>
      </c>
      <c r="C56" s="9">
        <v>1420</v>
      </c>
      <c r="D56" s="9">
        <v>128</v>
      </c>
      <c r="E56" s="9">
        <v>26819</v>
      </c>
      <c r="F56" s="9">
        <v>6.7770000000000001</v>
      </c>
      <c r="G56" s="9">
        <v>2.9510000000000001</v>
      </c>
      <c r="H56" s="9">
        <v>1.3179999999999999E-5</v>
      </c>
      <c r="I56" s="9">
        <v>5.2320000000000002</v>
      </c>
      <c r="J56" s="10" t="s">
        <v>8</v>
      </c>
      <c r="K56" s="18">
        <v>-1.0620510000000001</v>
      </c>
      <c r="L56" s="12">
        <v>4.7658580000000004E-3</v>
      </c>
      <c r="M56" s="19">
        <v>-0.69281959999999998</v>
      </c>
      <c r="N56" s="32">
        <v>4.7658580000000004E-3</v>
      </c>
      <c r="O56" s="33" t="e">
        <f>VLOOKUP(A56,'Colo205_Transcription factor'!A:N,7,FALSE)</f>
        <v>#N/A</v>
      </c>
      <c r="P56" s="33" t="e">
        <f>VLOOKUP(A56,'Colo205_Transcription factor'!A:N,11,FALSE)</f>
        <v>#N/A</v>
      </c>
      <c r="Q56" s="33" t="e">
        <f>VLOOKUP(A56,'Colo205_Transcription factor'!A:N,13,FALSE)</f>
        <v>#N/A</v>
      </c>
    </row>
    <row r="57" spans="1:17" ht="15" customHeight="1">
      <c r="A57" s="8" t="str">
        <f>HYPERLINK("http://portal.genego.com/cgi/entity_page.cgi?term=100&amp;id=4297","SOX9")</f>
        <v>SOX9</v>
      </c>
      <c r="B57" s="9">
        <v>22</v>
      </c>
      <c r="C57" s="9">
        <v>1420</v>
      </c>
      <c r="D57" s="9">
        <v>150</v>
      </c>
      <c r="E57" s="9">
        <v>26819</v>
      </c>
      <c r="F57" s="9">
        <v>7.9420000000000002</v>
      </c>
      <c r="G57" s="9">
        <v>2.77</v>
      </c>
      <c r="H57" s="9">
        <v>1.4039999999999999E-5</v>
      </c>
      <c r="I57" s="9">
        <v>5.14</v>
      </c>
      <c r="J57" s="10"/>
      <c r="K57" s="14"/>
      <c r="L57" s="12"/>
      <c r="M57" s="14"/>
      <c r="N57" s="32"/>
      <c r="O57" s="33">
        <f>VLOOKUP(A57,'Colo205_Transcription factor'!A:N,7,FALSE)</f>
        <v>2.7149999999999999</v>
      </c>
      <c r="P57" s="33">
        <f>VLOOKUP(A57,'Colo205_Transcription factor'!A:N,11,FALSE)</f>
        <v>0</v>
      </c>
      <c r="Q57" s="33">
        <f>VLOOKUP(A57,'Colo205_Transcription factor'!A:N,13,FALSE)</f>
        <v>0</v>
      </c>
    </row>
    <row r="58" spans="1:17" ht="15" customHeight="1">
      <c r="A58" s="8" t="str">
        <f>HYPERLINK("http://portal.genego.com/cgi/entity_page.cgi?term=100&amp;id=6397","HOXC6")</f>
        <v>HOXC6</v>
      </c>
      <c r="B58" s="9">
        <v>8</v>
      </c>
      <c r="C58" s="9">
        <v>1420</v>
      </c>
      <c r="D58" s="9">
        <v>23</v>
      </c>
      <c r="E58" s="9">
        <v>26819</v>
      </c>
      <c r="F58" s="9">
        <v>1.218</v>
      </c>
      <c r="G58" s="9">
        <v>6.569</v>
      </c>
      <c r="H58" s="9">
        <v>1.453E-5</v>
      </c>
      <c r="I58" s="9">
        <v>6.3179999999999996</v>
      </c>
      <c r="J58" s="10"/>
      <c r="K58" s="14"/>
      <c r="L58" s="12"/>
      <c r="M58" s="14"/>
      <c r="N58" s="32"/>
      <c r="O58" s="33">
        <f>VLOOKUP(A58,'Colo205_Transcription factor'!A:N,7,FALSE)</f>
        <v>5.3120000000000003</v>
      </c>
      <c r="P58" s="33">
        <f>VLOOKUP(A58,'Colo205_Transcription factor'!A:N,11,FALSE)</f>
        <v>0</v>
      </c>
      <c r="Q58" s="33">
        <f>VLOOKUP(A58,'Colo205_Transcription factor'!A:N,13,FALSE)</f>
        <v>0</v>
      </c>
    </row>
    <row r="59" spans="1:17" ht="15" customHeight="1">
      <c r="A59" s="8" t="str">
        <f>HYPERLINK("http://portal.genego.com/cgi/entity_page.cgi?term=100&amp;id=2484","Fra-2")</f>
        <v>Fra-2</v>
      </c>
      <c r="B59" s="9">
        <v>15</v>
      </c>
      <c r="C59" s="9">
        <v>1420</v>
      </c>
      <c r="D59" s="9">
        <v>79</v>
      </c>
      <c r="E59" s="9">
        <v>26819</v>
      </c>
      <c r="F59" s="9">
        <v>4.1829999999999998</v>
      </c>
      <c r="G59" s="9">
        <v>3.5859999999999999</v>
      </c>
      <c r="H59" s="9">
        <v>1.469E-5</v>
      </c>
      <c r="I59" s="9">
        <v>5.4429999999999996</v>
      </c>
      <c r="J59" s="10"/>
      <c r="K59" s="14"/>
      <c r="L59" s="12"/>
      <c r="M59" s="14"/>
      <c r="N59" s="32"/>
      <c r="O59" s="33">
        <f>VLOOKUP(A59,'Colo205_Transcription factor'!A:N,7,FALSE)</f>
        <v>3.609</v>
      </c>
      <c r="P59" s="33">
        <f>VLOOKUP(A59,'Colo205_Transcription factor'!A:N,11,FALSE)</f>
        <v>0</v>
      </c>
      <c r="Q59" s="33">
        <f>VLOOKUP(A59,'Colo205_Transcription factor'!A:N,13,FALSE)</f>
        <v>0</v>
      </c>
    </row>
    <row r="60" spans="1:17" ht="15" customHeight="1">
      <c r="A60" s="8" t="str">
        <f>HYPERLINK("http://portal.genego.com/cgi/entity_page.cgi?term=100&amp;id=6394","hASH1")</f>
        <v>hASH1</v>
      </c>
      <c r="B60" s="9">
        <v>13</v>
      </c>
      <c r="C60" s="9">
        <v>1420</v>
      </c>
      <c r="D60" s="9">
        <v>61</v>
      </c>
      <c r="E60" s="9">
        <v>26819</v>
      </c>
      <c r="F60" s="9">
        <v>3.23</v>
      </c>
      <c r="G60" s="9">
        <v>4.0250000000000004</v>
      </c>
      <c r="H60" s="9">
        <v>1.4769999999999999E-5</v>
      </c>
      <c r="I60" s="9">
        <v>5.593</v>
      </c>
      <c r="J60" s="10"/>
      <c r="K60" s="14"/>
      <c r="L60" s="12"/>
      <c r="M60" s="14"/>
      <c r="N60" s="32"/>
      <c r="O60" s="33" t="e">
        <f>VLOOKUP(A60,'Colo205_Transcription factor'!A:N,7,FALSE)</f>
        <v>#N/A</v>
      </c>
      <c r="P60" s="33" t="e">
        <f>VLOOKUP(A60,'Colo205_Transcription factor'!A:N,11,FALSE)</f>
        <v>#N/A</v>
      </c>
      <c r="Q60" s="33" t="e">
        <f>VLOOKUP(A60,'Colo205_Transcription factor'!A:N,13,FALSE)</f>
        <v>#N/A</v>
      </c>
    </row>
    <row r="61" spans="1:17" ht="15" customHeight="1">
      <c r="A61" s="8" t="str">
        <f>HYPERLINK("http://portal.genego.com/cgi/entity_page.cgi?term=100&amp;id=4129","AP-2A")</f>
        <v>AP-2A</v>
      </c>
      <c r="B61" s="9">
        <v>31</v>
      </c>
      <c r="C61" s="9">
        <v>1420</v>
      </c>
      <c r="D61" s="9">
        <v>255</v>
      </c>
      <c r="E61" s="9">
        <v>26819</v>
      </c>
      <c r="F61" s="9">
        <v>13.5</v>
      </c>
      <c r="G61" s="9">
        <v>2.2959999999999998</v>
      </c>
      <c r="H61" s="9">
        <v>1.4800000000000001E-5</v>
      </c>
      <c r="I61" s="9">
        <v>4.9169999999999998</v>
      </c>
      <c r="J61" s="10"/>
      <c r="K61" s="14"/>
      <c r="L61" s="12"/>
      <c r="M61" s="14"/>
      <c r="N61" s="32"/>
      <c r="O61" s="33">
        <f>VLOOKUP(A61,'Colo205_Transcription factor'!A:N,7,FALSE)</f>
        <v>1.837</v>
      </c>
      <c r="P61" s="33">
        <f>VLOOKUP(A61,'Colo205_Transcription factor'!A:N,11,FALSE)</f>
        <v>0</v>
      </c>
      <c r="Q61" s="33">
        <f>VLOOKUP(A61,'Colo205_Transcription factor'!A:N,13,FALSE)</f>
        <v>0</v>
      </c>
    </row>
    <row r="62" spans="1:17" ht="15" customHeight="1">
      <c r="A62" s="8" t="str">
        <f>HYPERLINK("http://portal.genego.com/cgi/entity_page.cgi?term=100&amp;id=313","GLI-1")</f>
        <v>GLI-1</v>
      </c>
      <c r="B62" s="9">
        <v>15</v>
      </c>
      <c r="C62" s="9">
        <v>1420</v>
      </c>
      <c r="D62" s="9">
        <v>80</v>
      </c>
      <c r="E62" s="9">
        <v>26819</v>
      </c>
      <c r="F62" s="9">
        <v>4.2359999999999998</v>
      </c>
      <c r="G62" s="9">
        <v>3.5409999999999999</v>
      </c>
      <c r="H62" s="9">
        <v>1.7200000000000001E-5</v>
      </c>
      <c r="I62" s="9">
        <v>5.3819999999999997</v>
      </c>
      <c r="J62" s="10"/>
      <c r="K62" s="14"/>
      <c r="L62" s="12"/>
      <c r="M62" s="14"/>
      <c r="N62" s="32"/>
      <c r="O62" s="33">
        <f>VLOOKUP(A62,'Colo205_Transcription factor'!A:N,7,FALSE)</f>
        <v>2.8</v>
      </c>
      <c r="P62" s="33">
        <f>VLOOKUP(A62,'Colo205_Transcription factor'!A:N,11,FALSE)</f>
        <v>0</v>
      </c>
      <c r="Q62" s="33">
        <f>VLOOKUP(A62,'Colo205_Transcription factor'!A:N,13,FALSE)</f>
        <v>0</v>
      </c>
    </row>
    <row r="63" spans="1:17" ht="15" customHeight="1">
      <c r="A63" s="8" t="str">
        <f>HYPERLINK("http://portal.genego.com/cgi/entity_page.cgi?term=100&amp;id=160","CREB1")</f>
        <v>CREB1</v>
      </c>
      <c r="B63" s="9">
        <v>331</v>
      </c>
      <c r="C63" s="9">
        <v>1420</v>
      </c>
      <c r="D63" s="9">
        <v>5099</v>
      </c>
      <c r="E63" s="9">
        <v>26819</v>
      </c>
      <c r="F63" s="9">
        <v>270</v>
      </c>
      <c r="G63" s="9">
        <v>1.226</v>
      </c>
      <c r="H63" s="9">
        <v>1.986E-5</v>
      </c>
      <c r="I63" s="9">
        <v>4.24</v>
      </c>
      <c r="J63" s="10"/>
      <c r="K63" s="14"/>
      <c r="L63" s="12"/>
      <c r="M63" s="14"/>
      <c r="N63" s="32"/>
      <c r="O63" s="33">
        <f>VLOOKUP(A63,'Colo205_Transcription factor'!A:N,7,FALSE)</f>
        <v>1.1259999999999999</v>
      </c>
      <c r="P63" s="33">
        <f>VLOOKUP(A63,'Colo205_Transcription factor'!A:N,11,FALSE)</f>
        <v>0</v>
      </c>
      <c r="Q63" s="33">
        <f>VLOOKUP(A63,'Colo205_Transcription factor'!A:N,13,FALSE)</f>
        <v>0</v>
      </c>
    </row>
    <row r="64" spans="1:17" ht="15" customHeight="1">
      <c r="A64" s="8" t="str">
        <f>HYPERLINK("http://portal.genego.com/cgi/entity_page.cgi?term=100&amp;id=6386","FLI1")</f>
        <v>FLI1</v>
      </c>
      <c r="B64" s="9">
        <v>18</v>
      </c>
      <c r="C64" s="9">
        <v>1420</v>
      </c>
      <c r="D64" s="9">
        <v>112</v>
      </c>
      <c r="E64" s="9">
        <v>26819</v>
      </c>
      <c r="F64" s="9">
        <v>5.93</v>
      </c>
      <c r="G64" s="9">
        <v>3.0350000000000001</v>
      </c>
      <c r="H64" s="9">
        <v>2.376E-5</v>
      </c>
      <c r="I64" s="9">
        <v>5.1040000000000001</v>
      </c>
      <c r="J64" s="10"/>
      <c r="K64" s="14"/>
      <c r="L64" s="12"/>
      <c r="M64" s="14"/>
      <c r="N64" s="32"/>
      <c r="O64" s="33">
        <f>VLOOKUP(A64,'Colo205_Transcription factor'!A:N,7,FALSE)</f>
        <v>2.5449999999999999</v>
      </c>
      <c r="P64" s="33">
        <f>VLOOKUP(A64,'Colo205_Transcription factor'!A:N,11,FALSE)</f>
        <v>0</v>
      </c>
      <c r="Q64" s="33">
        <f>VLOOKUP(A64,'Colo205_Transcription factor'!A:N,13,FALSE)</f>
        <v>0</v>
      </c>
    </row>
    <row r="65" spans="1:17" ht="15" customHeight="1">
      <c r="A65" s="8" t="str">
        <f>HYPERLINK("http://portal.genego.com/cgi/entity_page.cgi?term=100&amp;id=-689197755","NF-kB1 (p50)")</f>
        <v>NF-kB1 (p50)</v>
      </c>
      <c r="B65" s="9">
        <v>46</v>
      </c>
      <c r="C65" s="9">
        <v>1420</v>
      </c>
      <c r="D65" s="9">
        <v>457</v>
      </c>
      <c r="E65" s="9">
        <v>26819</v>
      </c>
      <c r="F65" s="9">
        <v>24.2</v>
      </c>
      <c r="G65" s="9">
        <v>1.901</v>
      </c>
      <c r="H65" s="9">
        <v>2.4519999999999999E-5</v>
      </c>
      <c r="I65" s="9">
        <v>4.5940000000000003</v>
      </c>
      <c r="J65" s="10" t="s">
        <v>9</v>
      </c>
      <c r="K65" s="19">
        <v>-0.75210730000000003</v>
      </c>
      <c r="L65" s="12">
        <v>1.439279E-7</v>
      </c>
      <c r="M65" s="18">
        <v>-1.0414327000000001</v>
      </c>
      <c r="N65" s="32">
        <v>1.439279E-7</v>
      </c>
      <c r="O65" s="33">
        <f>VLOOKUP(A65,'Colo205_Transcription factor'!A:N,7,FALSE)</f>
        <v>1.782</v>
      </c>
      <c r="P65" s="33">
        <f>VLOOKUP(A65,'Colo205_Transcription factor'!A:N,11,FALSE)</f>
        <v>0</v>
      </c>
      <c r="Q65" s="33">
        <f>VLOOKUP(A65,'Colo205_Transcription factor'!A:N,13,FALSE)</f>
        <v>0</v>
      </c>
    </row>
    <row r="66" spans="1:17" ht="15" customHeight="1">
      <c r="A66" s="8" t="str">
        <f>HYPERLINK("http://portal.genego.com/cgi/entity_page.cgi?term=100&amp;id=-3886333","PAX3")</f>
        <v>PAX3</v>
      </c>
      <c r="B66" s="9">
        <v>10</v>
      </c>
      <c r="C66" s="9">
        <v>1420</v>
      </c>
      <c r="D66" s="9">
        <v>39</v>
      </c>
      <c r="E66" s="9">
        <v>26819</v>
      </c>
      <c r="F66" s="9">
        <v>2.0649999999999999</v>
      </c>
      <c r="G66" s="9">
        <v>4.843</v>
      </c>
      <c r="H66" s="9">
        <v>2.6020000000000002E-5</v>
      </c>
      <c r="I66" s="9">
        <v>5.6779999999999999</v>
      </c>
      <c r="J66" s="10"/>
      <c r="K66" s="14"/>
      <c r="L66" s="12"/>
      <c r="M66" s="14"/>
      <c r="N66" s="32"/>
      <c r="O66" s="33">
        <f>VLOOKUP(A66,'Colo205_Transcription factor'!A:N,7,FALSE)</f>
        <v>3.6549999999999998</v>
      </c>
      <c r="P66" s="33">
        <f>VLOOKUP(A66,'Colo205_Transcription factor'!A:N,11,FALSE)</f>
        <v>0</v>
      </c>
      <c r="Q66" s="33">
        <f>VLOOKUP(A66,'Colo205_Transcription factor'!A:N,13,FALSE)</f>
        <v>0</v>
      </c>
    </row>
    <row r="67" spans="1:17" ht="15" customHeight="1">
      <c r="A67" s="8" t="str">
        <f>HYPERLINK("http://portal.genego.com/cgi/entity_page.cgi?term=100&amp;id=-1239476801","HEY1")</f>
        <v>HEY1</v>
      </c>
      <c r="B67" s="9">
        <v>11</v>
      </c>
      <c r="C67" s="9">
        <v>1420</v>
      </c>
      <c r="D67" s="9">
        <v>47</v>
      </c>
      <c r="E67" s="9">
        <v>26819</v>
      </c>
      <c r="F67" s="9">
        <v>2.4889999999999999</v>
      </c>
      <c r="G67" s="9">
        <v>4.42</v>
      </c>
      <c r="H67" s="9">
        <v>2.6310000000000001E-5</v>
      </c>
      <c r="I67" s="9">
        <v>5.5490000000000004</v>
      </c>
      <c r="J67" s="10"/>
      <c r="K67" s="14"/>
      <c r="L67" s="12"/>
      <c r="M67" s="14"/>
      <c r="N67" s="32"/>
      <c r="O67" s="33">
        <f>VLOOKUP(A67,'Colo205_Transcription factor'!A:N,7,FALSE)</f>
        <v>3.0329999999999999</v>
      </c>
      <c r="P67" s="33">
        <f>VLOOKUP(A67,'Colo205_Transcription factor'!A:N,11,FALSE)</f>
        <v>-1.640792</v>
      </c>
      <c r="Q67" s="33">
        <f>VLOOKUP(A67,'Colo205_Transcription factor'!A:N,13,FALSE)</f>
        <v>-1.3973739000000001</v>
      </c>
    </row>
    <row r="68" spans="1:17" ht="15" customHeight="1">
      <c r="A68" s="8" t="str">
        <f>HYPERLINK("http://portal.genego.com/cgi/entity_page.cgi?term=100&amp;id=2210","GATA-4")</f>
        <v>GATA-4</v>
      </c>
      <c r="B68" s="9">
        <v>23</v>
      </c>
      <c r="C68" s="9">
        <v>1420</v>
      </c>
      <c r="D68" s="9">
        <v>168</v>
      </c>
      <c r="E68" s="9">
        <v>26819</v>
      </c>
      <c r="F68" s="9">
        <v>8.8949999999999996</v>
      </c>
      <c r="G68" s="9">
        <v>2.5859999999999999</v>
      </c>
      <c r="H68" s="9">
        <v>2.8180000000000001E-5</v>
      </c>
      <c r="I68" s="9">
        <v>4.875</v>
      </c>
      <c r="J68" s="10"/>
      <c r="K68" s="14"/>
      <c r="L68" s="12"/>
      <c r="M68" s="14"/>
      <c r="N68" s="32"/>
      <c r="O68" s="33">
        <f>VLOOKUP(A68,'Colo205_Transcription factor'!A:N,7,FALSE)</f>
        <v>1.9390000000000001</v>
      </c>
      <c r="P68" s="33">
        <f>VLOOKUP(A68,'Colo205_Transcription factor'!A:N,11,FALSE)</f>
        <v>0</v>
      </c>
      <c r="Q68" s="33">
        <f>VLOOKUP(A68,'Colo205_Transcription factor'!A:N,13,FALSE)</f>
        <v>0</v>
      </c>
    </row>
    <row r="69" spans="1:17" ht="15" customHeight="1">
      <c r="A69" s="8" t="str">
        <f>HYPERLINK("http://portal.genego.com/cgi/entity_page.cgi?term=100&amp;id=4328","GATA-3")</f>
        <v>GATA-3</v>
      </c>
      <c r="B69" s="9">
        <v>59</v>
      </c>
      <c r="C69" s="9">
        <v>1420</v>
      </c>
      <c r="D69" s="9">
        <v>642</v>
      </c>
      <c r="E69" s="9">
        <v>26819</v>
      </c>
      <c r="F69" s="9">
        <v>33.99</v>
      </c>
      <c r="G69" s="9">
        <v>1.736</v>
      </c>
      <c r="H69" s="9">
        <v>2.9329999999999999E-5</v>
      </c>
      <c r="I69" s="9">
        <v>4.4610000000000003</v>
      </c>
      <c r="J69" s="10"/>
      <c r="K69" s="14"/>
      <c r="L69" s="12"/>
      <c r="M69" s="14"/>
      <c r="N69" s="32"/>
      <c r="O69" s="33">
        <f>VLOOKUP(A69,'Colo205_Transcription factor'!A:N,7,FALSE)</f>
        <v>1.998</v>
      </c>
      <c r="P69" s="33">
        <f>VLOOKUP(A69,'Colo205_Transcription factor'!A:N,11,FALSE)</f>
        <v>0</v>
      </c>
      <c r="Q69" s="33">
        <f>VLOOKUP(A69,'Colo205_Transcription factor'!A:N,13,FALSE)</f>
        <v>0</v>
      </c>
    </row>
    <row r="70" spans="1:17" ht="15" customHeight="1">
      <c r="A70" s="8" t="str">
        <f>HYPERLINK("http://portal.genego.com/cgi/entity_page.cgi?term=100&amp;id=611","PPAR-gamma")</f>
        <v>PPAR-gamma</v>
      </c>
      <c r="B70" s="9">
        <v>34</v>
      </c>
      <c r="C70" s="9">
        <v>1420</v>
      </c>
      <c r="D70" s="9">
        <v>305</v>
      </c>
      <c r="E70" s="9">
        <v>26819</v>
      </c>
      <c r="F70" s="9">
        <v>16.149999999999999</v>
      </c>
      <c r="G70" s="9">
        <v>2.105</v>
      </c>
      <c r="H70" s="9">
        <v>3.6489999999999998E-5</v>
      </c>
      <c r="I70" s="9">
        <v>4.5910000000000002</v>
      </c>
      <c r="J70" s="10"/>
      <c r="K70" s="14"/>
      <c r="L70" s="12"/>
      <c r="M70" s="14"/>
      <c r="N70" s="32"/>
      <c r="O70" s="33">
        <f>VLOOKUP(A70,'Colo205_Transcription factor'!A:N,7,FALSE)</f>
        <v>2.0699999999999998</v>
      </c>
      <c r="P70" s="33">
        <f>VLOOKUP(A70,'Colo205_Transcription factor'!A:N,11,FALSE)</f>
        <v>0</v>
      </c>
      <c r="Q70" s="33">
        <f>VLOOKUP(A70,'Colo205_Transcription factor'!A:N,13,FALSE)</f>
        <v>0</v>
      </c>
    </row>
    <row r="71" spans="1:17" ht="15" customHeight="1">
      <c r="A71" s="8" t="str">
        <f>HYPERLINK("http://portal.genego.com/cgi/entity_page.cgi?term=100&amp;id=4372","JunD")</f>
        <v>JunD</v>
      </c>
      <c r="B71" s="9">
        <v>25</v>
      </c>
      <c r="C71" s="9">
        <v>1420</v>
      </c>
      <c r="D71" s="9">
        <v>194</v>
      </c>
      <c r="E71" s="9">
        <v>26819</v>
      </c>
      <c r="F71" s="9">
        <v>10.27</v>
      </c>
      <c r="G71" s="9">
        <v>2.4340000000000002</v>
      </c>
      <c r="H71" s="9">
        <v>3.65E-5</v>
      </c>
      <c r="I71" s="9">
        <v>4.7389999999999999</v>
      </c>
      <c r="J71" s="10"/>
      <c r="K71" s="14"/>
      <c r="L71" s="12"/>
      <c r="M71" s="14"/>
      <c r="N71" s="32"/>
      <c r="O71" s="33">
        <f>VLOOKUP(A71,'Colo205_Transcription factor'!A:N,7,FALSE)</f>
        <v>2.4140000000000001</v>
      </c>
      <c r="P71" s="33">
        <f>VLOOKUP(A71,'Colo205_Transcription factor'!A:N,11,FALSE)</f>
        <v>0</v>
      </c>
      <c r="Q71" s="33">
        <f>VLOOKUP(A71,'Colo205_Transcription factor'!A:N,13,FALSE)</f>
        <v>0</v>
      </c>
    </row>
    <row r="72" spans="1:17" ht="15" customHeight="1">
      <c r="A72" s="8" t="str">
        <f>HYPERLINK("http://portal.genego.com/cgi/entity_page.cgi?term=100&amp;id=-1033959994","ELF3")</f>
        <v>ELF3</v>
      </c>
      <c r="B72" s="9">
        <v>9</v>
      </c>
      <c r="C72" s="9">
        <v>1420</v>
      </c>
      <c r="D72" s="9">
        <v>33</v>
      </c>
      <c r="E72" s="9">
        <v>26819</v>
      </c>
      <c r="F72" s="9">
        <v>1.7470000000000001</v>
      </c>
      <c r="G72" s="9">
        <v>5.1509999999999998</v>
      </c>
      <c r="H72" s="9">
        <v>3.8689999999999997E-5</v>
      </c>
      <c r="I72" s="9">
        <v>5.641</v>
      </c>
      <c r="J72" s="10"/>
      <c r="K72" s="14"/>
      <c r="L72" s="12"/>
      <c r="M72" s="14"/>
      <c r="N72" s="32"/>
      <c r="O72" s="33">
        <f>VLOOKUP(A72,'Colo205_Transcription factor'!A:N,7,FALSE)</f>
        <v>4.32</v>
      </c>
      <c r="P72" s="33">
        <f>VLOOKUP(A72,'Colo205_Transcription factor'!A:N,11,FALSE)</f>
        <v>0</v>
      </c>
      <c r="Q72" s="33">
        <f>VLOOKUP(A72,'Colo205_Transcription factor'!A:N,13,FALSE)</f>
        <v>0</v>
      </c>
    </row>
    <row r="73" spans="1:17" ht="15" customHeight="1">
      <c r="A73" s="8" t="str">
        <f>HYPERLINK("http://portal.genego.com/cgi/entity_page.cgi?term=100&amp;id=-1781647116","RFX6")</f>
        <v>RFX6</v>
      </c>
      <c r="B73" s="9">
        <v>10</v>
      </c>
      <c r="C73" s="9">
        <v>1420</v>
      </c>
      <c r="D73" s="9">
        <v>41</v>
      </c>
      <c r="E73" s="9">
        <v>26819</v>
      </c>
      <c r="F73" s="9">
        <v>2.1709999999999998</v>
      </c>
      <c r="G73" s="9">
        <v>4.6059999999999999</v>
      </c>
      <c r="H73" s="9">
        <v>4.1650000000000003E-5</v>
      </c>
      <c r="I73" s="9">
        <v>5.4640000000000004</v>
      </c>
      <c r="J73" s="10"/>
      <c r="K73" s="14"/>
      <c r="L73" s="12"/>
      <c r="M73" s="14"/>
      <c r="N73" s="32"/>
      <c r="O73" s="33" t="e">
        <f>VLOOKUP(A73,'Colo205_Transcription factor'!A:N,7,FALSE)</f>
        <v>#N/A</v>
      </c>
      <c r="P73" s="33" t="e">
        <f>VLOOKUP(A73,'Colo205_Transcription factor'!A:N,11,FALSE)</f>
        <v>#N/A</v>
      </c>
      <c r="Q73" s="33" t="e">
        <f>VLOOKUP(A73,'Colo205_Transcription factor'!A:N,13,FALSE)</f>
        <v>#N/A</v>
      </c>
    </row>
    <row r="74" spans="1:17" ht="15" customHeight="1">
      <c r="A74" s="8" t="str">
        <f>HYPERLINK("http://portal.genego.com/cgi/entity_page.cgi?term=100&amp;id=-1514272620","OVOL2")</f>
        <v>OVOL2</v>
      </c>
      <c r="B74" s="9">
        <v>5</v>
      </c>
      <c r="C74" s="9">
        <v>1420</v>
      </c>
      <c r="D74" s="9">
        <v>9</v>
      </c>
      <c r="E74" s="9">
        <v>26819</v>
      </c>
      <c r="F74" s="9">
        <v>0.47649999999999998</v>
      </c>
      <c r="G74" s="9">
        <v>10.49</v>
      </c>
      <c r="H74" s="9">
        <v>4.3519999999999997E-5</v>
      </c>
      <c r="I74" s="9">
        <v>6.7350000000000003</v>
      </c>
      <c r="J74" s="10"/>
      <c r="K74" s="14"/>
      <c r="L74" s="12"/>
      <c r="M74" s="14"/>
      <c r="N74" s="32"/>
      <c r="O74" s="33" t="e">
        <f>VLOOKUP(A74,'Colo205_Transcription factor'!A:N,7,FALSE)</f>
        <v>#N/A</v>
      </c>
      <c r="P74" s="33" t="e">
        <f>VLOOKUP(A74,'Colo205_Transcription factor'!A:N,11,FALSE)</f>
        <v>#N/A</v>
      </c>
      <c r="Q74" s="33" t="e">
        <f>VLOOKUP(A74,'Colo205_Transcription factor'!A:N,13,FALSE)</f>
        <v>#N/A</v>
      </c>
    </row>
    <row r="75" spans="1:17" ht="15" customHeight="1">
      <c r="A75" s="8" t="str">
        <f>HYPERLINK("http://portal.genego.com/cgi/entity_page.cgi?term=100&amp;id=4440","TCF7 (TCF1)")</f>
        <v>TCF7 (TCF1)</v>
      </c>
      <c r="B75" s="9">
        <v>10</v>
      </c>
      <c r="C75" s="9">
        <v>1420</v>
      </c>
      <c r="D75" s="9">
        <v>42</v>
      </c>
      <c r="E75" s="9">
        <v>26819</v>
      </c>
      <c r="F75" s="9">
        <v>2.2240000000000002</v>
      </c>
      <c r="G75" s="9">
        <v>4.4969999999999999</v>
      </c>
      <c r="H75" s="9">
        <v>5.2089999999999998E-5</v>
      </c>
      <c r="I75" s="9">
        <v>5.3620000000000001</v>
      </c>
      <c r="J75" s="10"/>
      <c r="K75" s="14"/>
      <c r="L75" s="12"/>
      <c r="M75" s="14"/>
      <c r="N75" s="32"/>
      <c r="O75" s="33" t="e">
        <f>VLOOKUP(A75,'Colo205_Transcription factor'!A:N,7,FALSE)</f>
        <v>#N/A</v>
      </c>
      <c r="P75" s="33" t="e">
        <f>VLOOKUP(A75,'Colo205_Transcription factor'!A:N,11,FALSE)</f>
        <v>#N/A</v>
      </c>
      <c r="Q75" s="33" t="e">
        <f>VLOOKUP(A75,'Colo205_Transcription factor'!A:N,13,FALSE)</f>
        <v>#N/A</v>
      </c>
    </row>
    <row r="76" spans="1:17" ht="15" customHeight="1">
      <c r="A76" s="8" t="str">
        <f>HYPERLINK("http://portal.genego.com/cgi/entity_page.cgi?term=100&amp;id=-416745300","GATA-6")</f>
        <v>GATA-6</v>
      </c>
      <c r="B76" s="9">
        <v>18</v>
      </c>
      <c r="C76" s="9">
        <v>1420</v>
      </c>
      <c r="D76" s="9">
        <v>119</v>
      </c>
      <c r="E76" s="9">
        <v>26819</v>
      </c>
      <c r="F76" s="9">
        <v>6.3010000000000002</v>
      </c>
      <c r="G76" s="9">
        <v>2.8570000000000002</v>
      </c>
      <c r="H76" s="9">
        <v>5.4500000000000003E-5</v>
      </c>
      <c r="I76" s="9">
        <v>4.8</v>
      </c>
      <c r="J76" s="10" t="s">
        <v>10</v>
      </c>
      <c r="K76" s="16">
        <v>-1.2884880000000001</v>
      </c>
      <c r="L76" s="12">
        <v>6.9147140000000004E-5</v>
      </c>
      <c r="M76" s="15">
        <v>-1.5960905999999999</v>
      </c>
      <c r="N76" s="32">
        <v>6.9147140000000004E-5</v>
      </c>
      <c r="O76" s="33">
        <f>VLOOKUP(A76,'Colo205_Transcription factor'!A:N,7,FALSE)</f>
        <v>2.5670000000000002</v>
      </c>
      <c r="P76" s="33">
        <f>VLOOKUP(A76,'Colo205_Transcription factor'!A:N,11,FALSE)</f>
        <v>0</v>
      </c>
      <c r="Q76" s="33">
        <f>VLOOKUP(A76,'Colo205_Transcription factor'!A:N,13,FALSE)</f>
        <v>0</v>
      </c>
    </row>
    <row r="77" spans="1:17" ht="15" customHeight="1">
      <c r="A77" s="8" t="str">
        <f>HYPERLINK("http://portal.genego.com/cgi/entity_page.cgi?term=100&amp;id=4369","PAX5")</f>
        <v>PAX5</v>
      </c>
      <c r="B77" s="9">
        <v>20</v>
      </c>
      <c r="C77" s="9">
        <v>1420</v>
      </c>
      <c r="D77" s="9">
        <v>141</v>
      </c>
      <c r="E77" s="9">
        <v>26819</v>
      </c>
      <c r="F77" s="9">
        <v>7.4660000000000002</v>
      </c>
      <c r="G77" s="9">
        <v>2.6789999999999998</v>
      </c>
      <c r="H77" s="9">
        <v>5.5189999999999998E-5</v>
      </c>
      <c r="I77" s="9">
        <v>4.726</v>
      </c>
      <c r="J77" s="10"/>
      <c r="K77" s="14"/>
      <c r="L77" s="12"/>
      <c r="M77" s="14"/>
      <c r="N77" s="32"/>
      <c r="O77" s="33">
        <f>VLOOKUP(A77,'Colo205_Transcription factor'!A:N,7,FALSE)</f>
        <v>2.7440000000000002</v>
      </c>
      <c r="P77" s="33">
        <f>VLOOKUP(A77,'Colo205_Transcription factor'!A:N,11,FALSE)</f>
        <v>0</v>
      </c>
      <c r="Q77" s="33">
        <f>VLOOKUP(A77,'Colo205_Transcription factor'!A:N,13,FALSE)</f>
        <v>0</v>
      </c>
    </row>
    <row r="78" spans="1:17" ht="15" customHeight="1">
      <c r="A78" s="8" t="str">
        <f>HYPERLINK("http://portal.genego.com/cgi/entity_page.cgi?term=100&amp;id=-487577381","FOXP2")</f>
        <v>FOXP2</v>
      </c>
      <c r="B78" s="9">
        <v>25</v>
      </c>
      <c r="C78" s="9">
        <v>1420</v>
      </c>
      <c r="D78" s="9">
        <v>199</v>
      </c>
      <c r="E78" s="9">
        <v>26819</v>
      </c>
      <c r="F78" s="9">
        <v>10.54</v>
      </c>
      <c r="G78" s="9">
        <v>2.3730000000000002</v>
      </c>
      <c r="H78" s="9">
        <v>5.5850000000000002E-5</v>
      </c>
      <c r="I78" s="9">
        <v>4.5960000000000001</v>
      </c>
      <c r="J78" s="10"/>
      <c r="K78" s="14"/>
      <c r="L78" s="12"/>
      <c r="M78" s="14"/>
      <c r="N78" s="32"/>
      <c r="O78" s="33">
        <f>VLOOKUP(A78,'Colo205_Transcription factor'!A:N,7,FALSE)</f>
        <v>2.3540000000000001</v>
      </c>
      <c r="P78" s="33">
        <f>VLOOKUP(A78,'Colo205_Transcription factor'!A:N,11,FALSE)</f>
        <v>0</v>
      </c>
      <c r="Q78" s="33">
        <f>VLOOKUP(A78,'Colo205_Transcription factor'!A:N,13,FALSE)</f>
        <v>0</v>
      </c>
    </row>
    <row r="79" spans="1:17" ht="15" customHeight="1">
      <c r="A79" s="8" t="str">
        <f>HYPERLINK("http://portal.genego.com/cgi/entity_page.cgi?term=100&amp;id=4276","RARbeta")</f>
        <v>RARbeta</v>
      </c>
      <c r="B79" s="9">
        <v>9</v>
      </c>
      <c r="C79" s="9">
        <v>1420</v>
      </c>
      <c r="D79" s="9">
        <v>35</v>
      </c>
      <c r="E79" s="9">
        <v>26819</v>
      </c>
      <c r="F79" s="9">
        <v>1.853</v>
      </c>
      <c r="G79" s="9">
        <v>4.8570000000000002</v>
      </c>
      <c r="H79" s="9">
        <v>6.436E-5</v>
      </c>
      <c r="I79" s="9">
        <v>5.3979999999999997</v>
      </c>
      <c r="J79" s="10"/>
      <c r="K79" s="14"/>
      <c r="L79" s="12"/>
      <c r="M79" s="14"/>
      <c r="N79" s="32"/>
      <c r="O79" s="33">
        <f>VLOOKUP(A79,'Colo205_Transcription factor'!A:N,7,FALSE)</f>
        <v>4.0730000000000004</v>
      </c>
      <c r="P79" s="33">
        <f>VLOOKUP(A79,'Colo205_Transcription factor'!A:N,11,FALSE)</f>
        <v>0</v>
      </c>
      <c r="Q79" s="33">
        <f>VLOOKUP(A79,'Colo205_Transcription factor'!A:N,13,FALSE)</f>
        <v>0</v>
      </c>
    </row>
    <row r="80" spans="1:17" ht="15" customHeight="1">
      <c r="A80" s="8" t="str">
        <f>HYPERLINK("http://portal.genego.com/cgi/entity_page.cgi?term=100&amp;id=4381","AP-4")</f>
        <v>AP-4</v>
      </c>
      <c r="B80" s="9">
        <v>12</v>
      </c>
      <c r="C80" s="9">
        <v>1420</v>
      </c>
      <c r="D80" s="9">
        <v>61</v>
      </c>
      <c r="E80" s="9">
        <v>26819</v>
      </c>
      <c r="F80" s="9">
        <v>3.23</v>
      </c>
      <c r="G80" s="9">
        <v>3.7149999999999999</v>
      </c>
      <c r="H80" s="9">
        <v>7.216E-5</v>
      </c>
      <c r="I80" s="9">
        <v>5.0199999999999996</v>
      </c>
      <c r="J80" s="10" t="s">
        <v>11</v>
      </c>
      <c r="K80" s="20">
        <v>-0.15386379</v>
      </c>
      <c r="L80" s="12">
        <v>3.072449E-2</v>
      </c>
      <c r="M80" s="21">
        <v>-2.4589055000000002</v>
      </c>
      <c r="N80" s="32">
        <v>3.072449E-2</v>
      </c>
      <c r="O80" s="33">
        <f>VLOOKUP(A80,'Colo205_Transcription factor'!A:N,7,FALSE)</f>
        <v>3.3380000000000001</v>
      </c>
      <c r="P80" s="33">
        <f>VLOOKUP(A80,'Colo205_Transcription factor'!A:N,11,FALSE)</f>
        <v>0</v>
      </c>
      <c r="Q80" s="33">
        <f>VLOOKUP(A80,'Colo205_Transcription factor'!A:N,13,FALSE)</f>
        <v>0</v>
      </c>
    </row>
    <row r="81" spans="1:17" ht="15" customHeight="1">
      <c r="A81" s="8" t="str">
        <f>HYPERLINK("http://portal.genego.com/cgi/entity_page.cgi?term=100&amp;id=-1482109871","GATA-5")</f>
        <v>GATA-5</v>
      </c>
      <c r="B81" s="9">
        <v>8</v>
      </c>
      <c r="C81" s="9">
        <v>1420</v>
      </c>
      <c r="D81" s="9">
        <v>29</v>
      </c>
      <c r="E81" s="9">
        <v>26819</v>
      </c>
      <c r="F81" s="9">
        <v>1.5349999999999999</v>
      </c>
      <c r="G81" s="9">
        <v>5.21</v>
      </c>
      <c r="H81" s="9">
        <v>9.5669999999999997E-5</v>
      </c>
      <c r="I81" s="9">
        <v>5.3639999999999999</v>
      </c>
      <c r="J81" s="10"/>
      <c r="K81" s="14"/>
      <c r="L81" s="12"/>
      <c r="M81" s="14"/>
      <c r="N81" s="32"/>
      <c r="O81" s="33">
        <f>VLOOKUP(A81,'Colo205_Transcription factor'!A:N,7,FALSE)</f>
        <v>3.5110000000000001</v>
      </c>
      <c r="P81" s="33">
        <f>VLOOKUP(A81,'Colo205_Transcription factor'!A:N,11,FALSE)</f>
        <v>0</v>
      </c>
      <c r="Q81" s="33">
        <f>VLOOKUP(A81,'Colo205_Transcription factor'!A:N,13,FALSE)</f>
        <v>0</v>
      </c>
    </row>
    <row r="82" spans="1:17" ht="15" customHeight="1">
      <c r="A82" s="8" t="str">
        <f>HYPERLINK("http://portal.genego.com/cgi/entity_page.cgi?term=100&amp;id=2186","Lef-1")</f>
        <v>Lef-1</v>
      </c>
      <c r="B82" s="9">
        <v>20</v>
      </c>
      <c r="C82" s="9">
        <v>1420</v>
      </c>
      <c r="D82" s="9">
        <v>147</v>
      </c>
      <c r="E82" s="9">
        <v>26819</v>
      </c>
      <c r="F82" s="9">
        <v>7.7830000000000004</v>
      </c>
      <c r="G82" s="9">
        <v>2.57</v>
      </c>
      <c r="H82" s="9">
        <v>9.9829999999999998E-5</v>
      </c>
      <c r="I82" s="9">
        <v>4.5119999999999996</v>
      </c>
      <c r="J82" s="10"/>
      <c r="K82" s="14"/>
      <c r="L82" s="12"/>
      <c r="M82" s="14"/>
      <c r="N82" s="32"/>
      <c r="O82" s="33">
        <f>VLOOKUP(A82,'Colo205_Transcription factor'!A:N,7,FALSE)</f>
        <v>2.7709999999999999</v>
      </c>
      <c r="P82" s="33">
        <f>VLOOKUP(A82,'Colo205_Transcription factor'!A:N,11,FALSE)</f>
        <v>0</v>
      </c>
      <c r="Q82" s="33">
        <f>VLOOKUP(A82,'Colo205_Transcription factor'!A:N,13,FALSE)</f>
        <v>0</v>
      </c>
    </row>
    <row r="83" spans="1:17" ht="15" customHeight="1">
      <c r="A83" s="8" t="str">
        <f>HYPERLINK("http://portal.genego.com/cgi/entity_page.cgi?term=100&amp;id=4412","PAX8")</f>
        <v>PAX8</v>
      </c>
      <c r="B83" s="9">
        <v>15</v>
      </c>
      <c r="C83" s="9">
        <v>1420</v>
      </c>
      <c r="D83" s="9">
        <v>93</v>
      </c>
      <c r="E83" s="9">
        <v>26819</v>
      </c>
      <c r="F83" s="9">
        <v>4.9240000000000004</v>
      </c>
      <c r="G83" s="9">
        <v>3.0459999999999998</v>
      </c>
      <c r="H83" s="9">
        <v>1.063E-4</v>
      </c>
      <c r="I83" s="9">
        <v>4.6740000000000004</v>
      </c>
      <c r="J83" s="10"/>
      <c r="K83" s="14"/>
      <c r="L83" s="12"/>
      <c r="M83" s="14"/>
      <c r="N83" s="32"/>
      <c r="O83" s="33" t="e">
        <f>VLOOKUP(A83,'Colo205_Transcription factor'!A:N,7,FALSE)</f>
        <v>#N/A</v>
      </c>
      <c r="P83" s="33" t="e">
        <f>VLOOKUP(A83,'Colo205_Transcription factor'!A:N,11,FALSE)</f>
        <v>#N/A</v>
      </c>
      <c r="Q83" s="33" t="e">
        <f>VLOOKUP(A83,'Colo205_Transcription factor'!A:N,13,FALSE)</f>
        <v>#N/A</v>
      </c>
    </row>
    <row r="84" spans="1:17" ht="15" customHeight="1">
      <c r="A84" s="8" t="str">
        <f>HYPERLINK("http://portal.genego.com/cgi/entity_page.cgi?term=100&amp;id=-533048414","Rad21")</f>
        <v>Rad21</v>
      </c>
      <c r="B84" s="9">
        <v>4</v>
      </c>
      <c r="C84" s="9">
        <v>1420</v>
      </c>
      <c r="D84" s="9">
        <v>6</v>
      </c>
      <c r="E84" s="9">
        <v>26819</v>
      </c>
      <c r="F84" s="9">
        <v>0.31769999999999998</v>
      </c>
      <c r="G84" s="9">
        <v>12.59</v>
      </c>
      <c r="H84" s="9">
        <v>1.077E-4</v>
      </c>
      <c r="I84" s="9">
        <v>6.7140000000000004</v>
      </c>
      <c r="J84" s="10"/>
      <c r="K84" s="14"/>
      <c r="L84" s="12"/>
      <c r="M84" s="14"/>
      <c r="N84" s="32"/>
      <c r="O84" s="33">
        <f>VLOOKUP(A84,'Colo205_Transcription factor'!A:N,7,FALSE)</f>
        <v>10.18</v>
      </c>
      <c r="P84" s="33">
        <f>VLOOKUP(A84,'Colo205_Transcription factor'!A:N,11,FALSE)</f>
        <v>0</v>
      </c>
      <c r="Q84" s="33">
        <f>VLOOKUP(A84,'Colo205_Transcription factor'!A:N,13,FALSE)</f>
        <v>0</v>
      </c>
    </row>
    <row r="85" spans="1:17" ht="15" customHeight="1">
      <c r="A85" s="8" t="str">
        <f>HYPERLINK("http://portal.genego.com/cgi/entity_page.cgi?term=100&amp;id=8225","BAPX1")</f>
        <v>BAPX1</v>
      </c>
      <c r="B85" s="9">
        <v>12</v>
      </c>
      <c r="C85" s="9">
        <v>1420</v>
      </c>
      <c r="D85" s="9">
        <v>64</v>
      </c>
      <c r="E85" s="9">
        <v>26819</v>
      </c>
      <c r="F85" s="9">
        <v>3.3889999999999998</v>
      </c>
      <c r="G85" s="9">
        <v>3.5409999999999999</v>
      </c>
      <c r="H85" s="9">
        <v>1.175E-4</v>
      </c>
      <c r="I85" s="9">
        <v>4.8129999999999997</v>
      </c>
      <c r="J85" s="10"/>
      <c r="K85" s="14"/>
      <c r="L85" s="12"/>
      <c r="M85" s="14"/>
      <c r="N85" s="32"/>
      <c r="O85" s="33">
        <f>VLOOKUP(A85,'Colo205_Transcription factor'!A:N,7,FALSE)</f>
        <v>3.8180000000000001</v>
      </c>
      <c r="P85" s="33">
        <f>VLOOKUP(A85,'Colo205_Transcription factor'!A:N,11,FALSE)</f>
        <v>0</v>
      </c>
      <c r="Q85" s="33">
        <f>VLOOKUP(A85,'Colo205_Transcription factor'!A:N,13,FALSE)</f>
        <v>0</v>
      </c>
    </row>
    <row r="86" spans="1:17" ht="15" customHeight="1">
      <c r="A86" s="8" t="str">
        <f>HYPERLINK("http://portal.genego.com/cgi/entity_page.cgi?term=100&amp;id=6393","MEF2C")</f>
        <v>MEF2C</v>
      </c>
      <c r="B86" s="9">
        <v>13</v>
      </c>
      <c r="C86" s="9">
        <v>1420</v>
      </c>
      <c r="D86" s="9">
        <v>74</v>
      </c>
      <c r="E86" s="9">
        <v>26819</v>
      </c>
      <c r="F86" s="9">
        <v>3.9180000000000001</v>
      </c>
      <c r="G86" s="9">
        <v>3.3180000000000001</v>
      </c>
      <c r="H86" s="9">
        <v>1.2420000000000001E-4</v>
      </c>
      <c r="I86" s="9">
        <v>4.7210000000000001</v>
      </c>
      <c r="J86" s="10" t="s">
        <v>12</v>
      </c>
      <c r="K86" s="22">
        <v>3.0081164999999999</v>
      </c>
      <c r="L86" s="12">
        <v>1.6391739999999998E-2</v>
      </c>
      <c r="M86" s="20">
        <v>-1.0035515E-2</v>
      </c>
      <c r="N86" s="32">
        <v>1.6391739999999998E-2</v>
      </c>
      <c r="O86" s="33" t="e">
        <f>VLOOKUP(A86,'Colo205_Transcription factor'!A:N,7,FALSE)</f>
        <v>#N/A</v>
      </c>
      <c r="P86" s="33" t="e">
        <f>VLOOKUP(A86,'Colo205_Transcription factor'!A:N,11,FALSE)</f>
        <v>#N/A</v>
      </c>
      <c r="Q86" s="33" t="e">
        <f>VLOOKUP(A86,'Colo205_Transcription factor'!A:N,13,FALSE)</f>
        <v>#N/A</v>
      </c>
    </row>
    <row r="87" spans="1:17" ht="15" customHeight="1">
      <c r="A87" s="8" t="str">
        <f>HYPERLINK("http://portal.genego.com/cgi/entity_page.cgi?term=100&amp;id=1076","p73")</f>
        <v>p73</v>
      </c>
      <c r="B87" s="9">
        <v>20</v>
      </c>
      <c r="C87" s="9">
        <v>1420</v>
      </c>
      <c r="D87" s="9">
        <v>151</v>
      </c>
      <c r="E87" s="9">
        <v>26819</v>
      </c>
      <c r="F87" s="9">
        <v>7.9950000000000001</v>
      </c>
      <c r="G87" s="9">
        <v>2.5019999999999998</v>
      </c>
      <c r="H87" s="9">
        <v>1.451E-4</v>
      </c>
      <c r="I87" s="9">
        <v>4.375</v>
      </c>
      <c r="J87" s="10"/>
      <c r="K87" s="14"/>
      <c r="L87" s="12"/>
      <c r="M87" s="14"/>
      <c r="N87" s="32"/>
      <c r="O87" s="33">
        <f>VLOOKUP(A87,'Colo205_Transcription factor'!A:N,7,FALSE)</f>
        <v>2.0230000000000001</v>
      </c>
      <c r="P87" s="33">
        <f>VLOOKUP(A87,'Colo205_Transcription factor'!A:N,11,FALSE)</f>
        <v>0</v>
      </c>
      <c r="Q87" s="33">
        <f>VLOOKUP(A87,'Colo205_Transcription factor'!A:N,13,FALSE)</f>
        <v>0</v>
      </c>
    </row>
    <row r="88" spans="1:17" ht="15" customHeight="1">
      <c r="A88" s="8" t="str">
        <f>HYPERLINK("http://portal.genego.com/cgi/entity_page.cgi?term=100&amp;id=2686","EGR2 (Krox20)")</f>
        <v>EGR2 (Krox20)</v>
      </c>
      <c r="B88" s="9">
        <v>16</v>
      </c>
      <c r="C88" s="9">
        <v>1420</v>
      </c>
      <c r="D88" s="9">
        <v>107</v>
      </c>
      <c r="E88" s="9">
        <v>26819</v>
      </c>
      <c r="F88" s="9">
        <v>5.665</v>
      </c>
      <c r="G88" s="9">
        <v>2.8239999999999998</v>
      </c>
      <c r="H88" s="9">
        <v>1.5919999999999999E-4</v>
      </c>
      <c r="I88" s="9">
        <v>4.47</v>
      </c>
      <c r="J88" s="10" t="s">
        <v>13</v>
      </c>
      <c r="K88" s="23">
        <v>2.4529645000000002</v>
      </c>
      <c r="L88" s="12">
        <v>1.4824249999999999E-4</v>
      </c>
      <c r="M88" s="24">
        <v>1.3492677</v>
      </c>
      <c r="N88" s="32">
        <v>1.4824249999999999E-4</v>
      </c>
      <c r="O88" s="33">
        <f>VLOOKUP(A88,'Colo205_Transcription factor'!A:N,7,FALSE)</f>
        <v>2.6640000000000001</v>
      </c>
      <c r="P88" s="33">
        <f>VLOOKUP(A88,'Colo205_Transcription factor'!A:N,11,FALSE)</f>
        <v>-1.1743861</v>
      </c>
      <c r="Q88" s="33">
        <f>VLOOKUP(A88,'Colo205_Transcription factor'!A:N,13,FALSE)</f>
        <v>-1.6488664</v>
      </c>
    </row>
    <row r="89" spans="1:17" ht="15" customHeight="1">
      <c r="A89" s="8" t="str">
        <f>HYPERLINK("http://portal.genego.com/cgi/entity_page.cgi?term=100&amp;id=-1971635958","KLF15")</f>
        <v>KLF15</v>
      </c>
      <c r="B89" s="9">
        <v>8</v>
      </c>
      <c r="C89" s="9">
        <v>1420</v>
      </c>
      <c r="D89" s="9">
        <v>31</v>
      </c>
      <c r="E89" s="9">
        <v>26819</v>
      </c>
      <c r="F89" s="9">
        <v>1.641</v>
      </c>
      <c r="G89" s="9">
        <v>4.8739999999999997</v>
      </c>
      <c r="H89" s="9">
        <v>1.6000000000000001E-4</v>
      </c>
      <c r="I89" s="9">
        <v>5.1029999999999998</v>
      </c>
      <c r="J89" s="10"/>
      <c r="K89" s="14"/>
      <c r="L89" s="12"/>
      <c r="M89" s="14"/>
      <c r="N89" s="32"/>
      <c r="O89" s="33" t="e">
        <f>VLOOKUP(A89,'Colo205_Transcription factor'!A:N,7,FALSE)</f>
        <v>#N/A</v>
      </c>
      <c r="P89" s="33" t="e">
        <f>VLOOKUP(A89,'Colo205_Transcription factor'!A:N,11,FALSE)</f>
        <v>#N/A</v>
      </c>
      <c r="Q89" s="33" t="e">
        <f>VLOOKUP(A89,'Colo205_Transcription factor'!A:N,13,FALSE)</f>
        <v>#N/A</v>
      </c>
    </row>
    <row r="90" spans="1:17" ht="15" customHeight="1">
      <c r="A90" s="8" t="str">
        <f>HYPERLINK("http://portal.genego.com/cgi/entity_page.cgi?term=100&amp;id=-1918197310","TRPS1")</f>
        <v>TRPS1</v>
      </c>
      <c r="B90" s="9">
        <v>6</v>
      </c>
      <c r="C90" s="9">
        <v>1420</v>
      </c>
      <c r="D90" s="9">
        <v>17</v>
      </c>
      <c r="E90" s="9">
        <v>26819</v>
      </c>
      <c r="F90" s="9">
        <v>0.90010000000000001</v>
      </c>
      <c r="G90" s="9">
        <v>6.6660000000000004</v>
      </c>
      <c r="H90" s="9">
        <v>1.627E-4</v>
      </c>
      <c r="I90" s="9">
        <v>5.5250000000000004</v>
      </c>
      <c r="J90" s="10" t="s">
        <v>14</v>
      </c>
      <c r="K90" s="11">
        <v>1.6298549</v>
      </c>
      <c r="L90" s="12">
        <v>1.488328E-2</v>
      </c>
      <c r="M90" s="11">
        <v>1.7605062</v>
      </c>
      <c r="N90" s="32">
        <v>1.488328E-2</v>
      </c>
      <c r="O90" s="33" t="e">
        <f>VLOOKUP(A90,'Colo205_Transcription factor'!A:N,7,FALSE)</f>
        <v>#N/A</v>
      </c>
      <c r="P90" s="33" t="e">
        <f>VLOOKUP(A90,'Colo205_Transcription factor'!A:N,11,FALSE)</f>
        <v>#N/A</v>
      </c>
      <c r="Q90" s="33" t="e">
        <f>VLOOKUP(A90,'Colo205_Transcription factor'!A:N,13,FALSE)</f>
        <v>#N/A</v>
      </c>
    </row>
    <row r="91" spans="1:17" ht="15" customHeight="1">
      <c r="A91" s="8" t="str">
        <f>HYPERLINK("http://portal.genego.com/cgi/entity_page.cgi?term=100&amp;id=2928","FosB")</f>
        <v>FosB</v>
      </c>
      <c r="B91" s="9">
        <v>11</v>
      </c>
      <c r="C91" s="9">
        <v>1420</v>
      </c>
      <c r="D91" s="9">
        <v>58</v>
      </c>
      <c r="E91" s="9">
        <v>26819</v>
      </c>
      <c r="F91" s="9">
        <v>3.0710000000000002</v>
      </c>
      <c r="G91" s="9">
        <v>3.5819999999999999</v>
      </c>
      <c r="H91" s="9">
        <v>2.0149999999999999E-4</v>
      </c>
      <c r="I91" s="9">
        <v>4.6539999999999999</v>
      </c>
      <c r="J91" s="10"/>
      <c r="K91" s="14"/>
      <c r="L91" s="12"/>
      <c r="M91" s="14"/>
      <c r="N91" s="32"/>
      <c r="O91" s="33" t="e">
        <f>VLOOKUP(A91,'Colo205_Transcription factor'!A:N,7,FALSE)</f>
        <v>#N/A</v>
      </c>
      <c r="P91" s="33" t="e">
        <f>VLOOKUP(A91,'Colo205_Transcription factor'!A:N,11,FALSE)</f>
        <v>#N/A</v>
      </c>
      <c r="Q91" s="33" t="e">
        <f>VLOOKUP(A91,'Colo205_Transcription factor'!A:N,13,FALSE)</f>
        <v>#N/A</v>
      </c>
    </row>
    <row r="92" spans="1:17" ht="15" customHeight="1">
      <c r="A92" s="8" t="str">
        <f>HYPERLINK("http://portal.genego.com/cgi/entity_page.cgi?term=100&amp;id=6007","MITF")</f>
        <v>MITF</v>
      </c>
      <c r="B92" s="9">
        <v>19</v>
      </c>
      <c r="C92" s="9">
        <v>1420</v>
      </c>
      <c r="D92" s="9">
        <v>143</v>
      </c>
      <c r="E92" s="9">
        <v>26819</v>
      </c>
      <c r="F92" s="9">
        <v>7.5709999999999997</v>
      </c>
      <c r="G92" s="9">
        <v>2.5089999999999999</v>
      </c>
      <c r="H92" s="9">
        <v>2.018E-4</v>
      </c>
      <c r="I92" s="9">
        <v>4.2789999999999999</v>
      </c>
      <c r="J92" s="10"/>
      <c r="K92" s="14"/>
      <c r="L92" s="12"/>
      <c r="M92" s="14"/>
      <c r="N92" s="32"/>
      <c r="O92" s="33">
        <f>VLOOKUP(A92,'Colo205_Transcription factor'!A:N,7,FALSE)</f>
        <v>2.278</v>
      </c>
      <c r="P92" s="33">
        <f>VLOOKUP(A92,'Colo205_Transcription factor'!A:N,11,FALSE)</f>
        <v>0</v>
      </c>
      <c r="Q92" s="33">
        <f>VLOOKUP(A92,'Colo205_Transcription factor'!A:N,13,FALSE)</f>
        <v>0</v>
      </c>
    </row>
    <row r="93" spans="1:17" ht="15" customHeight="1">
      <c r="A93" s="8" t="str">
        <f>HYPERLINK("http://portal.genego.com/cgi/entity_page.cgi?term=100&amp;id=2549","RBP-J kappa (CBF1)")</f>
        <v>RBP-J kappa (CBF1)</v>
      </c>
      <c r="B93" s="9">
        <v>18</v>
      </c>
      <c r="C93" s="9">
        <v>1420</v>
      </c>
      <c r="D93" s="9">
        <v>132</v>
      </c>
      <c r="E93" s="9">
        <v>26819</v>
      </c>
      <c r="F93" s="9">
        <v>6.9889999999999999</v>
      </c>
      <c r="G93" s="9">
        <v>2.5750000000000002</v>
      </c>
      <c r="H93" s="9">
        <v>2.1159999999999999E-4</v>
      </c>
      <c r="I93" s="9">
        <v>4.29</v>
      </c>
      <c r="J93" s="10"/>
      <c r="K93" s="14"/>
      <c r="L93" s="12"/>
      <c r="M93" s="14"/>
      <c r="N93" s="32"/>
      <c r="O93" s="33">
        <f>VLOOKUP(A93,'Colo205_Transcription factor'!A:N,7,FALSE)</f>
        <v>3.24</v>
      </c>
      <c r="P93" s="33">
        <f>VLOOKUP(A93,'Colo205_Transcription factor'!A:N,11,FALSE)</f>
        <v>0</v>
      </c>
      <c r="Q93" s="33">
        <f>VLOOKUP(A93,'Colo205_Transcription factor'!A:N,13,FALSE)</f>
        <v>0</v>
      </c>
    </row>
    <row r="94" spans="1:17" ht="15" customHeight="1">
      <c r="A94" s="8" t="str">
        <f>HYPERLINK("http://portal.genego.com/cgi/entity_page.cgi?term=100&amp;id=-745307947","NFIA")</f>
        <v>NFIA</v>
      </c>
      <c r="B94" s="9">
        <v>11</v>
      </c>
      <c r="C94" s="9">
        <v>1420</v>
      </c>
      <c r="D94" s="9">
        <v>59</v>
      </c>
      <c r="E94" s="9">
        <v>26819</v>
      </c>
      <c r="F94" s="9">
        <v>3.1240000000000001</v>
      </c>
      <c r="G94" s="9">
        <v>3.5209999999999999</v>
      </c>
      <c r="H94" s="9">
        <v>2.3599999999999999E-4</v>
      </c>
      <c r="I94" s="9">
        <v>4.5839999999999996</v>
      </c>
      <c r="J94" s="10"/>
      <c r="K94" s="14"/>
      <c r="L94" s="12"/>
      <c r="M94" s="14"/>
      <c r="N94" s="32"/>
      <c r="O94" s="33">
        <f>VLOOKUP(A94,'Colo205_Transcription factor'!A:N,7,FALSE)</f>
        <v>2.7610000000000001</v>
      </c>
      <c r="P94" s="33">
        <f>VLOOKUP(A94,'Colo205_Transcription factor'!A:N,11,FALSE)</f>
        <v>1.6754087</v>
      </c>
      <c r="Q94" s="33">
        <f>VLOOKUP(A94,'Colo205_Transcription factor'!A:N,13,FALSE)</f>
        <v>1.6065978000000001</v>
      </c>
    </row>
    <row r="95" spans="1:17" ht="15" customHeight="1">
      <c r="A95" s="8" t="str">
        <f>HYPERLINK("http://portal.genego.com/cgi/entity_page.cgi?term=100&amp;id=547","NOTCH1 precursor")</f>
        <v>NOTCH1 precursor</v>
      </c>
      <c r="B95" s="9">
        <v>5</v>
      </c>
      <c r="C95" s="9">
        <v>1420</v>
      </c>
      <c r="D95" s="9">
        <v>12</v>
      </c>
      <c r="E95" s="9">
        <v>26819</v>
      </c>
      <c r="F95" s="9">
        <v>0.63539999999999996</v>
      </c>
      <c r="G95" s="9">
        <v>7.8689999999999998</v>
      </c>
      <c r="H95" s="9">
        <v>2.3929999999999999E-4</v>
      </c>
      <c r="I95" s="9">
        <v>5.6280000000000001</v>
      </c>
      <c r="J95" s="10"/>
      <c r="K95" s="14"/>
      <c r="L95" s="12"/>
      <c r="M95" s="14"/>
      <c r="N95" s="32"/>
      <c r="O95" s="33" t="e">
        <f>VLOOKUP(A95,'Colo205_Transcription factor'!A:N,7,FALSE)</f>
        <v>#N/A</v>
      </c>
      <c r="P95" s="33" t="e">
        <f>VLOOKUP(A95,'Colo205_Transcription factor'!A:N,11,FALSE)</f>
        <v>#N/A</v>
      </c>
      <c r="Q95" s="33" t="e">
        <f>VLOOKUP(A95,'Colo205_Transcription factor'!A:N,13,FALSE)</f>
        <v>#N/A</v>
      </c>
    </row>
    <row r="96" spans="1:17" ht="15" customHeight="1">
      <c r="A96" s="8" t="str">
        <f>HYPERLINK("http://portal.genego.com/cgi/entity_page.cgi?term=100&amp;id=-50872036","SNAIL1")</f>
        <v>SNAIL1</v>
      </c>
      <c r="B96" s="9">
        <v>15</v>
      </c>
      <c r="C96" s="9">
        <v>1420</v>
      </c>
      <c r="D96" s="9">
        <v>101</v>
      </c>
      <c r="E96" s="9">
        <v>26819</v>
      </c>
      <c r="F96" s="9">
        <v>5.3479999999999999</v>
      </c>
      <c r="G96" s="9">
        <v>2.8050000000000002</v>
      </c>
      <c r="H96" s="9">
        <v>2.7250000000000001E-4</v>
      </c>
      <c r="I96" s="9">
        <v>4.2969999999999997</v>
      </c>
      <c r="J96" s="10"/>
      <c r="K96" s="14"/>
      <c r="L96" s="12"/>
      <c r="M96" s="14"/>
      <c r="N96" s="32"/>
      <c r="O96" s="33" t="e">
        <f>VLOOKUP(A96,'Colo205_Transcription factor'!A:N,7,FALSE)</f>
        <v>#N/A</v>
      </c>
      <c r="P96" s="33" t="e">
        <f>VLOOKUP(A96,'Colo205_Transcription factor'!A:N,11,FALSE)</f>
        <v>#N/A</v>
      </c>
      <c r="Q96" s="33" t="e">
        <f>VLOOKUP(A96,'Colo205_Transcription factor'!A:N,13,FALSE)</f>
        <v>#N/A</v>
      </c>
    </row>
    <row r="97" spans="1:17" ht="15" customHeight="1">
      <c r="A97" s="8" t="str">
        <f>HYPERLINK("http://portal.genego.com/cgi/entity_page.cgi?term=100&amp;id=-887991853","FOXP3")</f>
        <v>FOXP3</v>
      </c>
      <c r="B97" s="9">
        <v>29</v>
      </c>
      <c r="C97" s="9">
        <v>1420</v>
      </c>
      <c r="D97" s="9">
        <v>272</v>
      </c>
      <c r="E97" s="9">
        <v>26819</v>
      </c>
      <c r="F97" s="9">
        <v>14.4</v>
      </c>
      <c r="G97" s="9">
        <v>2.0139999999999998</v>
      </c>
      <c r="H97" s="9">
        <v>2.8350000000000001E-4</v>
      </c>
      <c r="I97" s="9">
        <v>3.9729999999999999</v>
      </c>
      <c r="J97" s="10"/>
      <c r="K97" s="14"/>
      <c r="L97" s="12"/>
      <c r="M97" s="14"/>
      <c r="N97" s="32"/>
      <c r="O97" s="33" t="e">
        <f>VLOOKUP(A97,'Colo205_Transcription factor'!A:N,7,FALSE)</f>
        <v>#N/A</v>
      </c>
      <c r="P97" s="33" t="e">
        <f>VLOOKUP(A97,'Colo205_Transcription factor'!A:N,11,FALSE)</f>
        <v>#N/A</v>
      </c>
      <c r="Q97" s="33" t="e">
        <f>VLOOKUP(A97,'Colo205_Transcription factor'!A:N,13,FALSE)</f>
        <v>#N/A</v>
      </c>
    </row>
    <row r="98" spans="1:17" ht="15" customHeight="1">
      <c r="A98" s="8" t="str">
        <f>HYPERLINK("http://portal.genego.com/cgi/entity_page.cgi?term=100&amp;id=-2036416016","HOXA2")</f>
        <v>HOXA2</v>
      </c>
      <c r="B98" s="9">
        <v>8</v>
      </c>
      <c r="C98" s="9">
        <v>1420</v>
      </c>
      <c r="D98" s="9">
        <v>34</v>
      </c>
      <c r="E98" s="9">
        <v>26819</v>
      </c>
      <c r="F98" s="9">
        <v>1.8</v>
      </c>
      <c r="G98" s="9">
        <v>4.444</v>
      </c>
      <c r="H98" s="9">
        <v>3.1960000000000002E-4</v>
      </c>
      <c r="I98" s="9">
        <v>4.7510000000000003</v>
      </c>
      <c r="J98" s="10"/>
      <c r="K98" s="14"/>
      <c r="L98" s="12"/>
      <c r="M98" s="14"/>
      <c r="N98" s="32"/>
      <c r="O98" s="33" t="e">
        <f>VLOOKUP(A98,'Colo205_Transcription factor'!A:N,7,FALSE)</f>
        <v>#N/A</v>
      </c>
      <c r="P98" s="33" t="e">
        <f>VLOOKUP(A98,'Colo205_Transcription factor'!A:N,11,FALSE)</f>
        <v>#N/A</v>
      </c>
      <c r="Q98" s="33" t="e">
        <f>VLOOKUP(A98,'Colo205_Transcription factor'!A:N,13,FALSE)</f>
        <v>#N/A</v>
      </c>
    </row>
    <row r="99" spans="1:17" ht="15" customHeight="1">
      <c r="A99" s="8" t="str">
        <f>HYPERLINK("http://portal.genego.com/cgi/entity_page.cgi?term=100&amp;id=-549052033","SOX2")</f>
        <v>SOX2</v>
      </c>
      <c r="B99" s="9">
        <v>51</v>
      </c>
      <c r="C99" s="9">
        <v>1420</v>
      </c>
      <c r="D99" s="9">
        <v>588</v>
      </c>
      <c r="E99" s="9">
        <v>26819</v>
      </c>
      <c r="F99" s="9">
        <v>31.13</v>
      </c>
      <c r="G99" s="9">
        <v>1.6379999999999999</v>
      </c>
      <c r="H99" s="9">
        <v>3.9849999999999998E-4</v>
      </c>
      <c r="I99" s="9">
        <v>3.6989999999999998</v>
      </c>
      <c r="J99" s="10"/>
      <c r="K99" s="14"/>
      <c r="L99" s="12"/>
      <c r="M99" s="14"/>
      <c r="N99" s="32"/>
      <c r="O99" s="33" t="e">
        <f>VLOOKUP(A99,'Colo205_Transcription factor'!A:N,7,FALSE)</f>
        <v>#N/A</v>
      </c>
      <c r="P99" s="33" t="e">
        <f>VLOOKUP(A99,'Colo205_Transcription factor'!A:N,11,FALSE)</f>
        <v>#N/A</v>
      </c>
      <c r="Q99" s="33" t="e">
        <f>VLOOKUP(A99,'Colo205_Transcription factor'!A:N,13,FALSE)</f>
        <v>#N/A</v>
      </c>
    </row>
    <row r="100" spans="1:17" ht="15" customHeight="1">
      <c r="A100" s="8" t="str">
        <f>HYPERLINK("http://portal.genego.com/cgi/entity_page.cgi?term=100&amp;id=-589212696","PRDM5")</f>
        <v>PRDM5</v>
      </c>
      <c r="B100" s="9">
        <v>13</v>
      </c>
      <c r="C100" s="9">
        <v>1420</v>
      </c>
      <c r="D100" s="9">
        <v>83</v>
      </c>
      <c r="E100" s="9">
        <v>26819</v>
      </c>
      <c r="F100" s="9">
        <v>4.3949999999999996</v>
      </c>
      <c r="G100" s="9">
        <v>2.9580000000000002</v>
      </c>
      <c r="H100" s="9">
        <v>4.038E-4</v>
      </c>
      <c r="I100" s="9">
        <v>4.2249999999999996</v>
      </c>
      <c r="J100" s="10"/>
      <c r="K100" s="14"/>
      <c r="L100" s="12"/>
      <c r="M100" s="14"/>
      <c r="N100" s="32"/>
      <c r="O100" s="33">
        <f>VLOOKUP(A100,'Colo205_Transcription factor'!A:N,7,FALSE)</f>
        <v>2.4529999999999998</v>
      </c>
      <c r="P100" s="33">
        <f>VLOOKUP(A100,'Colo205_Transcription factor'!A:N,11,FALSE)</f>
        <v>0</v>
      </c>
      <c r="Q100" s="33">
        <f>VLOOKUP(A100,'Colo205_Transcription factor'!A:N,13,FALSE)</f>
        <v>0</v>
      </c>
    </row>
    <row r="101" spans="1:17" ht="15" customHeight="1">
      <c r="A101" s="8" t="str">
        <f>HYPERLINK("http://portal.genego.com/cgi/entity_page.cgi?term=100&amp;id=4362","MCR")</f>
        <v>MCR</v>
      </c>
      <c r="B101" s="9">
        <v>6</v>
      </c>
      <c r="C101" s="9">
        <v>1420</v>
      </c>
      <c r="D101" s="9">
        <v>20</v>
      </c>
      <c r="E101" s="9">
        <v>26819</v>
      </c>
      <c r="F101" s="9">
        <v>1.0589999999999999</v>
      </c>
      <c r="G101" s="9">
        <v>5.6660000000000004</v>
      </c>
      <c r="H101" s="9">
        <v>4.4430000000000001E-4</v>
      </c>
      <c r="I101" s="9">
        <v>4.9359999999999999</v>
      </c>
      <c r="J101" s="10"/>
      <c r="K101" s="14"/>
      <c r="L101" s="12"/>
      <c r="M101" s="14"/>
      <c r="N101" s="32"/>
      <c r="O101" s="33" t="e">
        <f>VLOOKUP(A101,'Colo205_Transcription factor'!A:N,7,FALSE)</f>
        <v>#N/A</v>
      </c>
      <c r="P101" s="33" t="e">
        <f>VLOOKUP(A101,'Colo205_Transcription factor'!A:N,11,FALSE)</f>
        <v>#N/A</v>
      </c>
      <c r="Q101" s="33" t="e">
        <f>VLOOKUP(A101,'Colo205_Transcription factor'!A:N,13,FALSE)</f>
        <v>#N/A</v>
      </c>
    </row>
    <row r="102" spans="1:17" ht="15" customHeight="1">
      <c r="A102" s="8" t="str">
        <f>HYPERLINK("http://portal.genego.com/cgi/entity_page.cgi?term=100&amp;id=6434","POU4F1")</f>
        <v>POU4F1</v>
      </c>
      <c r="B102" s="9">
        <v>6</v>
      </c>
      <c r="C102" s="9">
        <v>1420</v>
      </c>
      <c r="D102" s="9">
        <v>20</v>
      </c>
      <c r="E102" s="9">
        <v>26819</v>
      </c>
      <c r="F102" s="9">
        <v>1.0589999999999999</v>
      </c>
      <c r="G102" s="9">
        <v>5.6660000000000004</v>
      </c>
      <c r="H102" s="9">
        <v>4.4430000000000001E-4</v>
      </c>
      <c r="I102" s="9">
        <v>4.9359999999999999</v>
      </c>
      <c r="J102" s="10"/>
      <c r="K102" s="14"/>
      <c r="L102" s="12"/>
      <c r="M102" s="14"/>
      <c r="N102" s="32"/>
      <c r="O102" s="33" t="e">
        <f>VLOOKUP(A102,'Colo205_Transcription factor'!A:N,7,FALSE)</f>
        <v>#N/A</v>
      </c>
      <c r="P102" s="33" t="e">
        <f>VLOOKUP(A102,'Colo205_Transcription factor'!A:N,11,FALSE)</f>
        <v>#N/A</v>
      </c>
      <c r="Q102" s="33" t="e">
        <f>VLOOKUP(A102,'Colo205_Transcription factor'!A:N,13,FALSE)</f>
        <v>#N/A</v>
      </c>
    </row>
    <row r="103" spans="1:17" ht="15" customHeight="1">
      <c r="A103" s="8" t="str">
        <f>HYPERLINK("http://portal.genego.com/cgi/entity_page.cgi?term=100&amp;id=6351","FOXC2")</f>
        <v>FOXC2</v>
      </c>
      <c r="B103" s="9">
        <v>8</v>
      </c>
      <c r="C103" s="9">
        <v>1420</v>
      </c>
      <c r="D103" s="9">
        <v>36</v>
      </c>
      <c r="E103" s="9">
        <v>26819</v>
      </c>
      <c r="F103" s="9">
        <v>1.9059999999999999</v>
      </c>
      <c r="G103" s="9">
        <v>4.1970000000000001</v>
      </c>
      <c r="H103" s="9">
        <v>4.8480000000000002E-4</v>
      </c>
      <c r="I103" s="9">
        <v>4.5389999999999997</v>
      </c>
      <c r="J103" s="10"/>
      <c r="K103" s="14"/>
      <c r="L103" s="12"/>
      <c r="M103" s="14"/>
      <c r="N103" s="32"/>
      <c r="O103" s="33">
        <f>VLOOKUP(A103,'Colo205_Transcription factor'!A:N,7,FALSE)</f>
        <v>3.3940000000000001</v>
      </c>
      <c r="P103" s="33">
        <f>VLOOKUP(A103,'Colo205_Transcription factor'!A:N,11,FALSE)</f>
        <v>0</v>
      </c>
      <c r="Q103" s="33">
        <f>VLOOKUP(A103,'Colo205_Transcription factor'!A:N,13,FALSE)</f>
        <v>0</v>
      </c>
    </row>
    <row r="104" spans="1:17" ht="15" customHeight="1">
      <c r="A104" s="8" t="str">
        <f>HYPERLINK("http://portal.genego.com/cgi/entity_page.cgi?term=100&amp;id=4212","IRF1")</f>
        <v>IRF1</v>
      </c>
      <c r="B104" s="9">
        <v>23</v>
      </c>
      <c r="C104" s="9">
        <v>1420</v>
      </c>
      <c r="D104" s="9">
        <v>203</v>
      </c>
      <c r="E104" s="9">
        <v>26819</v>
      </c>
      <c r="F104" s="9">
        <v>10.75</v>
      </c>
      <c r="G104" s="9">
        <v>2.14</v>
      </c>
      <c r="H104" s="9">
        <v>4.973E-4</v>
      </c>
      <c r="I104" s="9">
        <v>3.855</v>
      </c>
      <c r="J104" s="10"/>
      <c r="K104" s="14"/>
      <c r="L104" s="12"/>
      <c r="M104" s="14"/>
      <c r="N104" s="32"/>
      <c r="O104" s="33">
        <f>VLOOKUP(A104,'Colo205_Transcription factor'!A:N,7,FALSE)</f>
        <v>2.8090000000000002</v>
      </c>
      <c r="P104" s="33">
        <f>VLOOKUP(A104,'Colo205_Transcription factor'!A:N,11,FALSE)</f>
        <v>0</v>
      </c>
      <c r="Q104" s="33">
        <f>VLOOKUP(A104,'Colo205_Transcription factor'!A:N,13,FALSE)</f>
        <v>0</v>
      </c>
    </row>
    <row r="105" spans="1:17" ht="15" customHeight="1">
      <c r="A105" s="8" t="str">
        <f>HYPERLINK("http://portal.genego.com/cgi/entity_page.cgi?term=100&amp;id=4275","HNF3-alpha")</f>
        <v>HNF3-alpha</v>
      </c>
      <c r="B105" s="9">
        <v>24</v>
      </c>
      <c r="C105" s="9">
        <v>1420</v>
      </c>
      <c r="D105" s="9">
        <v>217</v>
      </c>
      <c r="E105" s="9">
        <v>26819</v>
      </c>
      <c r="F105" s="9">
        <v>11.49</v>
      </c>
      <c r="G105" s="9">
        <v>2.089</v>
      </c>
      <c r="H105" s="9">
        <v>5.4009999999999996E-4</v>
      </c>
      <c r="I105" s="9">
        <v>3.8079999999999998</v>
      </c>
      <c r="J105" s="10"/>
      <c r="K105" s="14"/>
      <c r="L105" s="12"/>
      <c r="M105" s="14"/>
      <c r="N105" s="32"/>
      <c r="O105" s="33">
        <f>VLOOKUP(A105,'Colo205_Transcription factor'!A:N,7,FALSE)</f>
        <v>2.5339999999999998</v>
      </c>
      <c r="P105" s="33">
        <f>VLOOKUP(A105,'Colo205_Transcription factor'!A:N,11,FALSE)</f>
        <v>0</v>
      </c>
      <c r="Q105" s="33">
        <f>VLOOKUP(A105,'Colo205_Transcription factor'!A:N,13,FALSE)</f>
        <v>0</v>
      </c>
    </row>
    <row r="106" spans="1:17" ht="15" customHeight="1">
      <c r="A106" s="8" t="str">
        <f>HYPERLINK("http://portal.genego.com/cgi/entity_page.cgi?term=100&amp;id=-1824428328","PPAR-beta(delta)")</f>
        <v>PPAR-beta(delta)</v>
      </c>
      <c r="B106" s="9">
        <v>16</v>
      </c>
      <c r="C106" s="9">
        <v>1420</v>
      </c>
      <c r="D106" s="9">
        <v>119</v>
      </c>
      <c r="E106" s="9">
        <v>26819</v>
      </c>
      <c r="F106" s="9">
        <v>6.3010000000000002</v>
      </c>
      <c r="G106" s="9">
        <v>2.5390000000000001</v>
      </c>
      <c r="H106" s="9">
        <v>5.4529999999999997E-4</v>
      </c>
      <c r="I106" s="9">
        <v>3.9790000000000001</v>
      </c>
      <c r="J106" s="10"/>
      <c r="K106" s="14"/>
      <c r="L106" s="12"/>
      <c r="M106" s="14"/>
      <c r="N106" s="32"/>
      <c r="O106" s="33" t="e">
        <f>VLOOKUP(A106,'Colo205_Transcription factor'!A:N,7,FALSE)</f>
        <v>#N/A</v>
      </c>
      <c r="P106" s="33" t="e">
        <f>VLOOKUP(A106,'Colo205_Transcription factor'!A:N,11,FALSE)</f>
        <v>#N/A</v>
      </c>
      <c r="Q106" s="33" t="e">
        <f>VLOOKUP(A106,'Colo205_Transcription factor'!A:N,13,FALSE)</f>
        <v>#N/A</v>
      </c>
    </row>
    <row r="107" spans="1:17" ht="15" customHeight="1">
      <c r="A107" s="8" t="str">
        <f>HYPERLINK("http://portal.genego.com/cgi/entity_page.cgi?term=100&amp;id=6395","HOXB8")</f>
        <v>HOXB8</v>
      </c>
      <c r="B107" s="9">
        <v>3</v>
      </c>
      <c r="C107" s="9">
        <v>1420</v>
      </c>
      <c r="D107" s="9">
        <v>4</v>
      </c>
      <c r="E107" s="9">
        <v>26819</v>
      </c>
      <c r="F107" s="9">
        <v>0.21179999999999999</v>
      </c>
      <c r="G107" s="9">
        <v>14.16</v>
      </c>
      <c r="H107" s="9">
        <v>5.6910000000000001E-4</v>
      </c>
      <c r="I107" s="9">
        <v>6.226</v>
      </c>
      <c r="J107" s="10"/>
      <c r="K107" s="14"/>
      <c r="L107" s="12"/>
      <c r="M107" s="14"/>
      <c r="N107" s="32"/>
      <c r="O107" s="33">
        <f>VLOOKUP(A107,'Colo205_Transcription factor'!A:N,7,FALSE)</f>
        <v>15.27</v>
      </c>
      <c r="P107" s="33">
        <f>VLOOKUP(A107,'Colo205_Transcription factor'!A:N,11,FALSE)</f>
        <v>0</v>
      </c>
      <c r="Q107" s="33">
        <f>VLOOKUP(A107,'Colo205_Transcription factor'!A:N,13,FALSE)</f>
        <v>0</v>
      </c>
    </row>
    <row r="108" spans="1:17" ht="15" customHeight="1">
      <c r="A108" s="8" t="str">
        <f>HYPERLINK("http://portal.genego.com/cgi/entity_page.cgi?term=100&amp;id=-895829418","LBX1")</f>
        <v>LBX1</v>
      </c>
      <c r="B108" s="9">
        <v>3</v>
      </c>
      <c r="C108" s="9">
        <v>1420</v>
      </c>
      <c r="D108" s="9">
        <v>4</v>
      </c>
      <c r="E108" s="9">
        <v>26819</v>
      </c>
      <c r="F108" s="9">
        <v>0.21179999999999999</v>
      </c>
      <c r="G108" s="9">
        <v>14.16</v>
      </c>
      <c r="H108" s="9">
        <v>5.6910000000000001E-4</v>
      </c>
      <c r="I108" s="9">
        <v>6.226</v>
      </c>
      <c r="J108" s="10"/>
      <c r="K108" s="14"/>
      <c r="L108" s="12"/>
      <c r="M108" s="14"/>
      <c r="N108" s="32"/>
      <c r="O108" s="33" t="e">
        <f>VLOOKUP(A108,'Colo205_Transcription factor'!A:N,7,FALSE)</f>
        <v>#N/A</v>
      </c>
      <c r="P108" s="33" t="e">
        <f>VLOOKUP(A108,'Colo205_Transcription factor'!A:N,11,FALSE)</f>
        <v>#N/A</v>
      </c>
      <c r="Q108" s="33" t="e">
        <f>VLOOKUP(A108,'Colo205_Transcription factor'!A:N,13,FALSE)</f>
        <v>#N/A</v>
      </c>
    </row>
    <row r="109" spans="1:17" ht="15" customHeight="1">
      <c r="A109" s="8" t="str">
        <f>HYPERLINK("http://portal.genego.com/cgi/entity_page.cgi?term=100&amp;id=237","ESR2")</f>
        <v>ESR2</v>
      </c>
      <c r="B109" s="9">
        <v>18</v>
      </c>
      <c r="C109" s="9">
        <v>1420</v>
      </c>
      <c r="D109" s="9">
        <v>143</v>
      </c>
      <c r="E109" s="9">
        <v>26819</v>
      </c>
      <c r="F109" s="9">
        <v>7.5709999999999997</v>
      </c>
      <c r="G109" s="9">
        <v>2.3769999999999998</v>
      </c>
      <c r="H109" s="9">
        <v>5.6979999999999997E-4</v>
      </c>
      <c r="I109" s="9">
        <v>3.9049999999999998</v>
      </c>
      <c r="J109" s="10"/>
      <c r="K109" s="14"/>
      <c r="L109" s="12"/>
      <c r="M109" s="14"/>
      <c r="N109" s="32"/>
      <c r="O109" s="33">
        <f>VLOOKUP(A109,'Colo205_Transcription factor'!A:N,7,FALSE)</f>
        <v>2.99</v>
      </c>
      <c r="P109" s="33">
        <f>VLOOKUP(A109,'Colo205_Transcription factor'!A:N,11,FALSE)</f>
        <v>0</v>
      </c>
      <c r="Q109" s="33">
        <f>VLOOKUP(A109,'Colo205_Transcription factor'!A:N,13,FALSE)</f>
        <v>0</v>
      </c>
    </row>
    <row r="110" spans="1:17" ht="15" customHeight="1">
      <c r="A110" s="8" t="str">
        <f>HYPERLINK("http://portal.genego.com/cgi/entity_page.cgi?term=100&amp;id=4325","Oct-1")</f>
        <v>Oct-1</v>
      </c>
      <c r="B110" s="9">
        <v>21</v>
      </c>
      <c r="C110" s="9">
        <v>1420</v>
      </c>
      <c r="D110" s="9">
        <v>180</v>
      </c>
      <c r="E110" s="9">
        <v>26819</v>
      </c>
      <c r="F110" s="9">
        <v>9.5310000000000006</v>
      </c>
      <c r="G110" s="9">
        <v>2.2029999999999998</v>
      </c>
      <c r="H110" s="9">
        <v>5.8219999999999995E-4</v>
      </c>
      <c r="I110" s="9">
        <v>3.83</v>
      </c>
      <c r="J110" s="10"/>
      <c r="K110" s="14"/>
      <c r="L110" s="12"/>
      <c r="M110" s="14"/>
      <c r="N110" s="32"/>
      <c r="O110" s="33">
        <f>VLOOKUP(A110,'Colo205_Transcription factor'!A:N,7,FALSE)</f>
        <v>2.2629999999999999</v>
      </c>
      <c r="P110" s="33">
        <f>VLOOKUP(A110,'Colo205_Transcription factor'!A:N,11,FALSE)</f>
        <v>0</v>
      </c>
      <c r="Q110" s="33">
        <f>VLOOKUP(A110,'Colo205_Transcription factor'!A:N,13,FALSE)</f>
        <v>0</v>
      </c>
    </row>
    <row r="111" spans="1:17" ht="15" customHeight="1">
      <c r="A111" s="8" t="str">
        <f>HYPERLINK("http://portal.genego.com/cgi/entity_page.cgi?term=100&amp;id=4307","SOX4")</f>
        <v>SOX4</v>
      </c>
      <c r="B111" s="9">
        <v>15</v>
      </c>
      <c r="C111" s="9">
        <v>1420</v>
      </c>
      <c r="D111" s="9">
        <v>109</v>
      </c>
      <c r="E111" s="9">
        <v>26819</v>
      </c>
      <c r="F111" s="9">
        <v>5.7709999999999999</v>
      </c>
      <c r="G111" s="9">
        <v>2.5990000000000002</v>
      </c>
      <c r="H111" s="9">
        <v>6.2679999999999995E-4</v>
      </c>
      <c r="I111" s="9">
        <v>3.9550000000000001</v>
      </c>
      <c r="J111" s="10"/>
      <c r="K111" s="14"/>
      <c r="L111" s="12"/>
      <c r="M111" s="14"/>
      <c r="N111" s="32"/>
      <c r="O111" s="33">
        <f>VLOOKUP(A111,'Colo205_Transcription factor'!A:N,7,FALSE)</f>
        <v>3.1760000000000002</v>
      </c>
      <c r="P111" s="33">
        <f>VLOOKUP(A111,'Colo205_Transcription factor'!A:N,11,FALSE)</f>
        <v>0</v>
      </c>
      <c r="Q111" s="33">
        <f>VLOOKUP(A111,'Colo205_Transcription factor'!A:N,13,FALSE)</f>
        <v>0</v>
      </c>
    </row>
    <row r="112" spans="1:17" ht="15" customHeight="1">
      <c r="A112" s="8" t="str">
        <f>HYPERLINK("http://portal.genego.com/cgi/entity_page.cgi?term=100&amp;id=4310","ATF-1")</f>
        <v>ATF-1</v>
      </c>
      <c r="B112" s="9">
        <v>11</v>
      </c>
      <c r="C112" s="9">
        <v>1420</v>
      </c>
      <c r="D112" s="9">
        <v>66</v>
      </c>
      <c r="E112" s="9">
        <v>26819</v>
      </c>
      <c r="F112" s="9">
        <v>3.4950000000000001</v>
      </c>
      <c r="G112" s="9">
        <v>3.1480000000000001</v>
      </c>
      <c r="H112" s="9">
        <v>6.4550000000000002E-4</v>
      </c>
      <c r="I112" s="9">
        <v>4.1310000000000002</v>
      </c>
      <c r="J112" s="10"/>
      <c r="K112" s="14"/>
      <c r="L112" s="12"/>
      <c r="M112" s="14"/>
      <c r="N112" s="32"/>
      <c r="O112" s="33" t="e">
        <f>VLOOKUP(A112,'Colo205_Transcription factor'!A:N,7,FALSE)</f>
        <v>#N/A</v>
      </c>
      <c r="P112" s="33" t="e">
        <f>VLOOKUP(A112,'Colo205_Transcription factor'!A:N,11,FALSE)</f>
        <v>#N/A</v>
      </c>
      <c r="Q112" s="33" t="e">
        <f>VLOOKUP(A112,'Colo205_Transcription factor'!A:N,13,FALSE)</f>
        <v>#N/A</v>
      </c>
    </row>
    <row r="113" spans="1:17" ht="15" customHeight="1">
      <c r="A113" s="8" t="str">
        <f>HYPERLINK("http://portal.genego.com/cgi/entity_page.cgi?term=100&amp;id=2826","TWIST1")</f>
        <v>TWIST1</v>
      </c>
      <c r="B113" s="9">
        <v>16</v>
      </c>
      <c r="C113" s="9">
        <v>1420</v>
      </c>
      <c r="D113" s="9">
        <v>121</v>
      </c>
      <c r="E113" s="9">
        <v>26819</v>
      </c>
      <c r="F113" s="9">
        <v>6.407</v>
      </c>
      <c r="G113" s="9">
        <v>2.4969999999999999</v>
      </c>
      <c r="H113" s="9">
        <v>6.5680000000000003E-4</v>
      </c>
      <c r="I113" s="9">
        <v>3.903</v>
      </c>
      <c r="J113" s="10" t="s">
        <v>15</v>
      </c>
      <c r="K113" s="24">
        <v>1.2967738</v>
      </c>
      <c r="L113" s="12">
        <v>2.7542449999999998E-3</v>
      </c>
      <c r="M113" s="24">
        <v>1.3335367</v>
      </c>
      <c r="N113" s="32">
        <v>2.7542449999999998E-3</v>
      </c>
      <c r="O113" s="33">
        <f>VLOOKUP(A113,'Colo205_Transcription factor'!A:N,7,FALSE)</f>
        <v>2.1880000000000002</v>
      </c>
      <c r="P113" s="33">
        <f>VLOOKUP(A113,'Colo205_Transcription factor'!A:N,11,FALSE)</f>
        <v>0</v>
      </c>
      <c r="Q113" s="33">
        <f>VLOOKUP(A113,'Colo205_Transcription factor'!A:N,13,FALSE)</f>
        <v>0</v>
      </c>
    </row>
    <row r="114" spans="1:17" ht="15" customHeight="1">
      <c r="A114" s="8" t="str">
        <f>HYPERLINK("http://portal.genego.com/cgi/entity_page.cgi?term=100&amp;id=-1545880960","TCF7L1 (TCF3)")</f>
        <v>TCF7L1 (TCF3)</v>
      </c>
      <c r="B114" s="9">
        <v>12</v>
      </c>
      <c r="C114" s="9">
        <v>1420</v>
      </c>
      <c r="D114" s="9">
        <v>77</v>
      </c>
      <c r="E114" s="9">
        <v>26819</v>
      </c>
      <c r="F114" s="9">
        <v>4.077</v>
      </c>
      <c r="G114" s="9">
        <v>2.9430000000000001</v>
      </c>
      <c r="H114" s="9">
        <v>6.979E-4</v>
      </c>
      <c r="I114" s="9">
        <v>4.0380000000000003</v>
      </c>
      <c r="J114" s="10"/>
      <c r="K114" s="14"/>
      <c r="L114" s="12"/>
      <c r="M114" s="14"/>
      <c r="N114" s="32"/>
      <c r="O114" s="33" t="e">
        <f>VLOOKUP(A114,'Colo205_Transcription factor'!A:N,7,FALSE)</f>
        <v>#N/A</v>
      </c>
      <c r="P114" s="33" t="e">
        <f>VLOOKUP(A114,'Colo205_Transcription factor'!A:N,11,FALSE)</f>
        <v>#N/A</v>
      </c>
      <c r="Q114" s="33" t="e">
        <f>VLOOKUP(A114,'Colo205_Transcription factor'!A:N,13,FALSE)</f>
        <v>#N/A</v>
      </c>
    </row>
    <row r="115" spans="1:17" ht="15" customHeight="1">
      <c r="A115" s="8" t="str">
        <f>HYPERLINK("http://portal.genego.com/cgi/entity_page.cgi?term=100&amp;id=4386","TCF8")</f>
        <v>TCF8</v>
      </c>
      <c r="B115" s="9">
        <v>14</v>
      </c>
      <c r="C115" s="9">
        <v>1420</v>
      </c>
      <c r="D115" s="9">
        <v>99</v>
      </c>
      <c r="E115" s="9">
        <v>26819</v>
      </c>
      <c r="F115" s="9">
        <v>5.242</v>
      </c>
      <c r="G115" s="9">
        <v>2.6709999999999998</v>
      </c>
      <c r="H115" s="9">
        <v>7.1319999999999999E-4</v>
      </c>
      <c r="I115" s="9">
        <v>3.9380000000000002</v>
      </c>
      <c r="J115" s="10" t="s">
        <v>16</v>
      </c>
      <c r="K115" s="16">
        <v>-1.2985572999999999</v>
      </c>
      <c r="L115" s="12">
        <v>1.403955E-5</v>
      </c>
      <c r="M115" s="17">
        <v>-0.44056082000000002</v>
      </c>
      <c r="N115" s="32">
        <v>1.403955E-5</v>
      </c>
      <c r="O115" s="33">
        <f>VLOOKUP(A115,'Colo205_Transcription factor'!A:N,7,FALSE)</f>
        <v>2.2629999999999999</v>
      </c>
      <c r="P115" s="33">
        <f>VLOOKUP(A115,'Colo205_Transcription factor'!A:N,11,FALSE)</f>
        <v>0</v>
      </c>
      <c r="Q115" s="33">
        <f>VLOOKUP(A115,'Colo205_Transcription factor'!A:N,13,FALSE)</f>
        <v>0</v>
      </c>
    </row>
    <row r="116" spans="1:17" ht="15" customHeight="1">
      <c r="A116" s="8" t="str">
        <f>HYPERLINK("http://portal.genego.com/cgi/entity_page.cgi?term=100&amp;id=6013","RUNX2")</f>
        <v>RUNX2</v>
      </c>
      <c r="B116" s="9">
        <v>20</v>
      </c>
      <c r="C116" s="9">
        <v>1420</v>
      </c>
      <c r="D116" s="9">
        <v>171</v>
      </c>
      <c r="E116" s="9">
        <v>26819</v>
      </c>
      <c r="F116" s="9">
        <v>9.0540000000000003</v>
      </c>
      <c r="G116" s="9">
        <v>2.2090000000000001</v>
      </c>
      <c r="H116" s="9">
        <v>7.5319999999999998E-4</v>
      </c>
      <c r="I116" s="9">
        <v>3.75</v>
      </c>
      <c r="J116" s="10"/>
      <c r="K116" s="14"/>
      <c r="L116" s="12"/>
      <c r="M116" s="14"/>
      <c r="N116" s="32"/>
      <c r="O116" s="33" t="e">
        <f>VLOOKUP(A116,'Colo205_Transcription factor'!A:N,7,FALSE)</f>
        <v>#N/A</v>
      </c>
      <c r="P116" s="33" t="e">
        <f>VLOOKUP(A116,'Colo205_Transcription factor'!A:N,11,FALSE)</f>
        <v>#N/A</v>
      </c>
      <c r="Q116" s="33" t="e">
        <f>VLOOKUP(A116,'Colo205_Transcription factor'!A:N,13,FALSE)</f>
        <v>#N/A</v>
      </c>
    </row>
    <row r="117" spans="1:17" ht="15" customHeight="1">
      <c r="A117" s="8" t="str">
        <f>HYPERLINK("http://portal.genego.com/cgi/entity_page.cgi?term=100&amp;id=6283","HEY2")</f>
        <v>HEY2</v>
      </c>
      <c r="B117" s="9">
        <v>6</v>
      </c>
      <c r="C117" s="9">
        <v>1420</v>
      </c>
      <c r="D117" s="9">
        <v>22</v>
      </c>
      <c r="E117" s="9">
        <v>26819</v>
      </c>
      <c r="F117" s="9">
        <v>1.165</v>
      </c>
      <c r="G117" s="9">
        <v>5.1509999999999998</v>
      </c>
      <c r="H117" s="9">
        <v>7.8089999999999995E-4</v>
      </c>
      <c r="I117" s="9">
        <v>4.6050000000000004</v>
      </c>
      <c r="J117" s="10"/>
      <c r="K117" s="14"/>
      <c r="L117" s="12"/>
      <c r="M117" s="14"/>
      <c r="N117" s="32"/>
      <c r="O117" s="33">
        <f>VLOOKUP(A117,'Colo205_Transcription factor'!A:N,7,FALSE)</f>
        <v>5.5540000000000003</v>
      </c>
      <c r="P117" s="33">
        <f>VLOOKUP(A117,'Colo205_Transcription factor'!A:N,11,FALSE)</f>
        <v>0</v>
      </c>
      <c r="Q117" s="33">
        <f>VLOOKUP(A117,'Colo205_Transcription factor'!A:N,13,FALSE)</f>
        <v>0</v>
      </c>
    </row>
    <row r="118" spans="1:17" ht="15" customHeight="1">
      <c r="A118" s="8" t="str">
        <f>HYPERLINK("http://portal.genego.com/cgi/entity_page.cgi?term=100&amp;id=-425220220","SOX11")</f>
        <v>SOX11</v>
      </c>
      <c r="B118" s="9">
        <v>7</v>
      </c>
      <c r="C118" s="9">
        <v>1420</v>
      </c>
      <c r="D118" s="9">
        <v>30</v>
      </c>
      <c r="E118" s="9">
        <v>26819</v>
      </c>
      <c r="F118" s="9">
        <v>1.5880000000000001</v>
      </c>
      <c r="G118" s="9">
        <v>4.407</v>
      </c>
      <c r="H118" s="9">
        <v>7.9830000000000005E-4</v>
      </c>
      <c r="I118" s="9">
        <v>4.415</v>
      </c>
      <c r="J118" s="10"/>
      <c r="K118" s="14"/>
      <c r="L118" s="12"/>
      <c r="M118" s="14"/>
      <c r="N118" s="32"/>
      <c r="O118" s="33" t="e">
        <f>VLOOKUP(A118,'Colo205_Transcription factor'!A:N,7,FALSE)</f>
        <v>#N/A</v>
      </c>
      <c r="P118" s="33" t="e">
        <f>VLOOKUP(A118,'Colo205_Transcription factor'!A:N,11,FALSE)</f>
        <v>#N/A</v>
      </c>
      <c r="Q118" s="33" t="e">
        <f>VLOOKUP(A118,'Colo205_Transcription factor'!A:N,13,FALSE)</f>
        <v>#N/A</v>
      </c>
    </row>
    <row r="119" spans="1:17" ht="15" customHeight="1">
      <c r="A119" s="8" t="str">
        <f>HYPERLINK("http://portal.genego.com/cgi/entity_page.cgi?term=100&amp;id=-387300372","PAX2")</f>
        <v>PAX2</v>
      </c>
      <c r="B119" s="9">
        <v>7</v>
      </c>
      <c r="C119" s="9">
        <v>1420</v>
      </c>
      <c r="D119" s="9">
        <v>31</v>
      </c>
      <c r="E119" s="9">
        <v>26819</v>
      </c>
      <c r="F119" s="9">
        <v>1.641</v>
      </c>
      <c r="G119" s="9">
        <v>4.2649999999999997</v>
      </c>
      <c r="H119" s="9">
        <v>9.8440000000000008E-4</v>
      </c>
      <c r="I119" s="9">
        <v>4.3</v>
      </c>
      <c r="J119" s="10"/>
      <c r="K119" s="14"/>
      <c r="L119" s="12"/>
      <c r="M119" s="14"/>
      <c r="N119" s="32"/>
      <c r="O119" s="33" t="e">
        <f>VLOOKUP(A119,'Colo205_Transcription factor'!A:N,7,FALSE)</f>
        <v>#N/A</v>
      </c>
      <c r="P119" s="33" t="e">
        <f>VLOOKUP(A119,'Colo205_Transcription factor'!A:N,11,FALSE)</f>
        <v>#N/A</v>
      </c>
      <c r="Q119" s="33" t="e">
        <f>VLOOKUP(A119,'Colo205_Transcription factor'!A:N,13,FALSE)</f>
        <v>#N/A</v>
      </c>
    </row>
    <row r="120" spans="1:17" ht="15" customHeight="1">
      <c r="A120" s="8" t="str">
        <f>HYPERLINK("http://portal.genego.com/cgi/entity_page.cgi?term=100&amp;id=-636753165","SP7")</f>
        <v>SP7</v>
      </c>
      <c r="B120" s="9">
        <v>6</v>
      </c>
      <c r="C120" s="9">
        <v>1420</v>
      </c>
      <c r="D120" s="9">
        <v>23</v>
      </c>
      <c r="E120" s="9">
        <v>26819</v>
      </c>
      <c r="F120" s="9">
        <v>1.218</v>
      </c>
      <c r="G120" s="9">
        <v>4.9269999999999996</v>
      </c>
      <c r="H120" s="9">
        <v>1.0089999999999999E-3</v>
      </c>
      <c r="I120" s="9">
        <v>4.4550000000000001</v>
      </c>
      <c r="J120" s="10"/>
      <c r="K120" s="14"/>
      <c r="L120" s="12"/>
      <c r="M120" s="14"/>
      <c r="N120" s="32"/>
      <c r="O120" s="33" t="e">
        <f>VLOOKUP(A120,'Colo205_Transcription factor'!A:N,7,FALSE)</f>
        <v>#N/A</v>
      </c>
      <c r="P120" s="33" t="e">
        <f>VLOOKUP(A120,'Colo205_Transcription factor'!A:N,11,FALSE)</f>
        <v>#N/A</v>
      </c>
      <c r="Q120" s="33" t="e">
        <f>VLOOKUP(A120,'Colo205_Transcription factor'!A:N,13,FALSE)</f>
        <v>#N/A</v>
      </c>
    </row>
    <row r="121" spans="1:17" ht="15" customHeight="1">
      <c r="A121" s="8" t="str">
        <f>HYPERLINK("http://portal.genego.com/cgi/entity_page.cgi?term=100&amp;id=304","GFI-1")</f>
        <v>GFI-1</v>
      </c>
      <c r="B121" s="9">
        <v>8</v>
      </c>
      <c r="C121" s="9">
        <v>1420</v>
      </c>
      <c r="D121" s="9">
        <v>40</v>
      </c>
      <c r="E121" s="9">
        <v>26819</v>
      </c>
      <c r="F121" s="9">
        <v>2.1179999999999999</v>
      </c>
      <c r="G121" s="9">
        <v>3.7770000000000001</v>
      </c>
      <c r="H121" s="9">
        <v>1.021E-3</v>
      </c>
      <c r="I121" s="9">
        <v>4.1559999999999997</v>
      </c>
      <c r="J121" s="10"/>
      <c r="K121" s="14"/>
      <c r="L121" s="12"/>
      <c r="M121" s="14"/>
      <c r="N121" s="32"/>
      <c r="O121" s="33">
        <f>VLOOKUP(A121,'Colo205_Transcription factor'!A:N,7,FALSE)</f>
        <v>3.0550000000000002</v>
      </c>
      <c r="P121" s="33">
        <f>VLOOKUP(A121,'Colo205_Transcription factor'!A:N,11,FALSE)</f>
        <v>0</v>
      </c>
      <c r="Q121" s="33">
        <f>VLOOKUP(A121,'Colo205_Transcription factor'!A:N,13,FALSE)</f>
        <v>0</v>
      </c>
    </row>
    <row r="122" spans="1:17" ht="15" customHeight="1">
      <c r="A122" s="8" t="str">
        <f>HYPERLINK("http://portal.genego.com/cgi/entity_page.cgi?term=100&amp;id=-1687911864","SALL4")</f>
        <v>SALL4</v>
      </c>
      <c r="B122" s="9">
        <v>16</v>
      </c>
      <c r="C122" s="9">
        <v>1420</v>
      </c>
      <c r="D122" s="9">
        <v>126</v>
      </c>
      <c r="E122" s="9">
        <v>26819</v>
      </c>
      <c r="F122" s="9">
        <v>6.6710000000000003</v>
      </c>
      <c r="G122" s="9">
        <v>2.3980000000000001</v>
      </c>
      <c r="H122" s="9">
        <v>1.024E-3</v>
      </c>
      <c r="I122" s="9">
        <v>3.72</v>
      </c>
      <c r="J122" s="10"/>
      <c r="K122" s="14"/>
      <c r="L122" s="12"/>
      <c r="M122" s="14"/>
      <c r="N122" s="32"/>
      <c r="O122" s="33" t="e">
        <f>VLOOKUP(A122,'Colo205_Transcription factor'!A:N,7,FALSE)</f>
        <v>#N/A</v>
      </c>
      <c r="P122" s="33" t="e">
        <f>VLOOKUP(A122,'Colo205_Transcription factor'!A:N,11,FALSE)</f>
        <v>#N/A</v>
      </c>
      <c r="Q122" s="33" t="e">
        <f>VLOOKUP(A122,'Colo205_Transcription factor'!A:N,13,FALSE)</f>
        <v>#N/A</v>
      </c>
    </row>
    <row r="123" spans="1:17" ht="15" customHeight="1">
      <c r="A123" s="8" t="str">
        <f>HYPERLINK("http://portal.genego.com/cgi/entity_page.cgi?term=100&amp;id=-931168680","ETV2")</f>
        <v>ETV2</v>
      </c>
      <c r="B123" s="9">
        <v>5</v>
      </c>
      <c r="C123" s="9">
        <v>1420</v>
      </c>
      <c r="D123" s="9">
        <v>16</v>
      </c>
      <c r="E123" s="9">
        <v>26819</v>
      </c>
      <c r="F123" s="9">
        <v>0.84719999999999995</v>
      </c>
      <c r="G123" s="9">
        <v>5.9020000000000001</v>
      </c>
      <c r="H123" s="9">
        <v>1.1050000000000001E-3</v>
      </c>
      <c r="I123" s="9">
        <v>4.6379999999999999</v>
      </c>
      <c r="J123" s="10"/>
      <c r="K123" s="14"/>
      <c r="L123" s="12"/>
      <c r="M123" s="14"/>
      <c r="N123" s="32"/>
      <c r="O123" s="33" t="e">
        <f>VLOOKUP(A123,'Colo205_Transcription factor'!A:N,7,FALSE)</f>
        <v>#N/A</v>
      </c>
      <c r="P123" s="33" t="e">
        <f>VLOOKUP(A123,'Colo205_Transcription factor'!A:N,11,FALSE)</f>
        <v>#N/A</v>
      </c>
      <c r="Q123" s="33" t="e">
        <f>VLOOKUP(A123,'Colo205_Transcription factor'!A:N,13,FALSE)</f>
        <v>#N/A</v>
      </c>
    </row>
    <row r="124" spans="1:17" ht="15" customHeight="1">
      <c r="A124" s="8" t="str">
        <f>HYPERLINK("http://portal.genego.com/cgi/entity_page.cgi?term=100&amp;id=-523566610","KLF6")</f>
        <v>KLF6</v>
      </c>
      <c r="B124" s="9">
        <v>9</v>
      </c>
      <c r="C124" s="9">
        <v>1420</v>
      </c>
      <c r="D124" s="9">
        <v>50</v>
      </c>
      <c r="E124" s="9">
        <v>26819</v>
      </c>
      <c r="F124" s="9">
        <v>2.6469999999999998</v>
      </c>
      <c r="G124" s="9">
        <v>3.4</v>
      </c>
      <c r="H124" s="9">
        <v>1.1169999999999999E-3</v>
      </c>
      <c r="I124" s="9">
        <v>4.016</v>
      </c>
      <c r="J124" s="10" t="s">
        <v>17</v>
      </c>
      <c r="K124" s="24">
        <v>1.3463577</v>
      </c>
      <c r="L124" s="12">
        <v>8.9326369999999996E-4</v>
      </c>
      <c r="M124" s="24">
        <v>1.4527615</v>
      </c>
      <c r="N124" s="32">
        <v>8.9326369999999996E-4</v>
      </c>
      <c r="O124" s="33">
        <f>VLOOKUP(A124,'Colo205_Transcription factor'!A:N,7,FALSE)</f>
        <v>3.665</v>
      </c>
      <c r="P124" s="33">
        <f>VLOOKUP(A124,'Colo205_Transcription factor'!A:N,11,FALSE)</f>
        <v>0</v>
      </c>
      <c r="Q124" s="33">
        <f>VLOOKUP(A124,'Colo205_Transcription factor'!A:N,13,FALSE)</f>
        <v>0</v>
      </c>
    </row>
    <row r="125" spans="1:17" ht="15" customHeight="1">
      <c r="A125" s="8" t="str">
        <f>HYPERLINK("http://portal.genego.com/cgi/entity_page.cgi?term=100&amp;id=6279","MEIS2")</f>
        <v>MEIS2</v>
      </c>
      <c r="B125" s="9">
        <v>4</v>
      </c>
      <c r="C125" s="9">
        <v>1420</v>
      </c>
      <c r="D125" s="9">
        <v>10</v>
      </c>
      <c r="E125" s="9">
        <v>26819</v>
      </c>
      <c r="F125" s="9">
        <v>0.52949999999999997</v>
      </c>
      <c r="G125" s="9">
        <v>7.5549999999999997</v>
      </c>
      <c r="H125" s="9">
        <v>1.2700000000000001E-3</v>
      </c>
      <c r="I125" s="9">
        <v>4.9020000000000001</v>
      </c>
      <c r="J125" s="10"/>
      <c r="K125" s="14"/>
      <c r="L125" s="12"/>
      <c r="M125" s="14"/>
      <c r="N125" s="32"/>
      <c r="O125" s="33" t="e">
        <f>VLOOKUP(A125,'Colo205_Transcription factor'!A:N,7,FALSE)</f>
        <v>#N/A</v>
      </c>
      <c r="P125" s="33" t="e">
        <f>VLOOKUP(A125,'Colo205_Transcription factor'!A:N,11,FALSE)</f>
        <v>#N/A</v>
      </c>
      <c r="Q125" s="33" t="e">
        <f>VLOOKUP(A125,'Colo205_Transcription factor'!A:N,13,FALSE)</f>
        <v>#N/A</v>
      </c>
    </row>
    <row r="126" spans="1:17" ht="15" customHeight="1">
      <c r="A126" s="8" t="str">
        <f>HYPERLINK("http://portal.genego.com/cgi/entity_page.cgi?term=100&amp;id=-366957943","SHOX")</f>
        <v>SHOX</v>
      </c>
      <c r="B126" s="9">
        <v>3</v>
      </c>
      <c r="C126" s="9">
        <v>1420</v>
      </c>
      <c r="D126" s="9">
        <v>5</v>
      </c>
      <c r="E126" s="9">
        <v>26819</v>
      </c>
      <c r="F126" s="9">
        <v>0.26469999999999999</v>
      </c>
      <c r="G126" s="9">
        <v>11.33</v>
      </c>
      <c r="H126" s="9">
        <v>1.366E-3</v>
      </c>
      <c r="I126" s="9">
        <v>5.4630000000000001</v>
      </c>
      <c r="J126" s="10"/>
      <c r="K126" s="14"/>
      <c r="L126" s="12"/>
      <c r="M126" s="14"/>
      <c r="N126" s="32"/>
      <c r="O126" s="33" t="e">
        <f>VLOOKUP(A126,'Colo205_Transcription factor'!A:N,7,FALSE)</f>
        <v>#N/A</v>
      </c>
      <c r="P126" s="33" t="e">
        <f>VLOOKUP(A126,'Colo205_Transcription factor'!A:N,11,FALSE)</f>
        <v>#N/A</v>
      </c>
      <c r="Q126" s="33" t="e">
        <f>VLOOKUP(A126,'Colo205_Transcription factor'!A:N,13,FALSE)</f>
        <v>#N/A</v>
      </c>
    </row>
    <row r="127" spans="1:17" ht="15" customHeight="1">
      <c r="A127" s="8" t="str">
        <f>HYPERLINK("http://portal.genego.com/cgi/entity_page.cgi?term=100&amp;id=885","c-Myb")</f>
        <v>c-Myb</v>
      </c>
      <c r="B127" s="9">
        <v>19</v>
      </c>
      <c r="C127" s="9">
        <v>1420</v>
      </c>
      <c r="D127" s="9">
        <v>168</v>
      </c>
      <c r="E127" s="9">
        <v>26819</v>
      </c>
      <c r="F127" s="9">
        <v>8.8949999999999996</v>
      </c>
      <c r="G127" s="9">
        <v>2.1360000000000001</v>
      </c>
      <c r="H127" s="9">
        <v>1.5039999999999999E-3</v>
      </c>
      <c r="I127" s="9">
        <v>3.492</v>
      </c>
      <c r="J127" s="10"/>
      <c r="K127" s="14"/>
      <c r="L127" s="12"/>
      <c r="M127" s="14"/>
      <c r="N127" s="32"/>
      <c r="O127" s="33" t="e">
        <f>VLOOKUP(A127,'Colo205_Transcription factor'!A:N,7,FALSE)</f>
        <v>#N/A</v>
      </c>
      <c r="P127" s="33" t="e">
        <f>VLOOKUP(A127,'Colo205_Transcription factor'!A:N,11,FALSE)</f>
        <v>#N/A</v>
      </c>
      <c r="Q127" s="33" t="e">
        <f>VLOOKUP(A127,'Colo205_Transcription factor'!A:N,13,FALSE)</f>
        <v>#N/A</v>
      </c>
    </row>
    <row r="128" spans="1:17" ht="15" customHeight="1">
      <c r="A128" s="8" t="str">
        <f>HYPERLINK("http://portal.genego.com/cgi/entity_page.cgi?term=100&amp;id=-918241363","HNF1-alpha")</f>
        <v>HNF1-alpha</v>
      </c>
      <c r="B128" s="9">
        <v>26</v>
      </c>
      <c r="C128" s="9">
        <v>1420</v>
      </c>
      <c r="D128" s="9">
        <v>262</v>
      </c>
      <c r="E128" s="9">
        <v>26819</v>
      </c>
      <c r="F128" s="9">
        <v>13.87</v>
      </c>
      <c r="G128" s="9">
        <v>1.8740000000000001</v>
      </c>
      <c r="H128" s="9">
        <v>1.629E-3</v>
      </c>
      <c r="I128" s="9">
        <v>3.3620000000000001</v>
      </c>
      <c r="J128" s="10"/>
      <c r="K128" s="14"/>
      <c r="L128" s="12"/>
      <c r="M128" s="14"/>
      <c r="N128" s="32"/>
      <c r="O128" s="33">
        <f>VLOOKUP(A128,'Colo205_Transcription factor'!A:N,7,FALSE)</f>
        <v>2.8759999999999999</v>
      </c>
      <c r="P128" s="33">
        <f>VLOOKUP(A128,'Colo205_Transcription factor'!A:N,11,FALSE)</f>
        <v>0</v>
      </c>
      <c r="Q128" s="33">
        <f>VLOOKUP(A128,'Colo205_Transcription factor'!A:N,13,FALSE)</f>
        <v>0</v>
      </c>
    </row>
    <row r="129" spans="1:17" ht="15" customHeight="1">
      <c r="A129" s="8" t="str">
        <f>HYPERLINK("http://portal.genego.com/cgi/entity_page.cgi?term=100&amp;id=4361","PU.1")</f>
        <v>PU.1</v>
      </c>
      <c r="B129" s="9">
        <v>35</v>
      </c>
      <c r="C129" s="9">
        <v>1420</v>
      </c>
      <c r="D129" s="9">
        <v>390</v>
      </c>
      <c r="E129" s="9">
        <v>26819</v>
      </c>
      <c r="F129" s="9">
        <v>20.65</v>
      </c>
      <c r="G129" s="9">
        <v>1.6950000000000001</v>
      </c>
      <c r="H129" s="9">
        <v>1.719E-3</v>
      </c>
      <c r="I129" s="9">
        <v>3.2690000000000001</v>
      </c>
      <c r="J129" s="10"/>
      <c r="K129" s="14"/>
      <c r="L129" s="12"/>
      <c r="M129" s="14"/>
      <c r="N129" s="32"/>
      <c r="O129" s="33">
        <f>VLOOKUP(A129,'Colo205_Transcription factor'!A:N,7,FALSE)</f>
        <v>1.9319999999999999</v>
      </c>
      <c r="P129" s="33">
        <f>VLOOKUP(A129,'Colo205_Transcription factor'!A:N,11,FALSE)</f>
        <v>0</v>
      </c>
      <c r="Q129" s="33">
        <f>VLOOKUP(A129,'Colo205_Transcription factor'!A:N,13,FALSE)</f>
        <v>0</v>
      </c>
    </row>
    <row r="130" spans="1:17" ht="15" customHeight="1">
      <c r="A130" s="8" t="str">
        <f>HYPERLINK("http://portal.genego.com/cgi/entity_page.cgi?term=100&amp;id=6114","IA-1")</f>
        <v>IA-1</v>
      </c>
      <c r="B130" s="9">
        <v>4</v>
      </c>
      <c r="C130" s="9">
        <v>1420</v>
      </c>
      <c r="D130" s="9">
        <v>11</v>
      </c>
      <c r="E130" s="9">
        <v>26819</v>
      </c>
      <c r="F130" s="9">
        <v>0.58240000000000003</v>
      </c>
      <c r="G130" s="9">
        <v>6.8680000000000003</v>
      </c>
      <c r="H130" s="9">
        <v>1.913E-3</v>
      </c>
      <c r="I130" s="9">
        <v>4.6020000000000003</v>
      </c>
      <c r="J130" s="10"/>
      <c r="K130" s="14"/>
      <c r="L130" s="12"/>
      <c r="M130" s="14"/>
      <c r="N130" s="32"/>
      <c r="O130" s="33" t="e">
        <f>VLOOKUP(A130,'Colo205_Transcription factor'!A:N,7,FALSE)</f>
        <v>#N/A</v>
      </c>
      <c r="P130" s="33" t="e">
        <f>VLOOKUP(A130,'Colo205_Transcription factor'!A:N,11,FALSE)</f>
        <v>#N/A</v>
      </c>
      <c r="Q130" s="33" t="e">
        <f>VLOOKUP(A130,'Colo205_Transcription factor'!A:N,13,FALSE)</f>
        <v>#N/A</v>
      </c>
    </row>
    <row r="131" spans="1:17" ht="15" customHeight="1">
      <c r="A131" s="8" t="str">
        <f>HYPERLINK("http://portal.genego.com/cgi/entity_page.cgi?term=100&amp;id=4225","FOXK2 (ILF1-4)")</f>
        <v>FOXK2 (ILF1-4)</v>
      </c>
      <c r="B131" s="9">
        <v>5</v>
      </c>
      <c r="C131" s="9">
        <v>1420</v>
      </c>
      <c r="D131" s="9">
        <v>18</v>
      </c>
      <c r="E131" s="9">
        <v>26819</v>
      </c>
      <c r="F131" s="9">
        <v>0.95309999999999995</v>
      </c>
      <c r="G131" s="9">
        <v>5.2460000000000004</v>
      </c>
      <c r="H131" s="9">
        <v>1.983E-3</v>
      </c>
      <c r="I131" s="9">
        <v>4.2610000000000001</v>
      </c>
      <c r="J131" s="10"/>
      <c r="K131" s="14"/>
      <c r="L131" s="12"/>
      <c r="M131" s="14"/>
      <c r="N131" s="32"/>
      <c r="O131" s="33" t="e">
        <f>VLOOKUP(A131,'Colo205_Transcription factor'!A:N,7,FALSE)</f>
        <v>#N/A</v>
      </c>
      <c r="P131" s="33" t="e">
        <f>VLOOKUP(A131,'Colo205_Transcription factor'!A:N,11,FALSE)</f>
        <v>#N/A</v>
      </c>
      <c r="Q131" s="33" t="e">
        <f>VLOOKUP(A131,'Colo205_Transcription factor'!A:N,13,FALSE)</f>
        <v>#N/A</v>
      </c>
    </row>
    <row r="132" spans="1:17" ht="15" customHeight="1">
      <c r="A132" s="8" t="str">
        <f>HYPERLINK("http://portal.genego.com/cgi/entity_page.cgi?term=100&amp;id=4337","IRF2")</f>
        <v>IRF2</v>
      </c>
      <c r="B132" s="9">
        <v>11</v>
      </c>
      <c r="C132" s="9">
        <v>1420</v>
      </c>
      <c r="D132" s="9">
        <v>76</v>
      </c>
      <c r="E132" s="9">
        <v>26819</v>
      </c>
      <c r="F132" s="9">
        <v>4.024</v>
      </c>
      <c r="G132" s="9">
        <v>2.734</v>
      </c>
      <c r="H132" s="9">
        <v>2.1259999999999999E-3</v>
      </c>
      <c r="I132" s="9">
        <v>3.5779999999999998</v>
      </c>
      <c r="J132" s="10"/>
      <c r="K132" s="14"/>
      <c r="L132" s="12"/>
      <c r="M132" s="14"/>
      <c r="N132" s="32"/>
      <c r="O132" s="33">
        <f>VLOOKUP(A132,'Colo205_Transcription factor'!A:N,7,FALSE)</f>
        <v>3.4830000000000001</v>
      </c>
      <c r="P132" s="33">
        <f>VLOOKUP(A132,'Colo205_Transcription factor'!A:N,11,FALSE)</f>
        <v>0</v>
      </c>
      <c r="Q132" s="33">
        <f>VLOOKUP(A132,'Colo205_Transcription factor'!A:N,13,FALSE)</f>
        <v>0</v>
      </c>
    </row>
    <row r="133" spans="1:17" ht="15" customHeight="1">
      <c r="A133" s="8" t="str">
        <f>HYPERLINK("http://portal.genego.com/cgi/entity_page.cgi?term=100&amp;id=200","DAX1")</f>
        <v>DAX1</v>
      </c>
      <c r="B133" s="9">
        <v>5</v>
      </c>
      <c r="C133" s="9">
        <v>1420</v>
      </c>
      <c r="D133" s="9">
        <v>19</v>
      </c>
      <c r="E133" s="9">
        <v>26819</v>
      </c>
      <c r="F133" s="9">
        <v>1.006</v>
      </c>
      <c r="G133" s="9">
        <v>4.97</v>
      </c>
      <c r="H133" s="9">
        <v>2.575E-3</v>
      </c>
      <c r="I133" s="9">
        <v>4.093</v>
      </c>
      <c r="J133" s="10"/>
      <c r="K133" s="14"/>
      <c r="L133" s="12"/>
      <c r="M133" s="14"/>
      <c r="N133" s="32"/>
      <c r="O133" s="33" t="e">
        <f>VLOOKUP(A133,'Colo205_Transcription factor'!A:N,7,FALSE)</f>
        <v>#N/A</v>
      </c>
      <c r="P133" s="33" t="e">
        <f>VLOOKUP(A133,'Colo205_Transcription factor'!A:N,11,FALSE)</f>
        <v>#N/A</v>
      </c>
      <c r="Q133" s="33" t="e">
        <f>VLOOKUP(A133,'Colo205_Transcription factor'!A:N,13,FALSE)</f>
        <v>#N/A</v>
      </c>
    </row>
    <row r="134" spans="1:17" ht="15" customHeight="1">
      <c r="A134" s="8" t="str">
        <f>HYPERLINK("http://portal.genego.com/cgi/entity_page.cgi?term=100&amp;id=4434","Ikaros")</f>
        <v>Ikaros</v>
      </c>
      <c r="B134" s="9">
        <v>10</v>
      </c>
      <c r="C134" s="9">
        <v>1420</v>
      </c>
      <c r="D134" s="9">
        <v>67</v>
      </c>
      <c r="E134" s="9">
        <v>26819</v>
      </c>
      <c r="F134" s="9">
        <v>3.5470000000000002</v>
      </c>
      <c r="G134" s="9">
        <v>2.819</v>
      </c>
      <c r="H134" s="9">
        <v>2.6450000000000002E-3</v>
      </c>
      <c r="I134" s="9">
        <v>3.5249999999999999</v>
      </c>
      <c r="J134" s="10"/>
      <c r="K134" s="14"/>
      <c r="L134" s="12"/>
      <c r="M134" s="14"/>
      <c r="N134" s="32"/>
      <c r="O134" s="33">
        <f>VLOOKUP(A134,'Colo205_Transcription factor'!A:N,7,FALSE)</f>
        <v>3.0390000000000001</v>
      </c>
      <c r="P134" s="33">
        <f>VLOOKUP(A134,'Colo205_Transcription factor'!A:N,11,FALSE)</f>
        <v>0</v>
      </c>
      <c r="Q134" s="33">
        <f>VLOOKUP(A134,'Colo205_Transcription factor'!A:N,13,FALSE)</f>
        <v>0</v>
      </c>
    </row>
    <row r="135" spans="1:17" ht="15" customHeight="1">
      <c r="A135" s="8" t="str">
        <f>HYPERLINK("http://portal.genego.com/cgi/entity_page.cgi?term=100&amp;id=2832","NRF2")</f>
        <v>NRF2</v>
      </c>
      <c r="B135" s="9">
        <v>19</v>
      </c>
      <c r="C135" s="9">
        <v>1420</v>
      </c>
      <c r="D135" s="9">
        <v>177</v>
      </c>
      <c r="E135" s="9">
        <v>26819</v>
      </c>
      <c r="F135" s="9">
        <v>9.3719999999999999</v>
      </c>
      <c r="G135" s="9">
        <v>2.0270000000000001</v>
      </c>
      <c r="H135" s="9">
        <v>2.7409999999999999E-3</v>
      </c>
      <c r="I135" s="9">
        <v>3.2429999999999999</v>
      </c>
      <c r="J135" s="10"/>
      <c r="K135" s="14"/>
      <c r="L135" s="12"/>
      <c r="M135" s="14"/>
      <c r="N135" s="32"/>
      <c r="O135" s="33">
        <f>VLOOKUP(A135,'Colo205_Transcription factor'!A:N,7,FALSE)</f>
        <v>2.4159999999999999</v>
      </c>
      <c r="P135" s="33">
        <f>VLOOKUP(A135,'Colo205_Transcription factor'!A:N,11,FALSE)</f>
        <v>0</v>
      </c>
      <c r="Q135" s="33">
        <f>VLOOKUP(A135,'Colo205_Transcription factor'!A:N,13,FALSE)</f>
        <v>0</v>
      </c>
    </row>
    <row r="136" spans="1:17" ht="15" customHeight="1">
      <c r="A136" s="8" t="str">
        <f>HYPERLINK("http://portal.genego.com/cgi/entity_page.cgi?term=100&amp;id=-1305841262","RBMS1")</f>
        <v>RBMS1</v>
      </c>
      <c r="B136" s="9">
        <v>2</v>
      </c>
      <c r="C136" s="9">
        <v>1420</v>
      </c>
      <c r="D136" s="9">
        <v>2</v>
      </c>
      <c r="E136" s="9">
        <v>26819</v>
      </c>
      <c r="F136" s="9">
        <v>0.10589999999999999</v>
      </c>
      <c r="G136" s="9">
        <v>18.89</v>
      </c>
      <c r="H136" s="9">
        <v>2.8019999999999998E-3</v>
      </c>
      <c r="I136" s="9">
        <v>5.9809999999999999</v>
      </c>
      <c r="J136" s="10"/>
      <c r="K136" s="14"/>
      <c r="L136" s="12"/>
      <c r="M136" s="14"/>
      <c r="N136" s="32"/>
      <c r="O136" s="33" t="e">
        <f>VLOOKUP(A136,'Colo205_Transcription factor'!A:N,7,FALSE)</f>
        <v>#N/A</v>
      </c>
      <c r="P136" s="33" t="e">
        <f>VLOOKUP(A136,'Colo205_Transcription factor'!A:N,11,FALSE)</f>
        <v>#N/A</v>
      </c>
      <c r="Q136" s="33" t="e">
        <f>VLOOKUP(A136,'Colo205_Transcription factor'!A:N,13,FALSE)</f>
        <v>#N/A</v>
      </c>
    </row>
    <row r="137" spans="1:17" ht="15" customHeight="1">
      <c r="A137" s="8" t="str">
        <f>HYPERLINK("http://portal.genego.com/cgi/entity_page.cgi?term=100&amp;id=-1243436854","Foxl1")</f>
        <v>Foxl1</v>
      </c>
      <c r="B137" s="9">
        <v>2</v>
      </c>
      <c r="C137" s="9">
        <v>1420</v>
      </c>
      <c r="D137" s="9">
        <v>2</v>
      </c>
      <c r="E137" s="9">
        <v>26819</v>
      </c>
      <c r="F137" s="9">
        <v>0.10589999999999999</v>
      </c>
      <c r="G137" s="9">
        <v>18.89</v>
      </c>
      <c r="H137" s="9">
        <v>2.8019999999999998E-3</v>
      </c>
      <c r="I137" s="9">
        <v>5.9809999999999999</v>
      </c>
      <c r="J137" s="10"/>
      <c r="K137" s="14"/>
      <c r="L137" s="12"/>
      <c r="M137" s="14"/>
      <c r="N137" s="32"/>
      <c r="O137" s="33" t="e">
        <f>VLOOKUP(A137,'Colo205_Transcription factor'!A:N,7,FALSE)</f>
        <v>#N/A</v>
      </c>
      <c r="P137" s="33" t="e">
        <f>VLOOKUP(A137,'Colo205_Transcription factor'!A:N,11,FALSE)</f>
        <v>#N/A</v>
      </c>
      <c r="Q137" s="33" t="e">
        <f>VLOOKUP(A137,'Colo205_Transcription factor'!A:N,13,FALSE)</f>
        <v>#N/A</v>
      </c>
    </row>
    <row r="138" spans="1:17" ht="15" customHeight="1">
      <c r="A138" s="8" t="str">
        <f>HYPERLINK("http://portal.genego.com/cgi/entity_page.cgi?term=100&amp;id=4608","TAL1")</f>
        <v>TAL1</v>
      </c>
      <c r="B138" s="9">
        <v>21</v>
      </c>
      <c r="C138" s="9">
        <v>1420</v>
      </c>
      <c r="D138" s="9">
        <v>204</v>
      </c>
      <c r="E138" s="9">
        <v>26819</v>
      </c>
      <c r="F138" s="9">
        <v>10.8</v>
      </c>
      <c r="G138" s="9">
        <v>1.944</v>
      </c>
      <c r="H138" s="9">
        <v>2.82E-3</v>
      </c>
      <c r="I138" s="9">
        <v>3.2010000000000001</v>
      </c>
      <c r="J138" s="10"/>
      <c r="K138" s="14"/>
      <c r="L138" s="12"/>
      <c r="M138" s="14"/>
      <c r="N138" s="32"/>
      <c r="O138" s="33">
        <f>VLOOKUP(A138,'Colo205_Transcription factor'!A:N,7,FALSE)</f>
        <v>2.3959999999999999</v>
      </c>
      <c r="P138" s="33">
        <f>VLOOKUP(A138,'Colo205_Transcription factor'!A:N,11,FALSE)</f>
        <v>0</v>
      </c>
      <c r="Q138" s="33">
        <f>VLOOKUP(A138,'Colo205_Transcription factor'!A:N,13,FALSE)</f>
        <v>0</v>
      </c>
    </row>
    <row r="139" spans="1:17" ht="15" customHeight="1">
      <c r="A139" s="8" t="str">
        <f>HYPERLINK("http://portal.genego.com/cgi/entity_page.cgi?term=100&amp;id=6331","T brachyury protein")</f>
        <v>T brachyury protein</v>
      </c>
      <c r="B139" s="9">
        <v>9</v>
      </c>
      <c r="C139" s="9">
        <v>1420</v>
      </c>
      <c r="D139" s="9">
        <v>57</v>
      </c>
      <c r="E139" s="9">
        <v>26819</v>
      </c>
      <c r="F139" s="9">
        <v>3.0179999999999998</v>
      </c>
      <c r="G139" s="9">
        <v>2.9820000000000002</v>
      </c>
      <c r="H139" s="9">
        <v>2.882E-3</v>
      </c>
      <c r="I139" s="9">
        <v>3.5419999999999998</v>
      </c>
      <c r="J139" s="10" t="s">
        <v>18</v>
      </c>
      <c r="K139" s="16">
        <v>-1.2479773000000001</v>
      </c>
      <c r="L139" s="12">
        <v>1.9055969999999998E-2</v>
      </c>
      <c r="M139" s="18">
        <v>-1.1657592999999999</v>
      </c>
      <c r="N139" s="32">
        <v>1.9055969999999998E-2</v>
      </c>
      <c r="O139" s="33" t="e">
        <f>VLOOKUP(A139,'Colo205_Transcription factor'!A:N,7,FALSE)</f>
        <v>#N/A</v>
      </c>
      <c r="P139" s="33" t="e">
        <f>VLOOKUP(A139,'Colo205_Transcription factor'!A:N,11,FALSE)</f>
        <v>#N/A</v>
      </c>
      <c r="Q139" s="33" t="e">
        <f>VLOOKUP(A139,'Colo205_Transcription factor'!A:N,13,FALSE)</f>
        <v>#N/A</v>
      </c>
    </row>
    <row r="140" spans="1:17" ht="15" customHeight="1">
      <c r="A140" s="8" t="str">
        <f>HYPERLINK("http://portal.genego.com/cgi/entity_page.cgi?term=100&amp;id=4267","STAT6")</f>
        <v>STAT6</v>
      </c>
      <c r="B140" s="9">
        <v>23</v>
      </c>
      <c r="C140" s="9">
        <v>1420</v>
      </c>
      <c r="D140" s="9">
        <v>232</v>
      </c>
      <c r="E140" s="9">
        <v>26819</v>
      </c>
      <c r="F140" s="9">
        <v>12.28</v>
      </c>
      <c r="G140" s="9">
        <v>1.8720000000000001</v>
      </c>
      <c r="H140" s="9">
        <v>2.9629999999999999E-3</v>
      </c>
      <c r="I140" s="9">
        <v>3.1549999999999998</v>
      </c>
      <c r="J140" s="10"/>
      <c r="K140" s="14"/>
      <c r="L140" s="12"/>
      <c r="M140" s="14"/>
      <c r="N140" s="32"/>
      <c r="O140" s="33" t="e">
        <f>VLOOKUP(A140,'Colo205_Transcription factor'!A:N,7,FALSE)</f>
        <v>#N/A</v>
      </c>
      <c r="P140" s="33" t="e">
        <f>VLOOKUP(A140,'Colo205_Transcription factor'!A:N,11,FALSE)</f>
        <v>#N/A</v>
      </c>
      <c r="Q140" s="33" t="e">
        <f>VLOOKUP(A140,'Colo205_Transcription factor'!A:N,13,FALSE)</f>
        <v>#N/A</v>
      </c>
    </row>
    <row r="141" spans="1:17" ht="15" customHeight="1">
      <c r="A141" s="8" t="str">
        <f>HYPERLINK("http://portal.genego.com/cgi/entity_page.cgi?term=100&amp;id=4406","CDX2")</f>
        <v>CDX2</v>
      </c>
      <c r="B141" s="9">
        <v>15</v>
      </c>
      <c r="C141" s="9">
        <v>1420</v>
      </c>
      <c r="D141" s="9">
        <v>127</v>
      </c>
      <c r="E141" s="9">
        <v>26819</v>
      </c>
      <c r="F141" s="9">
        <v>6.7240000000000002</v>
      </c>
      <c r="G141" s="9">
        <v>2.2309999999999999</v>
      </c>
      <c r="H141" s="9">
        <v>2.9759999999999999E-3</v>
      </c>
      <c r="I141" s="9">
        <v>3.2869999999999999</v>
      </c>
      <c r="J141" s="10"/>
      <c r="K141" s="14"/>
      <c r="L141" s="12"/>
      <c r="M141" s="14"/>
      <c r="N141" s="32"/>
      <c r="O141" s="33">
        <f>VLOOKUP(A141,'Colo205_Transcription factor'!A:N,7,FALSE)</f>
        <v>3.2069999999999999</v>
      </c>
      <c r="P141" s="33">
        <f>VLOOKUP(A141,'Colo205_Transcription factor'!A:N,11,FALSE)</f>
        <v>0</v>
      </c>
      <c r="Q141" s="33">
        <f>VLOOKUP(A141,'Colo205_Transcription factor'!A:N,13,FALSE)</f>
        <v>0</v>
      </c>
    </row>
    <row r="142" spans="1:17" ht="15" customHeight="1">
      <c r="A142" s="8" t="str">
        <f>HYPERLINK("http://portal.genego.com/cgi/entity_page.cgi?term=100&amp;id=-187592413","REX1")</f>
        <v>REX1</v>
      </c>
      <c r="B142" s="9">
        <v>6</v>
      </c>
      <c r="C142" s="9">
        <v>1420</v>
      </c>
      <c r="D142" s="9">
        <v>28</v>
      </c>
      <c r="E142" s="9">
        <v>26819</v>
      </c>
      <c r="F142" s="9">
        <v>1.4830000000000001</v>
      </c>
      <c r="G142" s="9">
        <v>4.0469999999999997</v>
      </c>
      <c r="H142" s="9">
        <v>3.0040000000000002E-3</v>
      </c>
      <c r="I142" s="9">
        <v>3.8140000000000001</v>
      </c>
      <c r="J142" s="10"/>
      <c r="K142" s="14"/>
      <c r="L142" s="12"/>
      <c r="M142" s="14"/>
      <c r="N142" s="32"/>
      <c r="O142" s="33" t="e">
        <f>VLOOKUP(A142,'Colo205_Transcription factor'!A:N,7,FALSE)</f>
        <v>#N/A</v>
      </c>
      <c r="P142" s="33" t="e">
        <f>VLOOKUP(A142,'Colo205_Transcription factor'!A:N,11,FALSE)</f>
        <v>#N/A</v>
      </c>
      <c r="Q142" s="33" t="e">
        <f>VLOOKUP(A142,'Colo205_Transcription factor'!A:N,13,FALSE)</f>
        <v>#N/A</v>
      </c>
    </row>
    <row r="143" spans="1:17" ht="15" customHeight="1">
      <c r="A143" s="8" t="str">
        <f>HYPERLINK("http://portal.genego.com/cgi/entity_page.cgi?term=100&amp;id=520","NF-AT4(NFATC3)")</f>
        <v>NF-AT4(NFATC3)</v>
      </c>
      <c r="B143" s="9">
        <v>8</v>
      </c>
      <c r="C143" s="9">
        <v>1420</v>
      </c>
      <c r="D143" s="9">
        <v>47</v>
      </c>
      <c r="E143" s="9">
        <v>26819</v>
      </c>
      <c r="F143" s="9">
        <v>2.4889999999999999</v>
      </c>
      <c r="G143" s="9">
        <v>3.2149999999999999</v>
      </c>
      <c r="H143" s="9">
        <v>3.0079999999999998E-3</v>
      </c>
      <c r="I143" s="9">
        <v>3.593</v>
      </c>
      <c r="J143" s="10"/>
      <c r="K143" s="14"/>
      <c r="L143" s="12"/>
      <c r="M143" s="14"/>
      <c r="N143" s="32"/>
      <c r="O143" s="33">
        <f>VLOOKUP(A143,'Colo205_Transcription factor'!A:N,7,FALSE)</f>
        <v>3.4660000000000002</v>
      </c>
      <c r="P143" s="33">
        <f>VLOOKUP(A143,'Colo205_Transcription factor'!A:N,11,FALSE)</f>
        <v>0</v>
      </c>
      <c r="Q143" s="33">
        <f>VLOOKUP(A143,'Colo205_Transcription factor'!A:N,13,FALSE)</f>
        <v>0</v>
      </c>
    </row>
    <row r="144" spans="1:17" ht="15" customHeight="1">
      <c r="A144" s="8" t="str">
        <f>HYPERLINK("http://portal.genego.com/cgi/entity_page.cgi?term=100&amp;id=749","TBP")</f>
        <v>TBP</v>
      </c>
      <c r="B144" s="9">
        <v>14</v>
      </c>
      <c r="C144" s="9">
        <v>1420</v>
      </c>
      <c r="D144" s="9">
        <v>115</v>
      </c>
      <c r="E144" s="9">
        <v>26819</v>
      </c>
      <c r="F144" s="9">
        <v>6.0890000000000004</v>
      </c>
      <c r="G144" s="9">
        <v>2.2989999999999999</v>
      </c>
      <c r="H144" s="9">
        <v>3.055E-3</v>
      </c>
      <c r="I144" s="9">
        <v>3.3010000000000002</v>
      </c>
      <c r="J144" s="10"/>
      <c r="K144" s="14"/>
      <c r="L144" s="12"/>
      <c r="M144" s="14"/>
      <c r="N144" s="32"/>
      <c r="O144" s="33">
        <f>VLOOKUP(A144,'Colo205_Transcription factor'!A:N,7,FALSE)</f>
        <v>2.6560000000000001</v>
      </c>
      <c r="P144" s="33">
        <f>VLOOKUP(A144,'Colo205_Transcription factor'!A:N,11,FALSE)</f>
        <v>0</v>
      </c>
      <c r="Q144" s="33">
        <f>VLOOKUP(A144,'Colo205_Transcription factor'!A:N,13,FALSE)</f>
        <v>0</v>
      </c>
    </row>
    <row r="145" spans="1:17" ht="15" customHeight="1">
      <c r="A145" s="8" t="str">
        <f>HYPERLINK("http://portal.genego.com/cgi/entity_page.cgi?term=100&amp;id=2211","CSX (Nkx2.5)")</f>
        <v>CSX (Nkx2.5)</v>
      </c>
      <c r="B145" s="9">
        <v>9</v>
      </c>
      <c r="C145" s="9">
        <v>1420</v>
      </c>
      <c r="D145" s="9">
        <v>58</v>
      </c>
      <c r="E145" s="9">
        <v>26819</v>
      </c>
      <c r="F145" s="9">
        <v>3.0710000000000002</v>
      </c>
      <c r="G145" s="9">
        <v>2.931</v>
      </c>
      <c r="H145" s="9">
        <v>3.2539999999999999E-3</v>
      </c>
      <c r="I145" s="9">
        <v>3.48</v>
      </c>
      <c r="J145" s="10"/>
      <c r="K145" s="14"/>
      <c r="L145" s="12"/>
      <c r="M145" s="14"/>
      <c r="N145" s="32"/>
      <c r="O145" s="33" t="e">
        <f>VLOOKUP(A145,'Colo205_Transcription factor'!A:N,7,FALSE)</f>
        <v>#N/A</v>
      </c>
      <c r="P145" s="33" t="e">
        <f>VLOOKUP(A145,'Colo205_Transcription factor'!A:N,11,FALSE)</f>
        <v>#N/A</v>
      </c>
      <c r="Q145" s="33" t="e">
        <f>VLOOKUP(A145,'Colo205_Transcription factor'!A:N,13,FALSE)</f>
        <v>#N/A</v>
      </c>
    </row>
    <row r="146" spans="1:17" ht="15" customHeight="1">
      <c r="A146" s="8" t="str">
        <f>HYPERLINK("http://portal.genego.com/cgi/entity_page.cgi?term=100&amp;id=-1543177360","HMGA2")</f>
        <v>HMGA2</v>
      </c>
      <c r="B146" s="9">
        <v>5</v>
      </c>
      <c r="C146" s="9">
        <v>1420</v>
      </c>
      <c r="D146" s="9">
        <v>20</v>
      </c>
      <c r="E146" s="9">
        <v>26819</v>
      </c>
      <c r="F146" s="9">
        <v>1.0589999999999999</v>
      </c>
      <c r="G146" s="9">
        <v>4.7220000000000004</v>
      </c>
      <c r="H146" s="9">
        <v>3.2859999999999999E-3</v>
      </c>
      <c r="I146" s="9">
        <v>3.9369999999999998</v>
      </c>
      <c r="J146" s="10"/>
      <c r="K146" s="14"/>
      <c r="L146" s="12"/>
      <c r="M146" s="14"/>
      <c r="N146" s="32"/>
      <c r="O146" s="33" t="e">
        <f>VLOOKUP(A146,'Colo205_Transcription factor'!A:N,7,FALSE)</f>
        <v>#N/A</v>
      </c>
      <c r="P146" s="33" t="e">
        <f>VLOOKUP(A146,'Colo205_Transcription factor'!A:N,11,FALSE)</f>
        <v>#N/A</v>
      </c>
      <c r="Q146" s="33" t="e">
        <f>VLOOKUP(A146,'Colo205_Transcription factor'!A:N,13,FALSE)</f>
        <v>#N/A</v>
      </c>
    </row>
    <row r="147" spans="1:17" ht="15" customHeight="1">
      <c r="A147" s="8" t="str">
        <f>HYPERLINK("http://portal.genego.com/cgi/entity_page.cgi?term=100&amp;id=6086","FOXC1")</f>
        <v>FOXC1</v>
      </c>
      <c r="B147" s="9">
        <v>5</v>
      </c>
      <c r="C147" s="9">
        <v>1420</v>
      </c>
      <c r="D147" s="9">
        <v>20</v>
      </c>
      <c r="E147" s="9">
        <v>26819</v>
      </c>
      <c r="F147" s="9">
        <v>1.0589999999999999</v>
      </c>
      <c r="G147" s="9">
        <v>4.7220000000000004</v>
      </c>
      <c r="H147" s="9">
        <v>3.2859999999999999E-3</v>
      </c>
      <c r="I147" s="9">
        <v>3.9369999999999998</v>
      </c>
      <c r="J147" s="10"/>
      <c r="K147" s="14"/>
      <c r="L147" s="12"/>
      <c r="M147" s="14"/>
      <c r="N147" s="32"/>
      <c r="O147" s="33" t="e">
        <f>VLOOKUP(A147,'Colo205_Transcription factor'!A:N,7,FALSE)</f>
        <v>#N/A</v>
      </c>
      <c r="P147" s="33" t="e">
        <f>VLOOKUP(A147,'Colo205_Transcription factor'!A:N,11,FALSE)</f>
        <v>#N/A</v>
      </c>
      <c r="Q147" s="33" t="e">
        <f>VLOOKUP(A147,'Colo205_Transcription factor'!A:N,13,FALSE)</f>
        <v>#N/A</v>
      </c>
    </row>
    <row r="148" spans="1:17" ht="15" customHeight="1">
      <c r="A148" s="8" t="str">
        <f>HYPERLINK("http://portal.genego.com/cgi/entity_page.cgi?term=100&amp;id=-1214956589","SREBP1 (nuclear)")</f>
        <v>SREBP1 (nuclear)</v>
      </c>
      <c r="B148" s="9">
        <v>16</v>
      </c>
      <c r="C148" s="9">
        <v>1420</v>
      </c>
      <c r="D148" s="9">
        <v>142</v>
      </c>
      <c r="E148" s="9">
        <v>26819</v>
      </c>
      <c r="F148" s="9">
        <v>7.5190000000000001</v>
      </c>
      <c r="G148" s="9">
        <v>2.1280000000000001</v>
      </c>
      <c r="H148" s="9">
        <v>3.5430000000000001E-3</v>
      </c>
      <c r="I148" s="9">
        <v>3.1869999999999998</v>
      </c>
      <c r="J148" s="10"/>
      <c r="K148" s="14"/>
      <c r="L148" s="12"/>
      <c r="M148" s="14"/>
      <c r="N148" s="32"/>
      <c r="O148" s="33" t="e">
        <f>VLOOKUP(A148,'Colo205_Transcription factor'!A:N,7,FALSE)</f>
        <v>#N/A</v>
      </c>
      <c r="P148" s="33" t="e">
        <f>VLOOKUP(A148,'Colo205_Transcription factor'!A:N,11,FALSE)</f>
        <v>#N/A</v>
      </c>
      <c r="Q148" s="33" t="e">
        <f>VLOOKUP(A148,'Colo205_Transcription factor'!A:N,13,FALSE)</f>
        <v>#N/A</v>
      </c>
    </row>
    <row r="149" spans="1:17" ht="15" customHeight="1">
      <c r="A149" s="8" t="str">
        <f>HYPERLINK("http://portal.genego.com/cgi/entity_page.cgi?term=100&amp;id=-600165943","FOXK1")</f>
        <v>FOXK1</v>
      </c>
      <c r="B149" s="9">
        <v>10</v>
      </c>
      <c r="C149" s="9">
        <v>1420</v>
      </c>
      <c r="D149" s="9">
        <v>70</v>
      </c>
      <c r="E149" s="9">
        <v>26819</v>
      </c>
      <c r="F149" s="9">
        <v>3.706</v>
      </c>
      <c r="G149" s="9">
        <v>2.698</v>
      </c>
      <c r="H149" s="9">
        <v>3.669E-3</v>
      </c>
      <c r="I149" s="9">
        <v>3.3639999999999999</v>
      </c>
      <c r="J149" s="10"/>
      <c r="K149" s="14"/>
      <c r="L149" s="12"/>
      <c r="M149" s="14"/>
      <c r="N149" s="32"/>
      <c r="O149" s="33" t="e">
        <f>VLOOKUP(A149,'Colo205_Transcription factor'!A:N,7,FALSE)</f>
        <v>#N/A</v>
      </c>
      <c r="P149" s="33" t="e">
        <f>VLOOKUP(A149,'Colo205_Transcription factor'!A:N,11,FALSE)</f>
        <v>#N/A</v>
      </c>
      <c r="Q149" s="33" t="e">
        <f>VLOOKUP(A149,'Colo205_Transcription factor'!A:N,13,FALSE)</f>
        <v>#N/A</v>
      </c>
    </row>
    <row r="150" spans="1:17" ht="15" customHeight="1">
      <c r="A150" s="8" t="str">
        <f>HYPERLINK("http://portal.genego.com/cgi/entity_page.cgi?term=100&amp;id=-212490910","ATF-5")</f>
        <v>ATF-5</v>
      </c>
      <c r="B150" s="9">
        <v>4</v>
      </c>
      <c r="C150" s="9">
        <v>1420</v>
      </c>
      <c r="D150" s="9">
        <v>13</v>
      </c>
      <c r="E150" s="9">
        <v>26819</v>
      </c>
      <c r="F150" s="9">
        <v>0.68830000000000002</v>
      </c>
      <c r="G150" s="9">
        <v>5.8109999999999999</v>
      </c>
      <c r="H150" s="9">
        <v>3.8059999999999999E-3</v>
      </c>
      <c r="I150" s="9">
        <v>4.1029999999999998</v>
      </c>
      <c r="J150" s="10"/>
      <c r="K150" s="14"/>
      <c r="L150" s="12"/>
      <c r="M150" s="14"/>
      <c r="N150" s="32"/>
      <c r="O150" s="33" t="e">
        <f>VLOOKUP(A150,'Colo205_Transcription factor'!A:N,7,FALSE)</f>
        <v>#N/A</v>
      </c>
      <c r="P150" s="33" t="e">
        <f>VLOOKUP(A150,'Colo205_Transcription factor'!A:N,11,FALSE)</f>
        <v>#N/A</v>
      </c>
      <c r="Q150" s="33" t="e">
        <f>VLOOKUP(A150,'Colo205_Transcription factor'!A:N,13,FALSE)</f>
        <v>#N/A</v>
      </c>
    </row>
    <row r="151" spans="1:17" ht="15" customHeight="1">
      <c r="A151" s="8" t="str">
        <f>HYPERLINK("http://portal.genego.com/cgi/entity_page.cgi?term=100&amp;id=6431","HSF1")</f>
        <v>HSF1</v>
      </c>
      <c r="B151" s="9">
        <v>26</v>
      </c>
      <c r="C151" s="9">
        <v>1420</v>
      </c>
      <c r="D151" s="9">
        <v>279</v>
      </c>
      <c r="E151" s="9">
        <v>26819</v>
      </c>
      <c r="F151" s="9">
        <v>14.77</v>
      </c>
      <c r="G151" s="9">
        <v>1.76</v>
      </c>
      <c r="H151" s="9">
        <v>3.852E-3</v>
      </c>
      <c r="I151" s="9">
        <v>3.0169999999999999</v>
      </c>
      <c r="J151" s="10"/>
      <c r="K151" s="14"/>
      <c r="L151" s="12"/>
      <c r="M151" s="14"/>
      <c r="N151" s="32"/>
      <c r="O151" s="33">
        <f>VLOOKUP(A151,'Colo205_Transcription factor'!A:N,7,FALSE)</f>
        <v>1.752</v>
      </c>
      <c r="P151" s="33">
        <f>VLOOKUP(A151,'Colo205_Transcription factor'!A:N,11,FALSE)</f>
        <v>0</v>
      </c>
      <c r="Q151" s="33">
        <f>VLOOKUP(A151,'Colo205_Transcription factor'!A:N,13,FALSE)</f>
        <v>0</v>
      </c>
    </row>
    <row r="152" spans="1:17" ht="15" customHeight="1">
      <c r="A152" s="8" t="str">
        <f>HYPERLINK("http://portal.genego.com/cgi/entity_page.cgi?term=100&amp;id=151","COUP-TFII")</f>
        <v>COUP-TFII</v>
      </c>
      <c r="B152" s="9">
        <v>12</v>
      </c>
      <c r="C152" s="9">
        <v>1420</v>
      </c>
      <c r="D152" s="9">
        <v>94</v>
      </c>
      <c r="E152" s="9">
        <v>26819</v>
      </c>
      <c r="F152" s="9">
        <v>4.9770000000000003</v>
      </c>
      <c r="G152" s="9">
        <v>2.411</v>
      </c>
      <c r="H152" s="9">
        <v>3.9839999999999997E-3</v>
      </c>
      <c r="I152" s="9">
        <v>3.24</v>
      </c>
      <c r="J152" s="10"/>
      <c r="K152" s="14"/>
      <c r="L152" s="12"/>
      <c r="M152" s="14"/>
      <c r="N152" s="32"/>
      <c r="O152" s="33">
        <f>VLOOKUP(A152,'Colo205_Transcription factor'!A:N,7,FALSE)</f>
        <v>2.383</v>
      </c>
      <c r="P152" s="33">
        <f>VLOOKUP(A152,'Colo205_Transcription factor'!A:N,11,FALSE)</f>
        <v>0</v>
      </c>
      <c r="Q152" s="33">
        <f>VLOOKUP(A152,'Colo205_Transcription factor'!A:N,13,FALSE)</f>
        <v>0</v>
      </c>
    </row>
    <row r="153" spans="1:17" ht="15" customHeight="1">
      <c r="A153" s="8" t="str">
        <f>HYPERLINK("http://portal.genego.com/cgi/entity_page.cgi?term=100&amp;id=4317","USF1")</f>
        <v>USF1</v>
      </c>
      <c r="B153" s="9">
        <v>22</v>
      </c>
      <c r="C153" s="9">
        <v>1420</v>
      </c>
      <c r="D153" s="9">
        <v>224</v>
      </c>
      <c r="E153" s="9">
        <v>26819</v>
      </c>
      <c r="F153" s="9">
        <v>11.86</v>
      </c>
      <c r="G153" s="9">
        <v>1.855</v>
      </c>
      <c r="H153" s="9">
        <v>4.032E-3</v>
      </c>
      <c r="I153" s="9">
        <v>3.0379999999999998</v>
      </c>
      <c r="J153" s="10"/>
      <c r="K153" s="14"/>
      <c r="L153" s="12"/>
      <c r="M153" s="14"/>
      <c r="N153" s="32"/>
      <c r="O153" s="33">
        <f>VLOOKUP(A153,'Colo205_Transcription factor'!A:N,7,FALSE)</f>
        <v>2.6360000000000001</v>
      </c>
      <c r="P153" s="33">
        <f>VLOOKUP(A153,'Colo205_Transcription factor'!A:N,11,FALSE)</f>
        <v>0</v>
      </c>
      <c r="Q153" s="33">
        <f>VLOOKUP(A153,'Colo205_Transcription factor'!A:N,13,FALSE)</f>
        <v>0</v>
      </c>
    </row>
    <row r="154" spans="1:17" ht="15" customHeight="1">
      <c r="A154" s="8" t="str">
        <f>HYPERLINK("http://portal.genego.com/cgi/entity_page.cgi?term=100&amp;id=-852086706","N-Myc")</f>
        <v>N-Myc</v>
      </c>
      <c r="B154" s="9">
        <v>23</v>
      </c>
      <c r="C154" s="9">
        <v>1420</v>
      </c>
      <c r="D154" s="9">
        <v>238</v>
      </c>
      <c r="E154" s="9">
        <v>26819</v>
      </c>
      <c r="F154" s="9">
        <v>12.6</v>
      </c>
      <c r="G154" s="9">
        <v>1.825</v>
      </c>
      <c r="H154" s="9">
        <v>4.0679999999999996E-3</v>
      </c>
      <c r="I154" s="9">
        <v>3.0230000000000001</v>
      </c>
      <c r="J154" s="10" t="s">
        <v>19</v>
      </c>
      <c r="K154" s="24">
        <v>1.1816137</v>
      </c>
      <c r="L154" s="12">
        <v>9.1137970000000005E-5</v>
      </c>
      <c r="M154" s="11">
        <v>1.8290762</v>
      </c>
      <c r="N154" s="32">
        <v>9.1137970000000005E-5</v>
      </c>
      <c r="O154" s="33" t="e">
        <f>VLOOKUP(A154,'Colo205_Transcription factor'!A:N,7,FALSE)</f>
        <v>#N/A</v>
      </c>
      <c r="P154" s="33" t="e">
        <f>VLOOKUP(A154,'Colo205_Transcription factor'!A:N,11,FALSE)</f>
        <v>#N/A</v>
      </c>
      <c r="Q154" s="33" t="e">
        <f>VLOOKUP(A154,'Colo205_Transcription factor'!A:N,13,FALSE)</f>
        <v>#N/A</v>
      </c>
    </row>
    <row r="155" spans="1:17" ht="15" customHeight="1">
      <c r="A155" s="8" t="str">
        <f>HYPERLINK("http://portal.genego.com/cgi/entity_page.cgi?term=100&amp;id=-167905360","TEF-3")</f>
        <v>TEF-3</v>
      </c>
      <c r="B155" s="9">
        <v>10</v>
      </c>
      <c r="C155" s="9">
        <v>1420</v>
      </c>
      <c r="D155" s="9">
        <v>71</v>
      </c>
      <c r="E155" s="9">
        <v>26819</v>
      </c>
      <c r="F155" s="9">
        <v>3.7589999999999999</v>
      </c>
      <c r="G155" s="9">
        <v>2.66</v>
      </c>
      <c r="H155" s="9">
        <v>4.0720000000000001E-3</v>
      </c>
      <c r="I155" s="9">
        <v>3.3119999999999998</v>
      </c>
      <c r="J155" s="10"/>
      <c r="K155" s="14"/>
      <c r="L155" s="12"/>
      <c r="M155" s="14"/>
      <c r="N155" s="32"/>
      <c r="O155" s="33">
        <f>VLOOKUP(A155,'Colo205_Transcription factor'!A:N,7,FALSE)</f>
        <v>2.8679999999999999</v>
      </c>
      <c r="P155" s="33">
        <f>VLOOKUP(A155,'Colo205_Transcription factor'!A:N,11,FALSE)</f>
        <v>0</v>
      </c>
      <c r="Q155" s="33">
        <f>VLOOKUP(A155,'Colo205_Transcription factor'!A:N,13,FALSE)</f>
        <v>0</v>
      </c>
    </row>
    <row r="156" spans="1:17" ht="15" customHeight="1">
      <c r="A156" s="8" t="str">
        <f>HYPERLINK("http://portal.genego.com/cgi/entity_page.cgi?term=100&amp;id=-594127466","NF-kB p50/p50")</f>
        <v>NF-kB p50/p50</v>
      </c>
      <c r="B156" s="9">
        <v>10</v>
      </c>
      <c r="C156" s="9">
        <v>1420</v>
      </c>
      <c r="D156" s="9">
        <v>71</v>
      </c>
      <c r="E156" s="9">
        <v>26819</v>
      </c>
      <c r="F156" s="9">
        <v>3.7589999999999999</v>
      </c>
      <c r="G156" s="9">
        <v>2.66</v>
      </c>
      <c r="H156" s="9">
        <v>4.0720000000000001E-3</v>
      </c>
      <c r="I156" s="9">
        <v>3.3119999999999998</v>
      </c>
      <c r="J156" s="10" t="s">
        <v>9</v>
      </c>
      <c r="K156" s="19">
        <v>-0.75210730000000003</v>
      </c>
      <c r="L156" s="12">
        <v>1.439279E-7</v>
      </c>
      <c r="M156" s="18">
        <v>-1.0414327000000001</v>
      </c>
      <c r="N156" s="32">
        <v>1.439279E-7</v>
      </c>
      <c r="O156" s="33">
        <f>VLOOKUP(A156,'Colo205_Transcription factor'!A:N,7,FALSE)</f>
        <v>3.7290000000000001</v>
      </c>
      <c r="P156" s="33">
        <f>VLOOKUP(A156,'Colo205_Transcription factor'!A:N,11,FALSE)</f>
        <v>0</v>
      </c>
      <c r="Q156" s="33">
        <f>VLOOKUP(A156,'Colo205_Transcription factor'!A:N,13,FALSE)</f>
        <v>0</v>
      </c>
    </row>
    <row r="157" spans="1:17" ht="15" customHeight="1">
      <c r="A157" s="8" t="str">
        <f>HYPERLINK("http://portal.genego.com/cgi/entity_page.cgi?term=100&amp;id=2904","RFX1")</f>
        <v>RFX1</v>
      </c>
      <c r="B157" s="9">
        <v>6</v>
      </c>
      <c r="C157" s="9">
        <v>1420</v>
      </c>
      <c r="D157" s="9">
        <v>30</v>
      </c>
      <c r="E157" s="9">
        <v>26819</v>
      </c>
      <c r="F157" s="9">
        <v>1.5880000000000001</v>
      </c>
      <c r="G157" s="9">
        <v>3.7770000000000001</v>
      </c>
      <c r="H157" s="9">
        <v>4.3249999999999999E-3</v>
      </c>
      <c r="I157" s="9">
        <v>3.5990000000000002</v>
      </c>
      <c r="J157" s="10"/>
      <c r="K157" s="14"/>
      <c r="L157" s="12"/>
      <c r="M157" s="14"/>
      <c r="N157" s="32"/>
      <c r="O157" s="33" t="e">
        <f>VLOOKUP(A157,'Colo205_Transcription factor'!A:N,7,FALSE)</f>
        <v>#N/A</v>
      </c>
      <c r="P157" s="33" t="e">
        <f>VLOOKUP(A157,'Colo205_Transcription factor'!A:N,11,FALSE)</f>
        <v>#N/A</v>
      </c>
      <c r="Q157" s="33" t="e">
        <f>VLOOKUP(A157,'Colo205_Transcription factor'!A:N,13,FALSE)</f>
        <v>#N/A</v>
      </c>
    </row>
    <row r="158" spans="1:17" ht="15" customHeight="1">
      <c r="A158" s="8" t="str">
        <f>HYPERLINK("http://portal.genego.com/cgi/entity_page.cgi?term=100&amp;id=-702951377","Vax2")</f>
        <v>Vax2</v>
      </c>
      <c r="B158" s="9">
        <v>3</v>
      </c>
      <c r="C158" s="9">
        <v>1420</v>
      </c>
      <c r="D158" s="9">
        <v>7</v>
      </c>
      <c r="E158" s="9">
        <v>26819</v>
      </c>
      <c r="F158" s="9">
        <v>0.37059999999999998</v>
      </c>
      <c r="G158" s="9">
        <v>8.0939999999999994</v>
      </c>
      <c r="H158" s="9">
        <v>4.4130000000000003E-3</v>
      </c>
      <c r="I158" s="9">
        <v>4.4390000000000001</v>
      </c>
      <c r="J158" s="10"/>
      <c r="K158" s="14"/>
      <c r="L158" s="12"/>
      <c r="M158" s="14"/>
      <c r="N158" s="32"/>
      <c r="O158" s="33" t="e">
        <f>VLOOKUP(A158,'Colo205_Transcription factor'!A:N,7,FALSE)</f>
        <v>#N/A</v>
      </c>
      <c r="P158" s="33" t="e">
        <f>VLOOKUP(A158,'Colo205_Transcription factor'!A:N,11,FALSE)</f>
        <v>#N/A</v>
      </c>
      <c r="Q158" s="33" t="e">
        <f>VLOOKUP(A158,'Colo205_Transcription factor'!A:N,13,FALSE)</f>
        <v>#N/A</v>
      </c>
    </row>
    <row r="159" spans="1:17" ht="15" customHeight="1">
      <c r="A159" s="8" t="str">
        <f>HYPERLINK("http://portal.genego.com/cgi/entity_page.cgi?term=100&amp;id=-1612154729","HNF1-beta")</f>
        <v>HNF1-beta</v>
      </c>
      <c r="B159" s="9">
        <v>10</v>
      </c>
      <c r="C159" s="9">
        <v>1420</v>
      </c>
      <c r="D159" s="9">
        <v>72</v>
      </c>
      <c r="E159" s="9">
        <v>26819</v>
      </c>
      <c r="F159" s="9">
        <v>3.8119999999999998</v>
      </c>
      <c r="G159" s="9">
        <v>2.6230000000000002</v>
      </c>
      <c r="H159" s="9">
        <v>4.5100000000000001E-3</v>
      </c>
      <c r="I159" s="9">
        <v>3.2610000000000001</v>
      </c>
      <c r="J159" s="10"/>
      <c r="K159" s="14"/>
      <c r="L159" s="12"/>
      <c r="M159" s="14"/>
      <c r="N159" s="32"/>
      <c r="O159" s="33">
        <f>VLOOKUP(A159,'Colo205_Transcription factor'!A:N,7,FALSE)</f>
        <v>3.677</v>
      </c>
      <c r="P159" s="33">
        <f>VLOOKUP(A159,'Colo205_Transcription factor'!A:N,11,FALSE)</f>
        <v>0</v>
      </c>
      <c r="Q159" s="33">
        <f>VLOOKUP(A159,'Colo205_Transcription factor'!A:N,13,FALSE)</f>
        <v>0</v>
      </c>
    </row>
    <row r="160" spans="1:17" ht="15" customHeight="1">
      <c r="A160" s="8" t="str">
        <f>HYPERLINK("http://portal.genego.com/cgi/entity_page.cgi?term=100&amp;id=-1194791084","DLX4 (BP1)")</f>
        <v>DLX4 (BP1)</v>
      </c>
      <c r="B160" s="9">
        <v>4</v>
      </c>
      <c r="C160" s="9">
        <v>1420</v>
      </c>
      <c r="D160" s="9">
        <v>14</v>
      </c>
      <c r="E160" s="9">
        <v>26819</v>
      </c>
      <c r="F160" s="9">
        <v>0.74129999999999996</v>
      </c>
      <c r="G160" s="9">
        <v>5.3959999999999999</v>
      </c>
      <c r="H160" s="9">
        <v>5.1079999999999997E-3</v>
      </c>
      <c r="I160" s="9">
        <v>3.89</v>
      </c>
      <c r="J160" s="10" t="s">
        <v>20</v>
      </c>
      <c r="K160" s="24">
        <v>1.2024986</v>
      </c>
      <c r="L160" s="12">
        <v>4.4536309999999998E-4</v>
      </c>
      <c r="M160" s="13">
        <v>0.63003229999999999</v>
      </c>
      <c r="N160" s="32">
        <v>4.4536309999999998E-4</v>
      </c>
      <c r="O160" s="33" t="e">
        <f>VLOOKUP(A160,'Colo205_Transcription factor'!A:N,7,FALSE)</f>
        <v>#N/A</v>
      </c>
      <c r="P160" s="33" t="e">
        <f>VLOOKUP(A160,'Colo205_Transcription factor'!A:N,11,FALSE)</f>
        <v>#N/A</v>
      </c>
      <c r="Q160" s="33" t="e">
        <f>VLOOKUP(A160,'Colo205_Transcription factor'!A:N,13,FALSE)</f>
        <v>#N/A</v>
      </c>
    </row>
    <row r="161" spans="1:17" ht="15" customHeight="1">
      <c r="A161" s="8" t="str">
        <f>HYPERLINK("http://portal.genego.com/cgi/entity_page.cgi?term=100&amp;id=535","Nkx2.2")</f>
        <v>Nkx2.2</v>
      </c>
      <c r="B161" s="9">
        <v>5</v>
      </c>
      <c r="C161" s="9">
        <v>1420</v>
      </c>
      <c r="D161" s="9">
        <v>22</v>
      </c>
      <c r="E161" s="9">
        <v>26819</v>
      </c>
      <c r="F161" s="9">
        <v>1.165</v>
      </c>
      <c r="G161" s="9">
        <v>4.2919999999999998</v>
      </c>
      <c r="H161" s="9">
        <v>5.1110000000000001E-3</v>
      </c>
      <c r="I161" s="9">
        <v>3.653</v>
      </c>
      <c r="J161" s="10"/>
      <c r="K161" s="14"/>
      <c r="L161" s="12"/>
      <c r="M161" s="14"/>
      <c r="N161" s="32"/>
      <c r="O161" s="33" t="e">
        <f>VLOOKUP(A161,'Colo205_Transcription factor'!A:N,7,FALSE)</f>
        <v>#N/A</v>
      </c>
      <c r="P161" s="33" t="e">
        <f>VLOOKUP(A161,'Colo205_Transcription factor'!A:N,11,FALSE)</f>
        <v>#N/A</v>
      </c>
      <c r="Q161" s="33" t="e">
        <f>VLOOKUP(A161,'Colo205_Transcription factor'!A:N,13,FALSE)</f>
        <v>#N/A</v>
      </c>
    </row>
    <row r="162" spans="1:17" ht="15" customHeight="1">
      <c r="A162" s="8" t="str">
        <f>HYPERLINK("http://portal.genego.com/cgi/entity_page.cgi?term=100&amp;id=-725338340","PTF1-p48")</f>
        <v>PTF1-p48</v>
      </c>
      <c r="B162" s="9">
        <v>5</v>
      </c>
      <c r="C162" s="9">
        <v>1420</v>
      </c>
      <c r="D162" s="9">
        <v>22</v>
      </c>
      <c r="E162" s="9">
        <v>26819</v>
      </c>
      <c r="F162" s="9">
        <v>1.165</v>
      </c>
      <c r="G162" s="9">
        <v>4.2919999999999998</v>
      </c>
      <c r="H162" s="9">
        <v>5.1110000000000001E-3</v>
      </c>
      <c r="I162" s="9">
        <v>3.653</v>
      </c>
      <c r="J162" s="10"/>
      <c r="K162" s="14"/>
      <c r="L162" s="12"/>
      <c r="M162" s="14"/>
      <c r="N162" s="32"/>
      <c r="O162" s="33" t="e">
        <f>VLOOKUP(A162,'Colo205_Transcription factor'!A:N,7,FALSE)</f>
        <v>#N/A</v>
      </c>
      <c r="P162" s="33" t="e">
        <f>VLOOKUP(A162,'Colo205_Transcription factor'!A:N,11,FALSE)</f>
        <v>#N/A</v>
      </c>
      <c r="Q162" s="33" t="e">
        <f>VLOOKUP(A162,'Colo205_Transcription factor'!A:N,13,FALSE)</f>
        <v>#N/A</v>
      </c>
    </row>
    <row r="163" spans="1:17" ht="15" customHeight="1">
      <c r="A163" s="8" t="str">
        <f>HYPERLINK("http://portal.genego.com/cgi/entity_page.cgi?term=100&amp;id=443","MafB")</f>
        <v>MafB</v>
      </c>
      <c r="B163" s="9">
        <v>6</v>
      </c>
      <c r="C163" s="9">
        <v>1420</v>
      </c>
      <c r="D163" s="9">
        <v>31</v>
      </c>
      <c r="E163" s="9">
        <v>26819</v>
      </c>
      <c r="F163" s="9">
        <v>1.641</v>
      </c>
      <c r="G163" s="9">
        <v>3.6549999999999998</v>
      </c>
      <c r="H163" s="9">
        <v>5.1269999999999996E-3</v>
      </c>
      <c r="I163" s="9">
        <v>3.4980000000000002</v>
      </c>
      <c r="J163" s="10"/>
      <c r="K163" s="14"/>
      <c r="L163" s="12"/>
      <c r="M163" s="14"/>
      <c r="N163" s="32"/>
      <c r="O163" s="33" t="e">
        <f>VLOOKUP(A163,'Colo205_Transcription factor'!A:N,7,FALSE)</f>
        <v>#N/A</v>
      </c>
      <c r="P163" s="33" t="e">
        <f>VLOOKUP(A163,'Colo205_Transcription factor'!A:N,11,FALSE)</f>
        <v>#N/A</v>
      </c>
      <c r="Q163" s="33" t="e">
        <f>VLOOKUP(A163,'Colo205_Transcription factor'!A:N,13,FALSE)</f>
        <v>#N/A</v>
      </c>
    </row>
    <row r="164" spans="1:17" ht="15" customHeight="1">
      <c r="A164" s="8" t="str">
        <f>HYPERLINK("http://portal.genego.com/cgi/entity_page.cgi?term=100&amp;id=2196","AML1 (RUNX1)")</f>
        <v>AML1 (RUNX1)</v>
      </c>
      <c r="B164" s="9">
        <v>23</v>
      </c>
      <c r="C164" s="9">
        <v>1420</v>
      </c>
      <c r="D164" s="9">
        <v>244</v>
      </c>
      <c r="E164" s="9">
        <v>26819</v>
      </c>
      <c r="F164" s="9">
        <v>12.92</v>
      </c>
      <c r="G164" s="9">
        <v>1.78</v>
      </c>
      <c r="H164" s="9">
        <v>5.4970000000000001E-3</v>
      </c>
      <c r="I164" s="9">
        <v>2.895</v>
      </c>
      <c r="J164" s="10" t="s">
        <v>21</v>
      </c>
      <c r="K164" s="25">
        <v>0.73595595000000003</v>
      </c>
      <c r="L164" s="12">
        <v>1.756973E-6</v>
      </c>
      <c r="M164" s="25">
        <v>1.0227122</v>
      </c>
      <c r="N164" s="32">
        <v>1.756973E-6</v>
      </c>
      <c r="O164" s="33">
        <f>VLOOKUP(A164,'Colo205_Transcription factor'!A:N,7,FALSE)</f>
        <v>2.2530000000000001</v>
      </c>
      <c r="P164" s="33">
        <f>VLOOKUP(A164,'Colo205_Transcription factor'!A:N,11,FALSE)</f>
        <v>0</v>
      </c>
      <c r="Q164" s="33">
        <f>VLOOKUP(A164,'Colo205_Transcription factor'!A:N,13,FALSE)</f>
        <v>0</v>
      </c>
    </row>
    <row r="165" spans="1:17" ht="15" customHeight="1">
      <c r="A165" s="8" t="str">
        <f>HYPERLINK("http://portal.genego.com/cgi/entity_page.cgi?term=100&amp;id=9200","RUNX3")</f>
        <v>RUNX3</v>
      </c>
      <c r="B165" s="9">
        <v>8</v>
      </c>
      <c r="C165" s="9">
        <v>1420</v>
      </c>
      <c r="D165" s="9">
        <v>52</v>
      </c>
      <c r="E165" s="9">
        <v>26819</v>
      </c>
      <c r="F165" s="9">
        <v>2.7530000000000001</v>
      </c>
      <c r="G165" s="9">
        <v>2.9060000000000001</v>
      </c>
      <c r="H165" s="9">
        <v>5.7039999999999999E-3</v>
      </c>
      <c r="I165" s="9">
        <v>3.2519999999999998</v>
      </c>
      <c r="J165" s="10"/>
      <c r="K165" s="14"/>
      <c r="L165" s="12"/>
      <c r="M165" s="14"/>
      <c r="N165" s="32"/>
      <c r="O165" s="33">
        <f>VLOOKUP(A165,'Colo205_Transcription factor'!A:N,7,FALSE)</f>
        <v>2.7410000000000001</v>
      </c>
      <c r="P165" s="33">
        <f>VLOOKUP(A165,'Colo205_Transcription factor'!A:N,11,FALSE)</f>
        <v>0</v>
      </c>
      <c r="Q165" s="33">
        <f>VLOOKUP(A165,'Colo205_Transcription factor'!A:N,13,FALSE)</f>
        <v>0</v>
      </c>
    </row>
    <row r="166" spans="1:17" ht="15" customHeight="1">
      <c r="A166" s="8" t="str">
        <f>HYPERLINK("http://portal.genego.com/cgi/entity_page.cgi?term=100&amp;id=-1125937618","EBF")</f>
        <v>EBF</v>
      </c>
      <c r="B166" s="9">
        <v>14</v>
      </c>
      <c r="C166" s="9">
        <v>1420</v>
      </c>
      <c r="D166" s="9">
        <v>124</v>
      </c>
      <c r="E166" s="9">
        <v>26819</v>
      </c>
      <c r="F166" s="9">
        <v>6.5650000000000004</v>
      </c>
      <c r="G166" s="9">
        <v>2.1320000000000001</v>
      </c>
      <c r="H166" s="9">
        <v>6.0260000000000001E-3</v>
      </c>
      <c r="I166" s="9">
        <v>2.988</v>
      </c>
      <c r="J166" s="10" t="s">
        <v>22</v>
      </c>
      <c r="K166" s="11">
        <v>1.5423013999999999</v>
      </c>
      <c r="L166" s="12">
        <v>4.9383820000000002E-2</v>
      </c>
      <c r="M166" s="25">
        <v>0.98754949999999997</v>
      </c>
      <c r="N166" s="32">
        <v>4.9383820000000002E-2</v>
      </c>
      <c r="O166" s="33" t="e">
        <f>VLOOKUP(A166,'Colo205_Transcription factor'!A:N,7,FALSE)</f>
        <v>#N/A</v>
      </c>
      <c r="P166" s="33" t="e">
        <f>VLOOKUP(A166,'Colo205_Transcription factor'!A:N,11,FALSE)</f>
        <v>#N/A</v>
      </c>
      <c r="Q166" s="33" t="e">
        <f>VLOOKUP(A166,'Colo205_Transcription factor'!A:N,13,FALSE)</f>
        <v>#N/A</v>
      </c>
    </row>
    <row r="167" spans="1:17" ht="15" customHeight="1">
      <c r="A167" s="8" t="str">
        <f>HYPERLINK("http://portal.genego.com/cgi/entity_page.cgi?term=100&amp;id=519","NF-AT3(NFATC4)")</f>
        <v>NF-AT3(NFATC4)</v>
      </c>
      <c r="B167" s="9">
        <v>7</v>
      </c>
      <c r="C167" s="9">
        <v>1420</v>
      </c>
      <c r="D167" s="9">
        <v>42</v>
      </c>
      <c r="E167" s="9">
        <v>26819</v>
      </c>
      <c r="F167" s="9">
        <v>2.2240000000000002</v>
      </c>
      <c r="G167" s="9">
        <v>3.1480000000000001</v>
      </c>
      <c r="H167" s="9">
        <v>6.0860000000000003E-3</v>
      </c>
      <c r="I167" s="9">
        <v>3.294</v>
      </c>
      <c r="J167" s="10"/>
      <c r="K167" s="14"/>
      <c r="L167" s="12"/>
      <c r="M167" s="14"/>
      <c r="N167" s="32"/>
      <c r="O167" s="33" t="e">
        <f>VLOOKUP(A167,'Colo205_Transcription factor'!A:N,7,FALSE)</f>
        <v>#N/A</v>
      </c>
      <c r="P167" s="33" t="e">
        <f>VLOOKUP(A167,'Colo205_Transcription factor'!A:N,11,FALSE)</f>
        <v>#N/A</v>
      </c>
      <c r="Q167" s="33" t="e">
        <f>VLOOKUP(A167,'Colo205_Transcription factor'!A:N,13,FALSE)</f>
        <v>#N/A</v>
      </c>
    </row>
    <row r="168" spans="1:17" ht="15" customHeight="1">
      <c r="A168" s="8" t="str">
        <f>HYPERLINK("http://portal.genego.com/cgi/entity_page.cgi?term=100&amp;id=620","PXR")</f>
        <v>PXR</v>
      </c>
      <c r="B168" s="9">
        <v>7</v>
      </c>
      <c r="C168" s="9">
        <v>1420</v>
      </c>
      <c r="D168" s="9">
        <v>42</v>
      </c>
      <c r="E168" s="9">
        <v>26819</v>
      </c>
      <c r="F168" s="9">
        <v>2.2240000000000002</v>
      </c>
      <c r="G168" s="9">
        <v>3.1480000000000001</v>
      </c>
      <c r="H168" s="9">
        <v>6.0860000000000003E-3</v>
      </c>
      <c r="I168" s="9">
        <v>3.294</v>
      </c>
      <c r="J168" s="10"/>
      <c r="K168" s="14"/>
      <c r="L168" s="12"/>
      <c r="M168" s="14"/>
      <c r="N168" s="32"/>
      <c r="O168" s="33">
        <f>VLOOKUP(A168,'Colo205_Transcription factor'!A:N,7,FALSE)</f>
        <v>4.3639999999999999</v>
      </c>
      <c r="P168" s="33">
        <f>VLOOKUP(A168,'Colo205_Transcription factor'!A:N,11,FALSE)</f>
        <v>0</v>
      </c>
      <c r="Q168" s="33">
        <f>VLOOKUP(A168,'Colo205_Transcription factor'!A:N,13,FALSE)</f>
        <v>0</v>
      </c>
    </row>
    <row r="169" spans="1:17" ht="15" customHeight="1">
      <c r="A169" s="8" t="str">
        <f>HYPERLINK("http://portal.genego.com/cgi/entity_page.cgi?term=100&amp;id=250","Evi-1")</f>
        <v>Evi-1</v>
      </c>
      <c r="B169" s="9">
        <v>11</v>
      </c>
      <c r="C169" s="9">
        <v>1420</v>
      </c>
      <c r="D169" s="9">
        <v>87</v>
      </c>
      <c r="E169" s="9">
        <v>26819</v>
      </c>
      <c r="F169" s="9">
        <v>4.6059999999999999</v>
      </c>
      <c r="G169" s="9">
        <v>2.3879999999999999</v>
      </c>
      <c r="H169" s="9">
        <v>6.1390000000000004E-3</v>
      </c>
      <c r="I169" s="9">
        <v>3.0659999999999998</v>
      </c>
      <c r="J169" s="10"/>
      <c r="K169" s="14"/>
      <c r="L169" s="12"/>
      <c r="M169" s="14"/>
      <c r="N169" s="32"/>
      <c r="O169" s="33" t="e">
        <f>VLOOKUP(A169,'Colo205_Transcription factor'!A:N,7,FALSE)</f>
        <v>#N/A</v>
      </c>
      <c r="P169" s="33" t="e">
        <f>VLOOKUP(A169,'Colo205_Transcription factor'!A:N,11,FALSE)</f>
        <v>#N/A</v>
      </c>
      <c r="Q169" s="33" t="e">
        <f>VLOOKUP(A169,'Colo205_Transcription factor'!A:N,13,FALSE)</f>
        <v>#N/A</v>
      </c>
    </row>
    <row r="170" spans="1:17" ht="15" customHeight="1">
      <c r="A170" s="8" t="str">
        <f>HYPERLINK("http://portal.genego.com/cgi/entity_page.cgi?term=100&amp;id=-703706922","SIP1 (ZFHX1B)")</f>
        <v>SIP1 (ZFHX1B)</v>
      </c>
      <c r="B170" s="9">
        <v>5</v>
      </c>
      <c r="C170" s="9">
        <v>1420</v>
      </c>
      <c r="D170" s="9">
        <v>23</v>
      </c>
      <c r="E170" s="9">
        <v>26819</v>
      </c>
      <c r="F170" s="9">
        <v>1.218</v>
      </c>
      <c r="G170" s="9">
        <v>4.1059999999999999</v>
      </c>
      <c r="H170" s="9">
        <v>6.2500000000000003E-3</v>
      </c>
      <c r="I170" s="9">
        <v>3.5230000000000001</v>
      </c>
      <c r="J170" s="10" t="s">
        <v>23</v>
      </c>
      <c r="K170" s="24">
        <v>1.280368</v>
      </c>
      <c r="L170" s="12">
        <v>2.089922E-2</v>
      </c>
      <c r="M170" s="24">
        <v>1.2017275999999999</v>
      </c>
      <c r="N170" s="32">
        <v>2.089922E-2</v>
      </c>
      <c r="O170" s="33">
        <f>VLOOKUP(A170,'Colo205_Transcription factor'!A:N,7,FALSE)</f>
        <v>5.3120000000000003</v>
      </c>
      <c r="P170" s="33">
        <f>VLOOKUP(A170,'Colo205_Transcription factor'!A:N,11,FALSE)</f>
        <v>0</v>
      </c>
      <c r="Q170" s="33">
        <f>VLOOKUP(A170,'Colo205_Transcription factor'!A:N,13,FALSE)</f>
        <v>0</v>
      </c>
    </row>
    <row r="171" spans="1:17" ht="15" customHeight="1">
      <c r="A171" s="8" t="str">
        <f>HYPERLINK("http://portal.genego.com/cgi/entity_page.cgi?term=100&amp;id=-1808558929","TR-beta1")</f>
        <v>TR-beta1</v>
      </c>
      <c r="B171" s="9">
        <v>16</v>
      </c>
      <c r="C171" s="9">
        <v>1420</v>
      </c>
      <c r="D171" s="9">
        <v>151</v>
      </c>
      <c r="E171" s="9">
        <v>26819</v>
      </c>
      <c r="F171" s="9">
        <v>7.9950000000000001</v>
      </c>
      <c r="G171" s="9">
        <v>2.0009999999999999</v>
      </c>
      <c r="H171" s="9">
        <v>6.4330000000000003E-3</v>
      </c>
      <c r="I171" s="9">
        <v>2.9169999999999998</v>
      </c>
      <c r="J171" s="10"/>
      <c r="K171" s="14"/>
      <c r="L171" s="12"/>
      <c r="M171" s="14"/>
      <c r="N171" s="32"/>
      <c r="O171" s="33">
        <f>VLOOKUP(A171,'Colo205_Transcription factor'!A:N,7,FALSE)</f>
        <v>2.427</v>
      </c>
      <c r="P171" s="33">
        <f>VLOOKUP(A171,'Colo205_Transcription factor'!A:N,11,FALSE)</f>
        <v>0</v>
      </c>
      <c r="Q171" s="33">
        <f>VLOOKUP(A171,'Colo205_Transcription factor'!A:N,13,FALSE)</f>
        <v>0</v>
      </c>
    </row>
    <row r="172" spans="1:17" ht="15" customHeight="1">
      <c r="A172" s="8" t="str">
        <f>HYPERLINK("http://portal.genego.com/cgi/entity_page.cgi?term=100&amp;id=-962048276","CSDA")</f>
        <v>CSDA</v>
      </c>
      <c r="B172" s="9">
        <v>4</v>
      </c>
      <c r="C172" s="9">
        <v>1420</v>
      </c>
      <c r="D172" s="9">
        <v>15</v>
      </c>
      <c r="E172" s="9">
        <v>26819</v>
      </c>
      <c r="F172" s="9">
        <v>0.79420000000000002</v>
      </c>
      <c r="G172" s="9">
        <v>5.0359999999999996</v>
      </c>
      <c r="H172" s="9">
        <v>6.6759999999999996E-3</v>
      </c>
      <c r="I172" s="9">
        <v>3.6970000000000001</v>
      </c>
      <c r="J172" s="10" t="s">
        <v>24</v>
      </c>
      <c r="K172" s="18">
        <v>-1.1847506000000001</v>
      </c>
      <c r="L172" s="12">
        <v>1.8221770000000001E-6</v>
      </c>
      <c r="M172" s="19">
        <v>-0.60094625000000002</v>
      </c>
      <c r="N172" s="32">
        <v>1.8221770000000001E-6</v>
      </c>
      <c r="O172" s="33" t="e">
        <f>VLOOKUP(A172,'Colo205_Transcription factor'!A:N,7,FALSE)</f>
        <v>#N/A</v>
      </c>
      <c r="P172" s="33" t="e">
        <f>VLOOKUP(A172,'Colo205_Transcription factor'!A:N,11,FALSE)</f>
        <v>#N/A</v>
      </c>
      <c r="Q172" s="33" t="e">
        <f>VLOOKUP(A172,'Colo205_Transcription factor'!A:N,13,FALSE)</f>
        <v>#N/A</v>
      </c>
    </row>
    <row r="173" spans="1:17" ht="15" customHeight="1">
      <c r="A173" s="8" t="str">
        <f>HYPERLINK("http://portal.genego.com/cgi/entity_page.cgi?term=100&amp;id=8216","ARIX")</f>
        <v>ARIX</v>
      </c>
      <c r="B173" s="9">
        <v>3</v>
      </c>
      <c r="C173" s="9">
        <v>1420</v>
      </c>
      <c r="D173" s="9">
        <v>8</v>
      </c>
      <c r="E173" s="9">
        <v>26819</v>
      </c>
      <c r="F173" s="9">
        <v>0.42359999999999998</v>
      </c>
      <c r="G173" s="9">
        <v>7.0819999999999999</v>
      </c>
      <c r="H173" s="9">
        <v>6.7850000000000002E-3</v>
      </c>
      <c r="I173" s="9">
        <v>4.0679999999999996</v>
      </c>
      <c r="J173" s="10"/>
      <c r="K173" s="14"/>
      <c r="L173" s="12"/>
      <c r="M173" s="14"/>
      <c r="N173" s="32"/>
      <c r="O173" s="33" t="e">
        <f>VLOOKUP(A173,'Colo205_Transcription factor'!A:N,7,FALSE)</f>
        <v>#N/A</v>
      </c>
      <c r="P173" s="33" t="e">
        <f>VLOOKUP(A173,'Colo205_Transcription factor'!A:N,11,FALSE)</f>
        <v>#N/A</v>
      </c>
      <c r="Q173" s="33" t="e">
        <f>VLOOKUP(A173,'Colo205_Transcription factor'!A:N,13,FALSE)</f>
        <v>#N/A</v>
      </c>
    </row>
    <row r="174" spans="1:17" ht="15" customHeight="1">
      <c r="A174" s="8" t="str">
        <f>HYPERLINK("http://portal.genego.com/cgi/entity_page.cgi?term=100&amp;id=-269169131","KLF7")</f>
        <v>KLF7</v>
      </c>
      <c r="B174" s="9">
        <v>3</v>
      </c>
      <c r="C174" s="9">
        <v>1420</v>
      </c>
      <c r="D174" s="9">
        <v>8</v>
      </c>
      <c r="E174" s="9">
        <v>26819</v>
      </c>
      <c r="F174" s="9">
        <v>0.42359999999999998</v>
      </c>
      <c r="G174" s="9">
        <v>7.0819999999999999</v>
      </c>
      <c r="H174" s="9">
        <v>6.7850000000000002E-3</v>
      </c>
      <c r="I174" s="9">
        <v>4.0679999999999996</v>
      </c>
      <c r="J174" s="10"/>
      <c r="K174" s="14"/>
      <c r="L174" s="12"/>
      <c r="M174" s="14"/>
      <c r="N174" s="32"/>
      <c r="O174" s="33" t="e">
        <f>VLOOKUP(A174,'Colo205_Transcription factor'!A:N,7,FALSE)</f>
        <v>#N/A</v>
      </c>
      <c r="P174" s="33" t="e">
        <f>VLOOKUP(A174,'Colo205_Transcription factor'!A:N,11,FALSE)</f>
        <v>#N/A</v>
      </c>
      <c r="Q174" s="33" t="e">
        <f>VLOOKUP(A174,'Colo205_Transcription factor'!A:N,13,FALSE)</f>
        <v>#N/A</v>
      </c>
    </row>
    <row r="175" spans="1:17" ht="15" customHeight="1">
      <c r="A175" s="8" t="str">
        <f>HYPERLINK("http://portal.genego.com/cgi/entity_page.cgi?term=100&amp;id=6291","C/EBPepsilon")</f>
        <v>C/EBPepsilon</v>
      </c>
      <c r="B175" s="9">
        <v>6</v>
      </c>
      <c r="C175" s="9">
        <v>1420</v>
      </c>
      <c r="D175" s="9">
        <v>33</v>
      </c>
      <c r="E175" s="9">
        <v>26819</v>
      </c>
      <c r="F175" s="9">
        <v>1.7470000000000001</v>
      </c>
      <c r="G175" s="9">
        <v>3.4340000000000002</v>
      </c>
      <c r="H175" s="9">
        <v>7.0489999999999997E-3</v>
      </c>
      <c r="I175" s="9">
        <v>3.3079999999999998</v>
      </c>
      <c r="J175" s="10"/>
      <c r="K175" s="14"/>
      <c r="L175" s="12"/>
      <c r="M175" s="14"/>
      <c r="N175" s="32"/>
      <c r="O175" s="33" t="e">
        <f>VLOOKUP(A175,'Colo205_Transcription factor'!A:N,7,FALSE)</f>
        <v>#N/A</v>
      </c>
      <c r="P175" s="33" t="e">
        <f>VLOOKUP(A175,'Colo205_Transcription factor'!A:N,11,FALSE)</f>
        <v>#N/A</v>
      </c>
      <c r="Q175" s="33" t="e">
        <f>VLOOKUP(A175,'Colo205_Transcription factor'!A:N,13,FALSE)</f>
        <v>#N/A</v>
      </c>
    </row>
    <row r="176" spans="1:17" ht="15" customHeight="1">
      <c r="A176" s="8" t="str">
        <f>HYPERLINK("http://portal.genego.com/cgi/entity_page.cgi?term=100&amp;id=-1074455434","KLF11 (TIEG2)")</f>
        <v>KLF11 (TIEG2)</v>
      </c>
      <c r="B176" s="9">
        <v>6</v>
      </c>
      <c r="C176" s="9">
        <v>1420</v>
      </c>
      <c r="D176" s="9">
        <v>33</v>
      </c>
      <c r="E176" s="9">
        <v>26819</v>
      </c>
      <c r="F176" s="9">
        <v>1.7470000000000001</v>
      </c>
      <c r="G176" s="9">
        <v>3.4340000000000002</v>
      </c>
      <c r="H176" s="9">
        <v>7.0489999999999997E-3</v>
      </c>
      <c r="I176" s="9">
        <v>3.3079999999999998</v>
      </c>
      <c r="J176" s="10"/>
      <c r="K176" s="14"/>
      <c r="L176" s="12"/>
      <c r="M176" s="14"/>
      <c r="N176" s="32"/>
      <c r="O176" s="33">
        <f>VLOOKUP(A176,'Colo205_Transcription factor'!A:N,7,FALSE)</f>
        <v>4.32</v>
      </c>
      <c r="P176" s="33">
        <f>VLOOKUP(A176,'Colo205_Transcription factor'!A:N,11,FALSE)</f>
        <v>0</v>
      </c>
      <c r="Q176" s="33">
        <f>VLOOKUP(A176,'Colo205_Transcription factor'!A:N,13,FALSE)</f>
        <v>0</v>
      </c>
    </row>
    <row r="177" spans="1:17" ht="15" customHeight="1">
      <c r="A177" s="8" t="str">
        <f>HYPERLINK("http://portal.genego.com/cgi/entity_page.cgi?term=100&amp;id=-1880436088","NF-kB1 (p105)")</f>
        <v>NF-kB1 (p105)</v>
      </c>
      <c r="B177" s="9">
        <v>9</v>
      </c>
      <c r="C177" s="9">
        <v>1420</v>
      </c>
      <c r="D177" s="9">
        <v>66</v>
      </c>
      <c r="E177" s="9">
        <v>26819</v>
      </c>
      <c r="F177" s="9">
        <v>3.4950000000000001</v>
      </c>
      <c r="G177" s="9">
        <v>2.5750000000000002</v>
      </c>
      <c r="H177" s="9">
        <v>7.7650000000000002E-3</v>
      </c>
      <c r="I177" s="9">
        <v>3.03</v>
      </c>
      <c r="J177" s="10" t="s">
        <v>9</v>
      </c>
      <c r="K177" s="19">
        <v>-0.75210730000000003</v>
      </c>
      <c r="L177" s="12">
        <v>1.439279E-7</v>
      </c>
      <c r="M177" s="18">
        <v>-1.0414327000000001</v>
      </c>
      <c r="N177" s="32">
        <v>1.439279E-7</v>
      </c>
      <c r="O177" s="33" t="e">
        <f>VLOOKUP(A177,'Colo205_Transcription factor'!A:N,7,FALSE)</f>
        <v>#N/A</v>
      </c>
      <c r="P177" s="33" t="e">
        <f>VLOOKUP(A177,'Colo205_Transcription factor'!A:N,11,FALSE)</f>
        <v>#N/A</v>
      </c>
      <c r="Q177" s="33" t="e">
        <f>VLOOKUP(A177,'Colo205_Transcription factor'!A:N,13,FALSE)</f>
        <v>#N/A</v>
      </c>
    </row>
    <row r="178" spans="1:17" ht="15" customHeight="1">
      <c r="A178" s="8" t="str">
        <f>HYPERLINK("http://portal.genego.com/cgi/entity_page.cgi?term=100&amp;id=6298","MEF2A")</f>
        <v>MEF2A</v>
      </c>
      <c r="B178" s="9">
        <v>10</v>
      </c>
      <c r="C178" s="9">
        <v>1420</v>
      </c>
      <c r="D178" s="9">
        <v>78</v>
      </c>
      <c r="E178" s="9">
        <v>26819</v>
      </c>
      <c r="F178" s="9">
        <v>4.13</v>
      </c>
      <c r="G178" s="9">
        <v>2.4209999999999998</v>
      </c>
      <c r="H178" s="9">
        <v>7.9640000000000006E-3</v>
      </c>
      <c r="I178" s="9">
        <v>2.972</v>
      </c>
      <c r="J178" s="10"/>
      <c r="K178" s="14"/>
      <c r="L178" s="12"/>
      <c r="M178" s="14"/>
      <c r="N178" s="32"/>
      <c r="O178" s="33" t="e">
        <f>VLOOKUP(A178,'Colo205_Transcription factor'!A:N,7,FALSE)</f>
        <v>#N/A</v>
      </c>
      <c r="P178" s="33" t="e">
        <f>VLOOKUP(A178,'Colo205_Transcription factor'!A:N,11,FALSE)</f>
        <v>#N/A</v>
      </c>
      <c r="Q178" s="33" t="e">
        <f>VLOOKUP(A178,'Colo205_Transcription factor'!A:N,13,FALSE)</f>
        <v>#N/A</v>
      </c>
    </row>
    <row r="179" spans="1:17" ht="15" customHeight="1">
      <c r="A179" s="8" t="str">
        <f>HYPERLINK("http://portal.genego.com/cgi/entity_page.cgi?term=100&amp;id=-1999382542","NKRF")</f>
        <v>NKRF</v>
      </c>
      <c r="B179" s="9">
        <v>2</v>
      </c>
      <c r="C179" s="9">
        <v>1420</v>
      </c>
      <c r="D179" s="9">
        <v>3</v>
      </c>
      <c r="E179" s="9">
        <v>26819</v>
      </c>
      <c r="F179" s="9">
        <v>0.1588</v>
      </c>
      <c r="G179" s="9">
        <v>12.59</v>
      </c>
      <c r="H179" s="9">
        <v>8.1080000000000006E-3</v>
      </c>
      <c r="I179" s="9">
        <v>4.7469999999999999</v>
      </c>
      <c r="J179" s="10"/>
      <c r="K179" s="14"/>
      <c r="L179" s="12"/>
      <c r="M179" s="14"/>
      <c r="N179" s="32"/>
      <c r="O179" s="33" t="e">
        <f>VLOOKUP(A179,'Colo205_Transcription factor'!A:N,7,FALSE)</f>
        <v>#N/A</v>
      </c>
      <c r="P179" s="33" t="e">
        <f>VLOOKUP(A179,'Colo205_Transcription factor'!A:N,11,FALSE)</f>
        <v>#N/A</v>
      </c>
      <c r="Q179" s="33" t="e">
        <f>VLOOKUP(A179,'Colo205_Transcription factor'!A:N,13,FALSE)</f>
        <v>#N/A</v>
      </c>
    </row>
    <row r="180" spans="1:17" ht="15" customHeight="1">
      <c r="A180" s="8" t="str">
        <f>HYPERLINK("http://portal.genego.com/cgi/entity_page.cgi?term=100&amp;id=2226","POLR2A")</f>
        <v>POLR2A</v>
      </c>
      <c r="B180" s="9">
        <v>2</v>
      </c>
      <c r="C180" s="9">
        <v>1420</v>
      </c>
      <c r="D180" s="9">
        <v>3</v>
      </c>
      <c r="E180" s="9">
        <v>26819</v>
      </c>
      <c r="F180" s="9">
        <v>0.1588</v>
      </c>
      <c r="G180" s="9">
        <v>12.59</v>
      </c>
      <c r="H180" s="9">
        <v>8.1080000000000006E-3</v>
      </c>
      <c r="I180" s="9">
        <v>4.7469999999999999</v>
      </c>
      <c r="J180" s="10"/>
      <c r="K180" s="14"/>
      <c r="L180" s="12"/>
      <c r="M180" s="14"/>
      <c r="N180" s="32"/>
      <c r="O180" s="33" t="e">
        <f>VLOOKUP(A180,'Colo205_Transcription factor'!A:N,7,FALSE)</f>
        <v>#N/A</v>
      </c>
      <c r="P180" s="33" t="e">
        <f>VLOOKUP(A180,'Colo205_Transcription factor'!A:N,11,FALSE)</f>
        <v>#N/A</v>
      </c>
      <c r="Q180" s="33" t="e">
        <f>VLOOKUP(A180,'Colo205_Transcription factor'!A:N,13,FALSE)</f>
        <v>#N/A</v>
      </c>
    </row>
    <row r="181" spans="1:17" ht="15" customHeight="1">
      <c r="A181" s="8" t="str">
        <f>HYPERLINK("http://portal.genego.com/cgi/entity_page.cgi?term=100&amp;id=-1616285681","TBX18")</f>
        <v>TBX18</v>
      </c>
      <c r="B181" s="9">
        <v>2</v>
      </c>
      <c r="C181" s="9">
        <v>1420</v>
      </c>
      <c r="D181" s="9">
        <v>3</v>
      </c>
      <c r="E181" s="9">
        <v>26819</v>
      </c>
      <c r="F181" s="9">
        <v>0.1588</v>
      </c>
      <c r="G181" s="9">
        <v>12.59</v>
      </c>
      <c r="H181" s="9">
        <v>8.1080000000000006E-3</v>
      </c>
      <c r="I181" s="9">
        <v>4.7469999999999999</v>
      </c>
      <c r="J181" s="10"/>
      <c r="K181" s="14"/>
      <c r="L181" s="12"/>
      <c r="M181" s="14"/>
      <c r="N181" s="32"/>
      <c r="O181" s="33" t="e">
        <f>VLOOKUP(A181,'Colo205_Transcription factor'!A:N,7,FALSE)</f>
        <v>#N/A</v>
      </c>
      <c r="P181" s="33" t="e">
        <f>VLOOKUP(A181,'Colo205_Transcription factor'!A:N,11,FALSE)</f>
        <v>#N/A</v>
      </c>
      <c r="Q181" s="33" t="e">
        <f>VLOOKUP(A181,'Colo205_Transcription factor'!A:N,13,FALSE)</f>
        <v>#N/A</v>
      </c>
    </row>
    <row r="182" spans="1:17" ht="15" customHeight="1">
      <c r="A182" s="8" t="str">
        <f>HYPERLINK("http://portal.genego.com/cgi/entity_page.cgi?term=100&amp;id=-1659580484","SOX12")</f>
        <v>SOX12</v>
      </c>
      <c r="B182" s="9">
        <v>2</v>
      </c>
      <c r="C182" s="9">
        <v>1420</v>
      </c>
      <c r="D182" s="9">
        <v>3</v>
      </c>
      <c r="E182" s="9">
        <v>26819</v>
      </c>
      <c r="F182" s="9">
        <v>0.1588</v>
      </c>
      <c r="G182" s="9">
        <v>12.59</v>
      </c>
      <c r="H182" s="9">
        <v>8.1080000000000006E-3</v>
      </c>
      <c r="I182" s="9">
        <v>4.7469999999999999</v>
      </c>
      <c r="J182" s="10"/>
      <c r="K182" s="14"/>
      <c r="L182" s="12"/>
      <c r="M182" s="14"/>
      <c r="N182" s="32"/>
      <c r="O182" s="33" t="e">
        <f>VLOOKUP(A182,'Colo205_Transcription factor'!A:N,7,FALSE)</f>
        <v>#N/A</v>
      </c>
      <c r="P182" s="33" t="e">
        <f>VLOOKUP(A182,'Colo205_Transcription factor'!A:N,11,FALSE)</f>
        <v>#N/A</v>
      </c>
      <c r="Q182" s="33" t="e">
        <f>VLOOKUP(A182,'Colo205_Transcription factor'!A:N,13,FALSE)</f>
        <v>#N/A</v>
      </c>
    </row>
    <row r="183" spans="1:17" ht="15" customHeight="1">
      <c r="A183" s="8" t="str">
        <f>HYPERLINK("http://portal.genego.com/cgi/entity_page.cgi?term=100&amp;id=-903555867","GLIS1")</f>
        <v>GLIS1</v>
      </c>
      <c r="B183" s="9">
        <v>2</v>
      </c>
      <c r="C183" s="9">
        <v>1420</v>
      </c>
      <c r="D183" s="9">
        <v>3</v>
      </c>
      <c r="E183" s="9">
        <v>26819</v>
      </c>
      <c r="F183" s="9">
        <v>0.1588</v>
      </c>
      <c r="G183" s="9">
        <v>12.59</v>
      </c>
      <c r="H183" s="9">
        <v>8.1080000000000006E-3</v>
      </c>
      <c r="I183" s="9">
        <v>4.7469999999999999</v>
      </c>
      <c r="J183" s="10"/>
      <c r="K183" s="14"/>
      <c r="L183" s="12"/>
      <c r="M183" s="14"/>
      <c r="N183" s="32"/>
      <c r="O183" s="33">
        <f>VLOOKUP(A183,'Colo205_Transcription factor'!A:N,7,FALSE)</f>
        <v>13.58</v>
      </c>
      <c r="P183" s="33">
        <f>VLOOKUP(A183,'Colo205_Transcription factor'!A:N,11,FALSE)</f>
        <v>0</v>
      </c>
      <c r="Q183" s="33">
        <f>VLOOKUP(A183,'Colo205_Transcription factor'!A:N,13,FALSE)</f>
        <v>0</v>
      </c>
    </row>
    <row r="184" spans="1:17" ht="15" customHeight="1">
      <c r="A184" s="8" t="str">
        <f>HYPERLINK("http://portal.genego.com/cgi/entity_page.cgi?term=100&amp;id=-954373797","Glis2")</f>
        <v>Glis2</v>
      </c>
      <c r="B184" s="9">
        <v>2</v>
      </c>
      <c r="C184" s="9">
        <v>1420</v>
      </c>
      <c r="D184" s="9">
        <v>3</v>
      </c>
      <c r="E184" s="9">
        <v>26819</v>
      </c>
      <c r="F184" s="9">
        <v>0.1588</v>
      </c>
      <c r="G184" s="9">
        <v>12.59</v>
      </c>
      <c r="H184" s="9">
        <v>8.1080000000000006E-3</v>
      </c>
      <c r="I184" s="9">
        <v>4.7469999999999999</v>
      </c>
      <c r="J184" s="10"/>
      <c r="K184" s="14"/>
      <c r="L184" s="12"/>
      <c r="M184" s="14"/>
      <c r="N184" s="32"/>
      <c r="O184" s="33" t="e">
        <f>VLOOKUP(A184,'Colo205_Transcription factor'!A:N,7,FALSE)</f>
        <v>#N/A</v>
      </c>
      <c r="P184" s="33" t="e">
        <f>VLOOKUP(A184,'Colo205_Transcription factor'!A:N,11,FALSE)</f>
        <v>#N/A</v>
      </c>
      <c r="Q184" s="33" t="e">
        <f>VLOOKUP(A184,'Colo205_Transcription factor'!A:N,13,FALSE)</f>
        <v>#N/A</v>
      </c>
    </row>
    <row r="185" spans="1:17" ht="15" customHeight="1">
      <c r="A185" s="8" t="str">
        <f>HYPERLINK("http://portal.genego.com/cgi/entity_page.cgi?term=100&amp;id=-2112386309","IRXL1")</f>
        <v>IRXL1</v>
      </c>
      <c r="B185" s="9">
        <v>2</v>
      </c>
      <c r="C185" s="9">
        <v>1420</v>
      </c>
      <c r="D185" s="9">
        <v>3</v>
      </c>
      <c r="E185" s="9">
        <v>26819</v>
      </c>
      <c r="F185" s="9">
        <v>0.1588</v>
      </c>
      <c r="G185" s="9">
        <v>12.59</v>
      </c>
      <c r="H185" s="9">
        <v>8.1080000000000006E-3</v>
      </c>
      <c r="I185" s="9">
        <v>4.7469999999999999</v>
      </c>
      <c r="J185" s="10"/>
      <c r="K185" s="14"/>
      <c r="L185" s="12"/>
      <c r="M185" s="14"/>
      <c r="N185" s="32"/>
      <c r="O185" s="33" t="e">
        <f>VLOOKUP(A185,'Colo205_Transcription factor'!A:N,7,FALSE)</f>
        <v>#N/A</v>
      </c>
      <c r="P185" s="33" t="e">
        <f>VLOOKUP(A185,'Colo205_Transcription factor'!A:N,11,FALSE)</f>
        <v>#N/A</v>
      </c>
      <c r="Q185" s="33" t="e">
        <f>VLOOKUP(A185,'Colo205_Transcription factor'!A:N,13,FALSE)</f>
        <v>#N/A</v>
      </c>
    </row>
    <row r="186" spans="1:17" ht="15" customHeight="1">
      <c r="A186" s="8" t="str">
        <f>HYPERLINK("http://portal.genego.com/cgi/entity_page.cgi?term=100&amp;id=2488","MYOD")</f>
        <v>MYOD</v>
      </c>
      <c r="B186" s="9">
        <v>17</v>
      </c>
      <c r="C186" s="9">
        <v>1420</v>
      </c>
      <c r="D186" s="9">
        <v>169</v>
      </c>
      <c r="E186" s="9">
        <v>26819</v>
      </c>
      <c r="F186" s="9">
        <v>8.9480000000000004</v>
      </c>
      <c r="G186" s="9">
        <v>1.9</v>
      </c>
      <c r="H186" s="9">
        <v>8.4489999999999999E-3</v>
      </c>
      <c r="I186" s="9">
        <v>2.7749999999999999</v>
      </c>
      <c r="J186" s="10"/>
      <c r="K186" s="14"/>
      <c r="L186" s="12"/>
      <c r="M186" s="14"/>
      <c r="N186" s="32"/>
      <c r="O186" s="33">
        <f>VLOOKUP(A186,'Colo205_Transcription factor'!A:N,7,FALSE)</f>
        <v>2.6509999999999998</v>
      </c>
      <c r="P186" s="33">
        <f>VLOOKUP(A186,'Colo205_Transcription factor'!A:N,11,FALSE)</f>
        <v>0</v>
      </c>
      <c r="Q186" s="33">
        <f>VLOOKUP(A186,'Colo205_Transcription factor'!A:N,13,FALSE)</f>
        <v>0</v>
      </c>
    </row>
    <row r="187" spans="1:17" ht="15" customHeight="1">
      <c r="A187" s="8" t="str">
        <f>HYPERLINK("http://portal.genego.com/cgi/entity_page.cgi?term=100&amp;id=-1976999988","BATF")</f>
        <v>BATF</v>
      </c>
      <c r="B187" s="9">
        <v>4</v>
      </c>
      <c r="C187" s="9">
        <v>1420</v>
      </c>
      <c r="D187" s="9">
        <v>16</v>
      </c>
      <c r="E187" s="9">
        <v>26819</v>
      </c>
      <c r="F187" s="9">
        <v>0.84719999999999995</v>
      </c>
      <c r="G187" s="9">
        <v>4.7220000000000004</v>
      </c>
      <c r="H187" s="9">
        <v>8.5330000000000007E-3</v>
      </c>
      <c r="I187" s="9">
        <v>3.5209999999999999</v>
      </c>
      <c r="J187" s="10"/>
      <c r="K187" s="14"/>
      <c r="L187" s="12"/>
      <c r="M187" s="14"/>
      <c r="N187" s="32"/>
      <c r="O187" s="33" t="e">
        <f>VLOOKUP(A187,'Colo205_Transcription factor'!A:N,7,FALSE)</f>
        <v>#N/A</v>
      </c>
      <c r="P187" s="33" t="e">
        <f>VLOOKUP(A187,'Colo205_Transcription factor'!A:N,11,FALSE)</f>
        <v>#N/A</v>
      </c>
      <c r="Q187" s="33" t="e">
        <f>VLOOKUP(A187,'Colo205_Transcription factor'!A:N,13,FALSE)</f>
        <v>#N/A</v>
      </c>
    </row>
    <row r="188" spans="1:17" ht="15" customHeight="1">
      <c r="A188" s="8" t="str">
        <f>HYPERLINK("http://portal.genego.com/cgi/entity_page.cgi?term=100&amp;id=4384","TEF-1")</f>
        <v>TEF-1</v>
      </c>
      <c r="B188" s="9">
        <v>9</v>
      </c>
      <c r="C188" s="9">
        <v>1420</v>
      </c>
      <c r="D188" s="9">
        <v>67</v>
      </c>
      <c r="E188" s="9">
        <v>26819</v>
      </c>
      <c r="F188" s="9">
        <v>3.5470000000000002</v>
      </c>
      <c r="G188" s="9">
        <v>2.5369999999999999</v>
      </c>
      <c r="H188" s="9">
        <v>8.5590000000000006E-3</v>
      </c>
      <c r="I188" s="9">
        <v>2.9780000000000002</v>
      </c>
      <c r="J188" s="10"/>
      <c r="K188" s="14"/>
      <c r="L188" s="12"/>
      <c r="M188" s="14"/>
      <c r="N188" s="32"/>
      <c r="O188" s="33">
        <f>VLOOKUP(A188,'Colo205_Transcription factor'!A:N,7,FALSE)</f>
        <v>2.7349999999999999</v>
      </c>
      <c r="P188" s="33">
        <f>VLOOKUP(A188,'Colo205_Transcription factor'!A:N,11,FALSE)</f>
        <v>0</v>
      </c>
      <c r="Q188" s="33">
        <f>VLOOKUP(A188,'Colo205_Transcription factor'!A:N,13,FALSE)</f>
        <v>0</v>
      </c>
    </row>
    <row r="189" spans="1:17" ht="15" customHeight="1">
      <c r="A189" s="8" t="str">
        <f>HYPERLINK("http://portal.genego.com/cgi/entity_page.cgi?term=100&amp;id=2846","JunB")</f>
        <v>JunB</v>
      </c>
      <c r="B189" s="9">
        <v>14</v>
      </c>
      <c r="C189" s="9">
        <v>1420</v>
      </c>
      <c r="D189" s="9">
        <v>130</v>
      </c>
      <c r="E189" s="9">
        <v>26819</v>
      </c>
      <c r="F189" s="9">
        <v>6.883</v>
      </c>
      <c r="G189" s="9">
        <v>2.0339999999999998</v>
      </c>
      <c r="H189" s="9">
        <v>9.0539999999999995E-3</v>
      </c>
      <c r="I189" s="9">
        <v>2.794</v>
      </c>
      <c r="J189" s="10"/>
      <c r="K189" s="14"/>
      <c r="L189" s="12"/>
      <c r="M189" s="14"/>
      <c r="N189" s="32"/>
      <c r="O189" s="33">
        <f>VLOOKUP(A189,'Colo205_Transcription factor'!A:N,7,FALSE)</f>
        <v>2.6629999999999998</v>
      </c>
      <c r="P189" s="33">
        <f>VLOOKUP(A189,'Colo205_Transcription factor'!A:N,11,FALSE)</f>
        <v>0</v>
      </c>
      <c r="Q189" s="33">
        <f>VLOOKUP(A189,'Colo205_Transcription factor'!A:N,13,FALSE)</f>
        <v>0</v>
      </c>
    </row>
    <row r="190" spans="1:17" ht="15" customHeight="1">
      <c r="A190" s="8" t="str">
        <f>HYPERLINK("http://portal.genego.com/cgi/entity_page.cgi?term=100&amp;id=-768284125","ATF-4")</f>
        <v>ATF-4</v>
      </c>
      <c r="B190" s="9">
        <v>15</v>
      </c>
      <c r="C190" s="9">
        <v>1420</v>
      </c>
      <c r="D190" s="9">
        <v>144</v>
      </c>
      <c r="E190" s="9">
        <v>26819</v>
      </c>
      <c r="F190" s="9">
        <v>7.6239999999999997</v>
      </c>
      <c r="G190" s="9">
        <v>1.9670000000000001</v>
      </c>
      <c r="H190" s="9">
        <v>9.4940000000000007E-3</v>
      </c>
      <c r="I190" s="9">
        <v>2.7519999999999998</v>
      </c>
      <c r="J190" s="10"/>
      <c r="K190" s="14"/>
      <c r="L190" s="12"/>
      <c r="M190" s="14"/>
      <c r="N190" s="32"/>
      <c r="O190" s="33" t="e">
        <f>VLOOKUP(A190,'Colo205_Transcription factor'!A:N,7,FALSE)</f>
        <v>#N/A</v>
      </c>
      <c r="P190" s="33" t="e">
        <f>VLOOKUP(A190,'Colo205_Transcription factor'!A:N,11,FALSE)</f>
        <v>#N/A</v>
      </c>
      <c r="Q190" s="33" t="e">
        <f>VLOOKUP(A190,'Colo205_Transcription factor'!A:N,13,FALSE)</f>
        <v>#N/A</v>
      </c>
    </row>
    <row r="191" spans="1:17" ht="15" customHeight="1">
      <c r="A191" s="8" t="str">
        <f>HYPERLINK("http://portal.genego.com/cgi/entity_page.cgi?term=100&amp;id=-212684235","SOX15")</f>
        <v>SOX15</v>
      </c>
      <c r="B191" s="9">
        <v>3</v>
      </c>
      <c r="C191" s="9">
        <v>1420</v>
      </c>
      <c r="D191" s="9">
        <v>9</v>
      </c>
      <c r="E191" s="9">
        <v>26819</v>
      </c>
      <c r="F191" s="9">
        <v>0.47649999999999998</v>
      </c>
      <c r="G191" s="9">
        <v>6.2960000000000003</v>
      </c>
      <c r="H191" s="9">
        <v>9.7789999999999995E-3</v>
      </c>
      <c r="I191" s="9">
        <v>3.7570000000000001</v>
      </c>
      <c r="J191" s="10"/>
      <c r="K191" s="14"/>
      <c r="L191" s="12"/>
      <c r="M191" s="14"/>
      <c r="N191" s="32"/>
      <c r="O191" s="33" t="e">
        <f>VLOOKUP(A191,'Colo205_Transcription factor'!A:N,7,FALSE)</f>
        <v>#N/A</v>
      </c>
      <c r="P191" s="33" t="e">
        <f>VLOOKUP(A191,'Colo205_Transcription factor'!A:N,11,FALSE)</f>
        <v>#N/A</v>
      </c>
      <c r="Q191" s="33" t="e">
        <f>VLOOKUP(A191,'Colo205_Transcription factor'!A:N,13,FALSE)</f>
        <v>#N/A</v>
      </c>
    </row>
    <row r="192" spans="1:17" ht="15" customHeight="1">
      <c r="A192" s="8" t="str">
        <f>HYPERLINK("http://portal.genego.com/cgi/entity_page.cgi?term=100&amp;id=-1031526803","cKrox")</f>
        <v>cKrox</v>
      </c>
      <c r="B192" s="9">
        <v>3</v>
      </c>
      <c r="C192" s="9">
        <v>1420</v>
      </c>
      <c r="D192" s="9">
        <v>9</v>
      </c>
      <c r="E192" s="9">
        <v>26819</v>
      </c>
      <c r="F192" s="9">
        <v>0.47649999999999998</v>
      </c>
      <c r="G192" s="9">
        <v>6.2960000000000003</v>
      </c>
      <c r="H192" s="9">
        <v>9.7789999999999995E-3</v>
      </c>
      <c r="I192" s="9">
        <v>3.7570000000000001</v>
      </c>
      <c r="J192" s="10"/>
      <c r="K192" s="14"/>
      <c r="L192" s="12"/>
      <c r="M192" s="14"/>
      <c r="N192" s="32"/>
      <c r="O192" s="33">
        <f>VLOOKUP(A192,'Colo205_Transcription factor'!A:N,7,FALSE)</f>
        <v>9.0510000000000002</v>
      </c>
      <c r="P192" s="33">
        <f>VLOOKUP(A192,'Colo205_Transcription factor'!A:N,11,FALSE)</f>
        <v>0</v>
      </c>
      <c r="Q192" s="33">
        <f>VLOOKUP(A192,'Colo205_Transcription factor'!A:N,13,FALSE)</f>
        <v>0</v>
      </c>
    </row>
    <row r="193" spans="1:17" ht="15" customHeight="1">
      <c r="A193" s="8" t="str">
        <f>HYPERLINK("http://portal.genego.com/cgi/entity_page.cgi?term=100&amp;id=4459","FoxD1")</f>
        <v>FoxD1</v>
      </c>
      <c r="B193" s="9">
        <v>3</v>
      </c>
      <c r="C193" s="9">
        <v>1420</v>
      </c>
      <c r="D193" s="9">
        <v>9</v>
      </c>
      <c r="E193" s="9">
        <v>26819</v>
      </c>
      <c r="F193" s="9">
        <v>0.47649999999999998</v>
      </c>
      <c r="G193" s="9">
        <v>6.2960000000000003</v>
      </c>
      <c r="H193" s="9">
        <v>9.7789999999999995E-3</v>
      </c>
      <c r="I193" s="9">
        <v>3.7570000000000001</v>
      </c>
      <c r="J193" s="10"/>
      <c r="K193" s="14"/>
      <c r="L193" s="12"/>
      <c r="M193" s="14"/>
      <c r="N193" s="32"/>
      <c r="O193" s="33" t="e">
        <f>VLOOKUP(A193,'Colo205_Transcription factor'!A:N,7,FALSE)</f>
        <v>#N/A</v>
      </c>
      <c r="P193" s="33" t="e">
        <f>VLOOKUP(A193,'Colo205_Transcription factor'!A:N,11,FALSE)</f>
        <v>#N/A</v>
      </c>
      <c r="Q193" s="33" t="e">
        <f>VLOOKUP(A193,'Colo205_Transcription factor'!A:N,13,FALSE)</f>
        <v>#N/A</v>
      </c>
    </row>
    <row r="194" spans="1:17" ht="15" customHeight="1">
      <c r="A194" s="8" t="str">
        <f>HYPERLINK("http://portal.genego.com/cgi/entity_page.cgi?term=100&amp;id=2976","REV-ERBalpha")</f>
        <v>REV-ERBalpha</v>
      </c>
      <c r="B194" s="9">
        <v>7</v>
      </c>
      <c r="C194" s="9">
        <v>1420</v>
      </c>
      <c r="D194" s="9">
        <v>46</v>
      </c>
      <c r="E194" s="9">
        <v>26819</v>
      </c>
      <c r="F194" s="9">
        <v>2.4359999999999999</v>
      </c>
      <c r="G194" s="9">
        <v>2.8740000000000001</v>
      </c>
      <c r="H194" s="9">
        <v>1.0059999999999999E-2</v>
      </c>
      <c r="I194" s="9">
        <v>3.008</v>
      </c>
      <c r="J194" s="10"/>
      <c r="K194" s="14"/>
      <c r="L194" s="12"/>
      <c r="M194" s="14"/>
      <c r="N194" s="32"/>
      <c r="O194" s="33" t="e">
        <f>VLOOKUP(A194,'Colo205_Transcription factor'!A:N,7,FALSE)</f>
        <v>#N/A</v>
      </c>
      <c r="P194" s="33" t="e">
        <f>VLOOKUP(A194,'Colo205_Transcription factor'!A:N,11,FALSE)</f>
        <v>#N/A</v>
      </c>
      <c r="Q194" s="33" t="e">
        <f>VLOOKUP(A194,'Colo205_Transcription factor'!A:N,13,FALSE)</f>
        <v>#N/A</v>
      </c>
    </row>
    <row r="195" spans="1:17" ht="15" customHeight="1">
      <c r="A195" s="8" t="str">
        <f>HYPERLINK("http://portal.genego.com/cgi/entity_page.cgi?term=100&amp;id=9032","ERM")</f>
        <v>ERM</v>
      </c>
      <c r="B195" s="9">
        <v>4</v>
      </c>
      <c r="C195" s="9">
        <v>1420</v>
      </c>
      <c r="D195" s="9">
        <v>17</v>
      </c>
      <c r="E195" s="9">
        <v>26819</v>
      </c>
      <c r="F195" s="9">
        <v>0.90010000000000001</v>
      </c>
      <c r="G195" s="9">
        <v>4.444</v>
      </c>
      <c r="H195" s="9">
        <v>1.0699999999999999E-2</v>
      </c>
      <c r="I195" s="9">
        <v>3.3580000000000001</v>
      </c>
      <c r="J195" s="10"/>
      <c r="K195" s="14"/>
      <c r="L195" s="12"/>
      <c r="M195" s="14"/>
      <c r="N195" s="32"/>
      <c r="O195" s="33" t="e">
        <f>VLOOKUP(A195,'Colo205_Transcription factor'!A:N,7,FALSE)</f>
        <v>#N/A</v>
      </c>
      <c r="P195" s="33" t="e">
        <f>VLOOKUP(A195,'Colo205_Transcription factor'!A:N,11,FALSE)</f>
        <v>#N/A</v>
      </c>
      <c r="Q195" s="33" t="e">
        <f>VLOOKUP(A195,'Colo205_Transcription factor'!A:N,13,FALSE)</f>
        <v>#N/A</v>
      </c>
    </row>
    <row r="196" spans="1:17" ht="15" customHeight="1">
      <c r="A196" s="8" t="str">
        <f>HYPERLINK("http://portal.genego.com/cgi/entity_page.cgi?term=100&amp;id=-1130525701","ER81")</f>
        <v>ER81</v>
      </c>
      <c r="B196" s="9">
        <v>5</v>
      </c>
      <c r="C196" s="9">
        <v>1420</v>
      </c>
      <c r="D196" s="9">
        <v>26</v>
      </c>
      <c r="E196" s="9">
        <v>26819</v>
      </c>
      <c r="F196" s="9">
        <v>1.377</v>
      </c>
      <c r="G196" s="9">
        <v>3.6320000000000001</v>
      </c>
      <c r="H196" s="9">
        <v>1.0710000000000001E-2</v>
      </c>
      <c r="I196" s="9">
        <v>3.1749999999999998</v>
      </c>
      <c r="J196" s="10" t="s">
        <v>25</v>
      </c>
      <c r="K196" s="18">
        <v>-1.0978334999999999</v>
      </c>
      <c r="L196" s="12">
        <v>7.2188620000000005E-7</v>
      </c>
      <c r="M196" s="16">
        <v>-1.3628210000000001</v>
      </c>
      <c r="N196" s="32">
        <v>7.2188620000000005E-7</v>
      </c>
      <c r="O196" s="33" t="e">
        <f>VLOOKUP(A196,'Colo205_Transcription factor'!A:N,7,FALSE)</f>
        <v>#N/A</v>
      </c>
      <c r="P196" s="33" t="e">
        <f>VLOOKUP(A196,'Colo205_Transcription factor'!A:N,11,FALSE)</f>
        <v>#N/A</v>
      </c>
      <c r="Q196" s="33" t="e">
        <f>VLOOKUP(A196,'Colo205_Transcription factor'!A:N,13,FALSE)</f>
        <v>#N/A</v>
      </c>
    </row>
    <row r="197" spans="1:17" ht="15" customHeight="1">
      <c r="A197" s="8" t="str">
        <f>HYPERLINK("http://portal.genego.com/cgi/entity_page.cgi?term=100&amp;id=-1138456607","ARX")</f>
        <v>ARX</v>
      </c>
      <c r="B197" s="9">
        <v>5</v>
      </c>
      <c r="C197" s="9">
        <v>1420</v>
      </c>
      <c r="D197" s="9">
        <v>26</v>
      </c>
      <c r="E197" s="9">
        <v>26819</v>
      </c>
      <c r="F197" s="9">
        <v>1.377</v>
      </c>
      <c r="G197" s="9">
        <v>3.6320000000000001</v>
      </c>
      <c r="H197" s="9">
        <v>1.0710000000000001E-2</v>
      </c>
      <c r="I197" s="9">
        <v>3.1749999999999998</v>
      </c>
      <c r="J197" s="10"/>
      <c r="K197" s="14"/>
      <c r="L197" s="12"/>
      <c r="M197" s="14"/>
      <c r="N197" s="32"/>
      <c r="O197" s="33" t="e">
        <f>VLOOKUP(A197,'Colo205_Transcription factor'!A:N,7,FALSE)</f>
        <v>#N/A</v>
      </c>
      <c r="P197" s="33" t="e">
        <f>VLOOKUP(A197,'Colo205_Transcription factor'!A:N,11,FALSE)</f>
        <v>#N/A</v>
      </c>
      <c r="Q197" s="33" t="e">
        <f>VLOOKUP(A197,'Colo205_Transcription factor'!A:N,13,FALSE)</f>
        <v>#N/A</v>
      </c>
    </row>
    <row r="198" spans="1:17" ht="15" customHeight="1">
      <c r="A198" s="8" t="str">
        <f>HYPERLINK("http://portal.genego.com/cgi/entity_page.cgi?term=100&amp;id=6046","NeuroD1 (NDF1)")</f>
        <v>NeuroD1 (NDF1)</v>
      </c>
      <c r="B198" s="9">
        <v>9</v>
      </c>
      <c r="C198" s="9">
        <v>1420</v>
      </c>
      <c r="D198" s="9">
        <v>70</v>
      </c>
      <c r="E198" s="9">
        <v>26819</v>
      </c>
      <c r="F198" s="9">
        <v>3.706</v>
      </c>
      <c r="G198" s="9">
        <v>2.4279999999999999</v>
      </c>
      <c r="H198" s="9">
        <v>1.1310000000000001E-2</v>
      </c>
      <c r="I198" s="9">
        <v>2.8290000000000002</v>
      </c>
      <c r="J198" s="10" t="s">
        <v>26</v>
      </c>
      <c r="K198" s="25">
        <v>0.97420894999999996</v>
      </c>
      <c r="L198" s="12">
        <v>2.723894E-2</v>
      </c>
      <c r="M198" s="11">
        <v>1.5596414000000001</v>
      </c>
      <c r="N198" s="32">
        <v>2.723894E-2</v>
      </c>
      <c r="O198" s="33" t="e">
        <f>VLOOKUP(A198,'Colo205_Transcription factor'!A:N,7,FALSE)</f>
        <v>#N/A</v>
      </c>
      <c r="P198" s="33" t="e">
        <f>VLOOKUP(A198,'Colo205_Transcription factor'!A:N,11,FALSE)</f>
        <v>#N/A</v>
      </c>
      <c r="Q198" s="33" t="e">
        <f>VLOOKUP(A198,'Colo205_Transcription factor'!A:N,13,FALSE)</f>
        <v>#N/A</v>
      </c>
    </row>
    <row r="199" spans="1:17" ht="15" customHeight="1">
      <c r="A199" s="8" t="str">
        <f>HYPERLINK("http://portal.genego.com/cgi/entity_page.cgi?term=100&amp;id=2905","ChREBP")</f>
        <v>ChREBP</v>
      </c>
      <c r="B199" s="9">
        <v>9</v>
      </c>
      <c r="C199" s="9">
        <v>1420</v>
      </c>
      <c r="D199" s="9">
        <v>71</v>
      </c>
      <c r="E199" s="9">
        <v>26819</v>
      </c>
      <c r="F199" s="9">
        <v>3.7589999999999999</v>
      </c>
      <c r="G199" s="9">
        <v>2.3940000000000001</v>
      </c>
      <c r="H199" s="9">
        <v>1.2359999999999999E-2</v>
      </c>
      <c r="I199" s="9">
        <v>2.7810000000000001</v>
      </c>
      <c r="J199" s="10"/>
      <c r="K199" s="14"/>
      <c r="L199" s="12"/>
      <c r="M199" s="14"/>
      <c r="N199" s="32"/>
      <c r="O199" s="33">
        <f>VLOOKUP(A199,'Colo205_Transcription factor'!A:N,7,FALSE)</f>
        <v>3.1549999999999998</v>
      </c>
      <c r="P199" s="33">
        <f>VLOOKUP(A199,'Colo205_Transcription factor'!A:N,11,FALSE)</f>
        <v>0</v>
      </c>
      <c r="Q199" s="33">
        <f>VLOOKUP(A199,'Colo205_Transcription factor'!A:N,13,FALSE)</f>
        <v>0</v>
      </c>
    </row>
    <row r="200" spans="1:17" ht="15" customHeight="1">
      <c r="A200" s="8" t="str">
        <f>HYPERLINK("http://portal.genego.com/cgi/entity_page.cgi?term=100&amp;id=-1654474027","ZNF281")</f>
        <v>ZNF281</v>
      </c>
      <c r="B200" s="9">
        <v>6</v>
      </c>
      <c r="C200" s="9">
        <v>1420</v>
      </c>
      <c r="D200" s="9">
        <v>37</v>
      </c>
      <c r="E200" s="9">
        <v>26819</v>
      </c>
      <c r="F200" s="9">
        <v>1.9590000000000001</v>
      </c>
      <c r="G200" s="9">
        <v>3.0630000000000002</v>
      </c>
      <c r="H200" s="9">
        <v>1.2370000000000001E-2</v>
      </c>
      <c r="I200" s="9">
        <v>2.9689999999999999</v>
      </c>
      <c r="J200" s="10"/>
      <c r="K200" s="14"/>
      <c r="L200" s="12"/>
      <c r="M200" s="14"/>
      <c r="N200" s="32"/>
      <c r="O200" s="33" t="e">
        <f>VLOOKUP(A200,'Colo205_Transcription factor'!A:N,7,FALSE)</f>
        <v>#N/A</v>
      </c>
      <c r="P200" s="33" t="e">
        <f>VLOOKUP(A200,'Colo205_Transcription factor'!A:N,11,FALSE)</f>
        <v>#N/A</v>
      </c>
      <c r="Q200" s="33" t="e">
        <f>VLOOKUP(A200,'Colo205_Transcription factor'!A:N,13,FALSE)</f>
        <v>#N/A</v>
      </c>
    </row>
    <row r="201" spans="1:17" ht="15" customHeight="1">
      <c r="A201" s="8" t="str">
        <f>HYPERLINK("http://portal.genego.com/cgi/entity_page.cgi?term=100&amp;id=-1856732278","GLI-2")</f>
        <v>GLI-2</v>
      </c>
      <c r="B201" s="9">
        <v>7</v>
      </c>
      <c r="C201" s="9">
        <v>1420</v>
      </c>
      <c r="D201" s="9">
        <v>48</v>
      </c>
      <c r="E201" s="9">
        <v>26819</v>
      </c>
      <c r="F201" s="9">
        <v>2.5409999999999999</v>
      </c>
      <c r="G201" s="9">
        <v>2.754</v>
      </c>
      <c r="H201" s="9">
        <v>1.2630000000000001E-2</v>
      </c>
      <c r="I201" s="9">
        <v>2.8759999999999999</v>
      </c>
      <c r="J201" s="10"/>
      <c r="K201" s="14"/>
      <c r="L201" s="12"/>
      <c r="M201" s="14"/>
      <c r="N201" s="32"/>
      <c r="O201" s="33" t="e">
        <f>VLOOKUP(A201,'Colo205_Transcription factor'!A:N,7,FALSE)</f>
        <v>#N/A</v>
      </c>
      <c r="P201" s="33" t="e">
        <f>VLOOKUP(A201,'Colo205_Transcription factor'!A:N,11,FALSE)</f>
        <v>#N/A</v>
      </c>
      <c r="Q201" s="33" t="e">
        <f>VLOOKUP(A201,'Colo205_Transcription factor'!A:N,13,FALSE)</f>
        <v>#N/A</v>
      </c>
    </row>
    <row r="202" spans="1:17" ht="15" customHeight="1">
      <c r="A202" s="8" t="str">
        <f>HYPERLINK("http://portal.genego.com/cgi/entity_page.cgi?term=100&amp;id=-267143070","IRF4")</f>
        <v>IRF4</v>
      </c>
      <c r="B202" s="9">
        <v>34</v>
      </c>
      <c r="C202" s="9">
        <v>1420</v>
      </c>
      <c r="D202" s="9">
        <v>429</v>
      </c>
      <c r="E202" s="9">
        <v>26819</v>
      </c>
      <c r="F202" s="9">
        <v>22.71</v>
      </c>
      <c r="G202" s="9">
        <v>1.4970000000000001</v>
      </c>
      <c r="H202" s="9">
        <v>1.2919999999999999E-2</v>
      </c>
      <c r="I202" s="9">
        <v>2.4529999999999998</v>
      </c>
      <c r="J202" s="10"/>
      <c r="K202" s="14"/>
      <c r="L202" s="12"/>
      <c r="M202" s="14"/>
      <c r="N202" s="32"/>
      <c r="O202" s="33" t="e">
        <f>VLOOKUP(A202,'Colo205_Transcription factor'!A:N,7,FALSE)</f>
        <v>#N/A</v>
      </c>
      <c r="P202" s="33" t="e">
        <f>VLOOKUP(A202,'Colo205_Transcription factor'!A:N,11,FALSE)</f>
        <v>#N/A</v>
      </c>
      <c r="Q202" s="33" t="e">
        <f>VLOOKUP(A202,'Colo205_Transcription factor'!A:N,13,FALSE)</f>
        <v>#N/A</v>
      </c>
    </row>
    <row r="203" spans="1:17" ht="15" customHeight="1">
      <c r="A203" s="8" t="str">
        <f>HYPERLINK("http://portal.genego.com/cgi/entity_page.cgi?term=100&amp;id=-661331638","ZNF288")</f>
        <v>ZNF288</v>
      </c>
      <c r="B203" s="9">
        <v>4</v>
      </c>
      <c r="C203" s="9">
        <v>1420</v>
      </c>
      <c r="D203" s="9">
        <v>18</v>
      </c>
      <c r="E203" s="9">
        <v>26819</v>
      </c>
      <c r="F203" s="9">
        <v>0.95309999999999995</v>
      </c>
      <c r="G203" s="9">
        <v>4.1970000000000001</v>
      </c>
      <c r="H203" s="9">
        <v>1.319E-2</v>
      </c>
      <c r="I203" s="9">
        <v>3.2080000000000002</v>
      </c>
      <c r="J203" s="10"/>
      <c r="K203" s="14"/>
      <c r="L203" s="12"/>
      <c r="M203" s="14"/>
      <c r="N203" s="32"/>
      <c r="O203" s="33" t="e">
        <f>VLOOKUP(A203,'Colo205_Transcription factor'!A:N,7,FALSE)</f>
        <v>#N/A</v>
      </c>
      <c r="P203" s="33" t="e">
        <f>VLOOKUP(A203,'Colo205_Transcription factor'!A:N,11,FALSE)</f>
        <v>#N/A</v>
      </c>
      <c r="Q203" s="33" t="e">
        <f>VLOOKUP(A203,'Colo205_Transcription factor'!A:N,13,FALSE)</f>
        <v>#N/A</v>
      </c>
    </row>
    <row r="204" spans="1:17" ht="15" customHeight="1">
      <c r="A204" s="8" t="str">
        <f>HYPERLINK("http://portal.genego.com/cgi/entity_page.cgi?term=100&amp;id=6433","POU4F2")</f>
        <v>POU4F2</v>
      </c>
      <c r="B204" s="9">
        <v>4</v>
      </c>
      <c r="C204" s="9">
        <v>1420</v>
      </c>
      <c r="D204" s="9">
        <v>18</v>
      </c>
      <c r="E204" s="9">
        <v>26819</v>
      </c>
      <c r="F204" s="9">
        <v>0.95309999999999995</v>
      </c>
      <c r="G204" s="9">
        <v>4.1970000000000001</v>
      </c>
      <c r="H204" s="9">
        <v>1.319E-2</v>
      </c>
      <c r="I204" s="9">
        <v>3.2080000000000002</v>
      </c>
      <c r="J204" s="10"/>
      <c r="K204" s="14"/>
      <c r="L204" s="12"/>
      <c r="M204" s="14"/>
      <c r="N204" s="32"/>
      <c r="O204" s="33" t="e">
        <f>VLOOKUP(A204,'Colo205_Transcription factor'!A:N,7,FALSE)</f>
        <v>#N/A</v>
      </c>
      <c r="P204" s="33" t="e">
        <f>VLOOKUP(A204,'Colo205_Transcription factor'!A:N,11,FALSE)</f>
        <v>#N/A</v>
      </c>
      <c r="Q204" s="33" t="e">
        <f>VLOOKUP(A204,'Colo205_Transcription factor'!A:N,13,FALSE)</f>
        <v>#N/A</v>
      </c>
    </row>
    <row r="205" spans="1:17" ht="15" customHeight="1">
      <c r="A205" s="8" t="str">
        <f>HYPERLINK("http://portal.genego.com/cgi/entity_page.cgi?term=100&amp;id=-1706519424","EGR4")</f>
        <v>EGR4</v>
      </c>
      <c r="B205" s="9">
        <v>3</v>
      </c>
      <c r="C205" s="9">
        <v>1420</v>
      </c>
      <c r="D205" s="9">
        <v>10</v>
      </c>
      <c r="E205" s="9">
        <v>26819</v>
      </c>
      <c r="F205" s="9">
        <v>0.52949999999999997</v>
      </c>
      <c r="G205" s="9">
        <v>5.6660000000000004</v>
      </c>
      <c r="H205" s="9">
        <v>1.3429999999999999E-2</v>
      </c>
      <c r="I205" s="9">
        <v>3.4889999999999999</v>
      </c>
      <c r="J205" s="10"/>
      <c r="K205" s="14"/>
      <c r="L205" s="12"/>
      <c r="M205" s="14"/>
      <c r="N205" s="32"/>
      <c r="O205" s="33" t="e">
        <f>VLOOKUP(A205,'Colo205_Transcription factor'!A:N,7,FALSE)</f>
        <v>#N/A</v>
      </c>
      <c r="P205" s="33" t="e">
        <f>VLOOKUP(A205,'Colo205_Transcription factor'!A:N,11,FALSE)</f>
        <v>#N/A</v>
      </c>
      <c r="Q205" s="33" t="e">
        <f>VLOOKUP(A205,'Colo205_Transcription factor'!A:N,13,FALSE)</f>
        <v>#N/A</v>
      </c>
    </row>
    <row r="206" spans="1:17" ht="15" customHeight="1">
      <c r="A206" s="8" t="str">
        <f>HYPERLINK("http://portal.genego.com/cgi/entity_page.cgi?term=100&amp;id=6047","CDX1")</f>
        <v>CDX1</v>
      </c>
      <c r="B206" s="9">
        <v>6</v>
      </c>
      <c r="C206" s="9">
        <v>1420</v>
      </c>
      <c r="D206" s="9">
        <v>38</v>
      </c>
      <c r="E206" s="9">
        <v>26819</v>
      </c>
      <c r="F206" s="9">
        <v>2.012</v>
      </c>
      <c r="G206" s="9">
        <v>2.9820000000000002</v>
      </c>
      <c r="H206" s="9">
        <v>1.405E-2</v>
      </c>
      <c r="I206" s="9">
        <v>2.891</v>
      </c>
      <c r="J206" s="10"/>
      <c r="K206" s="14"/>
      <c r="L206" s="12"/>
      <c r="M206" s="14"/>
      <c r="N206" s="32"/>
      <c r="O206" s="33">
        <f>VLOOKUP(A206,'Colo205_Transcription factor'!A:N,7,FALSE)</f>
        <v>4.2869999999999999</v>
      </c>
      <c r="P206" s="33">
        <f>VLOOKUP(A206,'Colo205_Transcription factor'!A:N,11,FALSE)</f>
        <v>2.0159468999999999</v>
      </c>
      <c r="Q206" s="33">
        <f>VLOOKUP(A206,'Colo205_Transcription factor'!A:N,13,FALSE)</f>
        <v>2.0948148</v>
      </c>
    </row>
    <row r="207" spans="1:17" ht="15" customHeight="1">
      <c r="A207" s="8" t="str">
        <f>HYPERLINK("http://portal.genego.com/cgi/entity_page.cgi?term=100&amp;id=-137539001","BACH1")</f>
        <v>BACH1</v>
      </c>
      <c r="B207" s="9">
        <v>6</v>
      </c>
      <c r="C207" s="9">
        <v>1420</v>
      </c>
      <c r="D207" s="9">
        <v>38</v>
      </c>
      <c r="E207" s="9">
        <v>26819</v>
      </c>
      <c r="F207" s="9">
        <v>2.012</v>
      </c>
      <c r="G207" s="9">
        <v>2.9820000000000002</v>
      </c>
      <c r="H207" s="9">
        <v>1.405E-2</v>
      </c>
      <c r="I207" s="9">
        <v>2.891</v>
      </c>
      <c r="J207" s="10"/>
      <c r="K207" s="14"/>
      <c r="L207" s="12"/>
      <c r="M207" s="14"/>
      <c r="N207" s="32"/>
      <c r="O207" s="33" t="e">
        <f>VLOOKUP(A207,'Colo205_Transcription factor'!A:N,7,FALSE)</f>
        <v>#N/A</v>
      </c>
      <c r="P207" s="33" t="e">
        <f>VLOOKUP(A207,'Colo205_Transcription factor'!A:N,11,FALSE)</f>
        <v>#N/A</v>
      </c>
      <c r="Q207" s="33" t="e">
        <f>VLOOKUP(A207,'Colo205_Transcription factor'!A:N,13,FALSE)</f>
        <v>#N/A</v>
      </c>
    </row>
    <row r="208" spans="1:17" ht="15" customHeight="1">
      <c r="A208" s="8" t="str">
        <f>HYPERLINK("http://portal.genego.com/cgi/entity_page.cgi?term=100&amp;id=-1695582466","TBX3")</f>
        <v>TBX3</v>
      </c>
      <c r="B208" s="9">
        <v>7</v>
      </c>
      <c r="C208" s="9">
        <v>1420</v>
      </c>
      <c r="D208" s="9">
        <v>49</v>
      </c>
      <c r="E208" s="9">
        <v>26819</v>
      </c>
      <c r="F208" s="9">
        <v>2.5939999999999999</v>
      </c>
      <c r="G208" s="9">
        <v>2.698</v>
      </c>
      <c r="H208" s="9">
        <v>1.4080000000000001E-2</v>
      </c>
      <c r="I208" s="9">
        <v>2.8130000000000002</v>
      </c>
      <c r="J208" s="10"/>
      <c r="K208" s="14"/>
      <c r="L208" s="12"/>
      <c r="M208" s="14"/>
      <c r="N208" s="32"/>
      <c r="O208" s="33" t="e">
        <f>VLOOKUP(A208,'Colo205_Transcription factor'!A:N,7,FALSE)</f>
        <v>#N/A</v>
      </c>
      <c r="P208" s="33" t="e">
        <f>VLOOKUP(A208,'Colo205_Transcription factor'!A:N,11,FALSE)</f>
        <v>#N/A</v>
      </c>
      <c r="Q208" s="33" t="e">
        <f>VLOOKUP(A208,'Colo205_Transcription factor'!A:N,13,FALSE)</f>
        <v>#N/A</v>
      </c>
    </row>
    <row r="209" spans="1:17" ht="15" customHeight="1">
      <c r="A209" s="8" t="str">
        <f>HYPERLINK("http://portal.genego.com/cgi/entity_page.cgi?term=100&amp;id=6210","T-bet")</f>
        <v>T-bet</v>
      </c>
      <c r="B209" s="9">
        <v>7</v>
      </c>
      <c r="C209" s="9">
        <v>1420</v>
      </c>
      <c r="D209" s="9">
        <v>49</v>
      </c>
      <c r="E209" s="9">
        <v>26819</v>
      </c>
      <c r="F209" s="9">
        <v>2.5939999999999999</v>
      </c>
      <c r="G209" s="9">
        <v>2.698</v>
      </c>
      <c r="H209" s="9">
        <v>1.4080000000000001E-2</v>
      </c>
      <c r="I209" s="9">
        <v>2.8130000000000002</v>
      </c>
      <c r="J209" s="10"/>
      <c r="K209" s="14"/>
      <c r="L209" s="12"/>
      <c r="M209" s="14"/>
      <c r="N209" s="32"/>
      <c r="O209" s="33">
        <f>VLOOKUP(A209,'Colo205_Transcription factor'!A:N,7,FALSE)</f>
        <v>3.3250000000000002</v>
      </c>
      <c r="P209" s="33">
        <f>VLOOKUP(A209,'Colo205_Transcription factor'!A:N,11,FALSE)</f>
        <v>0</v>
      </c>
      <c r="Q209" s="33">
        <f>VLOOKUP(A209,'Colo205_Transcription factor'!A:N,13,FALSE)</f>
        <v>0</v>
      </c>
    </row>
    <row r="210" spans="1:17" ht="15" customHeight="1">
      <c r="A210" s="8" t="str">
        <f>HYPERLINK("http://portal.genego.com/cgi/entity_page.cgi?term=100&amp;id=-874061580","POU3F2 (BRN2)")</f>
        <v>POU3F2 (BRN2)</v>
      </c>
      <c r="B210" s="9">
        <v>11</v>
      </c>
      <c r="C210" s="9">
        <v>1420</v>
      </c>
      <c r="D210" s="9">
        <v>98</v>
      </c>
      <c r="E210" s="9">
        <v>26819</v>
      </c>
      <c r="F210" s="9">
        <v>5.1890000000000001</v>
      </c>
      <c r="G210" s="9">
        <v>2.12</v>
      </c>
      <c r="H210" s="9">
        <v>1.455E-2</v>
      </c>
      <c r="I210" s="9">
        <v>2.6259999999999999</v>
      </c>
      <c r="J210" s="10"/>
      <c r="K210" s="14"/>
      <c r="L210" s="12"/>
      <c r="M210" s="14"/>
      <c r="N210" s="32"/>
      <c r="O210" s="33" t="e">
        <f>VLOOKUP(A210,'Colo205_Transcription factor'!A:N,7,FALSE)</f>
        <v>#N/A</v>
      </c>
      <c r="P210" s="33" t="e">
        <f>VLOOKUP(A210,'Colo205_Transcription factor'!A:N,11,FALSE)</f>
        <v>#N/A</v>
      </c>
      <c r="Q210" s="33" t="e">
        <f>VLOOKUP(A210,'Colo205_Transcription factor'!A:N,13,FALSE)</f>
        <v>#N/A</v>
      </c>
    </row>
    <row r="211" spans="1:17" ht="15" customHeight="1">
      <c r="A211" s="8" t="str">
        <f>HYPERLINK("http://portal.genego.com/cgi/entity_page.cgi?term=100&amp;id=4329","NF-AT1(NFATC2)")</f>
        <v>NF-AT1(NFATC2)</v>
      </c>
      <c r="B211" s="9">
        <v>11</v>
      </c>
      <c r="C211" s="9">
        <v>1420</v>
      </c>
      <c r="D211" s="9">
        <v>98</v>
      </c>
      <c r="E211" s="9">
        <v>26819</v>
      </c>
      <c r="F211" s="9">
        <v>5.1890000000000001</v>
      </c>
      <c r="G211" s="9">
        <v>2.12</v>
      </c>
      <c r="H211" s="9">
        <v>1.455E-2</v>
      </c>
      <c r="I211" s="9">
        <v>2.6259999999999999</v>
      </c>
      <c r="J211" s="10"/>
      <c r="K211" s="14"/>
      <c r="L211" s="12"/>
      <c r="M211" s="14"/>
      <c r="N211" s="32"/>
      <c r="O211" s="33">
        <f>VLOOKUP(A211,'Colo205_Transcription factor'!A:N,7,FALSE)</f>
        <v>3.74</v>
      </c>
      <c r="P211" s="33">
        <f>VLOOKUP(A211,'Colo205_Transcription factor'!A:N,11,FALSE)</f>
        <v>0</v>
      </c>
      <c r="Q211" s="33">
        <f>VLOOKUP(A211,'Colo205_Transcription factor'!A:N,13,FALSE)</f>
        <v>0</v>
      </c>
    </row>
    <row r="212" spans="1:17" ht="15" customHeight="1">
      <c r="A212" s="8" t="str">
        <f>HYPERLINK("http://portal.genego.com/cgi/entity_page.cgi?term=100&amp;id=-1420422922","EKLF1")</f>
        <v>EKLF1</v>
      </c>
      <c r="B212" s="9">
        <v>8</v>
      </c>
      <c r="C212" s="9">
        <v>1420</v>
      </c>
      <c r="D212" s="9">
        <v>61</v>
      </c>
      <c r="E212" s="9">
        <v>26819</v>
      </c>
      <c r="F212" s="9">
        <v>3.23</v>
      </c>
      <c r="G212" s="9">
        <v>2.4769999999999999</v>
      </c>
      <c r="H212" s="9">
        <v>1.472E-2</v>
      </c>
      <c r="I212" s="9">
        <v>2.7309999999999999</v>
      </c>
      <c r="J212" s="10"/>
      <c r="K212" s="14"/>
      <c r="L212" s="12"/>
      <c r="M212" s="14"/>
      <c r="N212" s="32"/>
      <c r="O212" s="33" t="e">
        <f>VLOOKUP(A212,'Colo205_Transcription factor'!A:N,7,FALSE)</f>
        <v>#N/A</v>
      </c>
      <c r="P212" s="33" t="e">
        <f>VLOOKUP(A212,'Colo205_Transcription factor'!A:N,11,FALSE)</f>
        <v>#N/A</v>
      </c>
      <c r="Q212" s="33" t="e">
        <f>VLOOKUP(A212,'Colo205_Transcription factor'!A:N,13,FALSE)</f>
        <v>#N/A</v>
      </c>
    </row>
    <row r="213" spans="1:17" ht="15" customHeight="1">
      <c r="A213" s="8" t="str">
        <f>HYPERLINK("http://portal.genego.com/cgi/entity_page.cgi?term=100&amp;id=-1099419423","DBP")</f>
        <v>DBP</v>
      </c>
      <c r="B213" s="9">
        <v>31</v>
      </c>
      <c r="C213" s="9">
        <v>1420</v>
      </c>
      <c r="D213" s="9">
        <v>387</v>
      </c>
      <c r="E213" s="9">
        <v>26819</v>
      </c>
      <c r="F213" s="9">
        <v>20.49</v>
      </c>
      <c r="G213" s="9">
        <v>1.5129999999999999</v>
      </c>
      <c r="H213" s="9">
        <v>1.4829999999999999E-2</v>
      </c>
      <c r="I213" s="9">
        <v>2.403</v>
      </c>
      <c r="J213" s="10"/>
      <c r="K213" s="14"/>
      <c r="L213" s="12"/>
      <c r="M213" s="14"/>
      <c r="N213" s="32"/>
      <c r="O213" s="33">
        <f>VLOOKUP(A213,'Colo205_Transcription factor'!A:N,7,FALSE)</f>
        <v>1.8420000000000001</v>
      </c>
      <c r="P213" s="33">
        <f>VLOOKUP(A213,'Colo205_Transcription factor'!A:N,11,FALSE)</f>
        <v>0</v>
      </c>
      <c r="Q213" s="33">
        <f>VLOOKUP(A213,'Colo205_Transcription factor'!A:N,13,FALSE)</f>
        <v>0</v>
      </c>
    </row>
    <row r="214" spans="1:17" ht="15" customHeight="1">
      <c r="A214" s="8" t="str">
        <f>HYPERLINK("http://portal.genego.com/cgi/entity_page.cgi?term=100&amp;id=-1174093800","Scleraxis")</f>
        <v>Scleraxis</v>
      </c>
      <c r="B214" s="9">
        <v>2</v>
      </c>
      <c r="C214" s="9">
        <v>1420</v>
      </c>
      <c r="D214" s="9">
        <v>4</v>
      </c>
      <c r="E214" s="9">
        <v>26819</v>
      </c>
      <c r="F214" s="9">
        <v>0.21179999999999999</v>
      </c>
      <c r="G214" s="9">
        <v>9.4429999999999996</v>
      </c>
      <c r="H214" s="9">
        <v>1.5650000000000001E-2</v>
      </c>
      <c r="I214" s="9">
        <v>3.9929999999999999</v>
      </c>
      <c r="J214" s="10"/>
      <c r="K214" s="14"/>
      <c r="L214" s="12"/>
      <c r="M214" s="14"/>
      <c r="N214" s="32"/>
      <c r="O214" s="33">
        <f>VLOOKUP(A214,'Colo205_Transcription factor'!A:N,7,FALSE)</f>
        <v>15.27</v>
      </c>
      <c r="P214" s="33">
        <f>VLOOKUP(A214,'Colo205_Transcription factor'!A:N,11,FALSE)</f>
        <v>0</v>
      </c>
      <c r="Q214" s="33">
        <f>VLOOKUP(A214,'Colo205_Transcription factor'!A:N,13,FALSE)</f>
        <v>0</v>
      </c>
    </row>
    <row r="215" spans="1:17" ht="15" customHeight="1">
      <c r="A215" s="8" t="str">
        <f>HYPERLINK("http://portal.genego.com/cgi/entity_page.cgi?term=100&amp;id=6068","BARX1")</f>
        <v>BARX1</v>
      </c>
      <c r="B215" s="9">
        <v>2</v>
      </c>
      <c r="C215" s="9">
        <v>1420</v>
      </c>
      <c r="D215" s="9">
        <v>4</v>
      </c>
      <c r="E215" s="9">
        <v>26819</v>
      </c>
      <c r="F215" s="9">
        <v>0.21179999999999999</v>
      </c>
      <c r="G215" s="9">
        <v>9.4429999999999996</v>
      </c>
      <c r="H215" s="9">
        <v>1.5650000000000001E-2</v>
      </c>
      <c r="I215" s="9">
        <v>3.9929999999999999</v>
      </c>
      <c r="J215" s="10"/>
      <c r="K215" s="14"/>
      <c r="L215" s="12"/>
      <c r="M215" s="14"/>
      <c r="N215" s="32"/>
      <c r="O215" s="33">
        <f>VLOOKUP(A215,'Colo205_Transcription factor'!A:N,7,FALSE)</f>
        <v>10.18</v>
      </c>
      <c r="P215" s="33">
        <f>VLOOKUP(A215,'Colo205_Transcription factor'!A:N,11,FALSE)</f>
        <v>0</v>
      </c>
      <c r="Q215" s="33">
        <f>VLOOKUP(A215,'Colo205_Transcription factor'!A:N,13,FALSE)</f>
        <v>0</v>
      </c>
    </row>
    <row r="216" spans="1:17" ht="15" customHeight="1">
      <c r="A216" s="8" t="str">
        <f>HYPERLINK("http://portal.genego.com/cgi/entity_page.cgi?term=100&amp;id=-1643122429","HAND1")</f>
        <v>HAND1</v>
      </c>
      <c r="B216" s="9">
        <v>2</v>
      </c>
      <c r="C216" s="9">
        <v>1420</v>
      </c>
      <c r="D216" s="9">
        <v>4</v>
      </c>
      <c r="E216" s="9">
        <v>26819</v>
      </c>
      <c r="F216" s="9">
        <v>0.21179999999999999</v>
      </c>
      <c r="G216" s="9">
        <v>9.4429999999999996</v>
      </c>
      <c r="H216" s="9">
        <v>1.5650000000000001E-2</v>
      </c>
      <c r="I216" s="9">
        <v>3.9929999999999999</v>
      </c>
      <c r="J216" s="10"/>
      <c r="K216" s="14"/>
      <c r="L216" s="12"/>
      <c r="M216" s="14"/>
      <c r="N216" s="32"/>
      <c r="O216" s="33" t="e">
        <f>VLOOKUP(A216,'Colo205_Transcription factor'!A:N,7,FALSE)</f>
        <v>#N/A</v>
      </c>
      <c r="P216" s="33" t="e">
        <f>VLOOKUP(A216,'Colo205_Transcription factor'!A:N,11,FALSE)</f>
        <v>#N/A</v>
      </c>
      <c r="Q216" s="33" t="e">
        <f>VLOOKUP(A216,'Colo205_Transcription factor'!A:N,13,FALSE)</f>
        <v>#N/A</v>
      </c>
    </row>
    <row r="217" spans="1:17" ht="15" customHeight="1">
      <c r="A217" s="8" t="str">
        <f>HYPERLINK("http://portal.genego.com/cgi/entity_page.cgi?term=100&amp;id=-409351352","DPF2")</f>
        <v>DPF2</v>
      </c>
      <c r="B217" s="9">
        <v>2</v>
      </c>
      <c r="C217" s="9">
        <v>1420</v>
      </c>
      <c r="D217" s="9">
        <v>4</v>
      </c>
      <c r="E217" s="9">
        <v>26819</v>
      </c>
      <c r="F217" s="9">
        <v>0.21179999999999999</v>
      </c>
      <c r="G217" s="9">
        <v>9.4429999999999996</v>
      </c>
      <c r="H217" s="9">
        <v>1.5650000000000001E-2</v>
      </c>
      <c r="I217" s="9">
        <v>3.9929999999999999</v>
      </c>
      <c r="J217" s="10"/>
      <c r="K217" s="14"/>
      <c r="L217" s="12"/>
      <c r="M217" s="14"/>
      <c r="N217" s="32"/>
      <c r="O217" s="33" t="e">
        <f>VLOOKUP(A217,'Colo205_Transcription factor'!A:N,7,FALSE)</f>
        <v>#N/A</v>
      </c>
      <c r="P217" s="33" t="e">
        <f>VLOOKUP(A217,'Colo205_Transcription factor'!A:N,11,FALSE)</f>
        <v>#N/A</v>
      </c>
      <c r="Q217" s="33" t="e">
        <f>VLOOKUP(A217,'Colo205_Transcription factor'!A:N,13,FALSE)</f>
        <v>#N/A</v>
      </c>
    </row>
    <row r="218" spans="1:17" ht="15" customHeight="1">
      <c r="A218" s="8" t="str">
        <f>HYPERLINK("http://portal.genego.com/cgi/entity_page.cgi?term=100&amp;id=6409","NRL")</f>
        <v>NRL</v>
      </c>
      <c r="B218" s="9">
        <v>7</v>
      </c>
      <c r="C218" s="9">
        <v>1420</v>
      </c>
      <c r="D218" s="9">
        <v>50</v>
      </c>
      <c r="E218" s="9">
        <v>26819</v>
      </c>
      <c r="F218" s="9">
        <v>2.6469999999999998</v>
      </c>
      <c r="G218" s="9">
        <v>2.6440000000000001</v>
      </c>
      <c r="H218" s="9">
        <v>1.5650000000000001E-2</v>
      </c>
      <c r="I218" s="9">
        <v>2.7509999999999999</v>
      </c>
      <c r="J218" s="10"/>
      <c r="K218" s="14"/>
      <c r="L218" s="12"/>
      <c r="M218" s="14"/>
      <c r="N218" s="32"/>
      <c r="O218" s="33">
        <f>VLOOKUP(A218,'Colo205_Transcription factor'!A:N,7,FALSE)</f>
        <v>4.0730000000000004</v>
      </c>
      <c r="P218" s="33">
        <f>VLOOKUP(A218,'Colo205_Transcription factor'!A:N,11,FALSE)</f>
        <v>0</v>
      </c>
      <c r="Q218" s="33">
        <f>VLOOKUP(A218,'Colo205_Transcription factor'!A:N,13,FALSE)</f>
        <v>0</v>
      </c>
    </row>
    <row r="219" spans="1:17" ht="15" customHeight="1">
      <c r="A219" s="8" t="str">
        <f>HYPERLINK("http://portal.genego.com/cgi/entity_page.cgi?term=100&amp;id=4278","CUX1")</f>
        <v>CUX1</v>
      </c>
      <c r="B219" s="9">
        <v>6</v>
      </c>
      <c r="C219" s="9">
        <v>1420</v>
      </c>
      <c r="D219" s="9">
        <v>39</v>
      </c>
      <c r="E219" s="9">
        <v>26819</v>
      </c>
      <c r="F219" s="9">
        <v>2.0649999999999999</v>
      </c>
      <c r="G219" s="9">
        <v>2.9060000000000001</v>
      </c>
      <c r="H219" s="9">
        <v>1.5879999999999998E-2</v>
      </c>
      <c r="I219" s="9">
        <v>2.8159999999999998</v>
      </c>
      <c r="J219" s="10"/>
      <c r="K219" s="14"/>
      <c r="L219" s="12"/>
      <c r="M219" s="14"/>
      <c r="N219" s="32"/>
      <c r="O219" s="33" t="e">
        <f>VLOOKUP(A219,'Colo205_Transcription factor'!A:N,7,FALSE)</f>
        <v>#N/A</v>
      </c>
      <c r="P219" s="33" t="e">
        <f>VLOOKUP(A219,'Colo205_Transcription factor'!A:N,11,FALSE)</f>
        <v>#N/A</v>
      </c>
      <c r="Q219" s="33" t="e">
        <f>VLOOKUP(A219,'Colo205_Transcription factor'!A:N,13,FALSE)</f>
        <v>#N/A</v>
      </c>
    </row>
    <row r="220" spans="1:17" ht="15" customHeight="1">
      <c r="A220" s="8" t="str">
        <f>HYPERLINK("http://portal.genego.com/cgi/entity_page.cgi?term=100&amp;id=-1659642710","SLUG")</f>
        <v>SLUG</v>
      </c>
      <c r="B220" s="9">
        <v>8</v>
      </c>
      <c r="C220" s="9">
        <v>1420</v>
      </c>
      <c r="D220" s="9">
        <v>62</v>
      </c>
      <c r="E220" s="9">
        <v>26819</v>
      </c>
      <c r="F220" s="9">
        <v>3.2829999999999999</v>
      </c>
      <c r="G220" s="9">
        <v>2.4369999999999998</v>
      </c>
      <c r="H220" s="9">
        <v>1.6140000000000002E-2</v>
      </c>
      <c r="I220" s="9">
        <v>2.6779999999999999</v>
      </c>
      <c r="J220" s="10" t="s">
        <v>27</v>
      </c>
      <c r="K220" s="11">
        <v>1.6943159000000001</v>
      </c>
      <c r="L220" s="12">
        <v>9.6589520000000006E-6</v>
      </c>
      <c r="M220" s="24">
        <v>1.353799</v>
      </c>
      <c r="N220" s="32">
        <v>9.6589520000000006E-6</v>
      </c>
      <c r="O220" s="33" t="e">
        <f>VLOOKUP(A220,'Colo205_Transcription factor'!A:N,7,FALSE)</f>
        <v>#N/A</v>
      </c>
      <c r="P220" s="33" t="e">
        <f>VLOOKUP(A220,'Colo205_Transcription factor'!A:N,11,FALSE)</f>
        <v>#N/A</v>
      </c>
      <c r="Q220" s="33" t="e">
        <f>VLOOKUP(A220,'Colo205_Transcription factor'!A:N,13,FALSE)</f>
        <v>#N/A</v>
      </c>
    </row>
    <row r="221" spans="1:17" ht="15" customHeight="1">
      <c r="A221" s="8" t="str">
        <f>HYPERLINK("http://portal.genego.com/cgi/entity_page.cgi?term=100&amp;id=3038","MYOG")</f>
        <v>MYOG</v>
      </c>
      <c r="B221" s="9">
        <v>25</v>
      </c>
      <c r="C221" s="9">
        <v>1420</v>
      </c>
      <c r="D221" s="9">
        <v>299</v>
      </c>
      <c r="E221" s="9">
        <v>26819</v>
      </c>
      <c r="F221" s="9">
        <v>15.83</v>
      </c>
      <c r="G221" s="9">
        <v>1.579</v>
      </c>
      <c r="H221" s="9">
        <v>1.6639999999999999E-2</v>
      </c>
      <c r="I221" s="9">
        <v>2.3809999999999998</v>
      </c>
      <c r="J221" s="10"/>
      <c r="K221" s="14"/>
      <c r="L221" s="12"/>
      <c r="M221" s="14"/>
      <c r="N221" s="32"/>
      <c r="O221" s="33" t="e">
        <f>VLOOKUP(A221,'Colo205_Transcription factor'!A:N,7,FALSE)</f>
        <v>#N/A</v>
      </c>
      <c r="P221" s="33" t="e">
        <f>VLOOKUP(A221,'Colo205_Transcription factor'!A:N,11,FALSE)</f>
        <v>#N/A</v>
      </c>
      <c r="Q221" s="33" t="e">
        <f>VLOOKUP(A221,'Colo205_Transcription factor'!A:N,13,FALSE)</f>
        <v>#N/A</v>
      </c>
    </row>
    <row r="222" spans="1:17" ht="15" customHeight="1">
      <c r="A222" s="8" t="str">
        <f>HYPERLINK("http://portal.genego.com/cgi/entity_page.cgi?term=100&amp;id=4349","COUP-TFI")</f>
        <v>COUP-TFI</v>
      </c>
      <c r="B222" s="9">
        <v>9</v>
      </c>
      <c r="C222" s="9">
        <v>1420</v>
      </c>
      <c r="D222" s="9">
        <v>75</v>
      </c>
      <c r="E222" s="9">
        <v>26819</v>
      </c>
      <c r="F222" s="9">
        <v>3.9710000000000001</v>
      </c>
      <c r="G222" s="9">
        <v>2.266</v>
      </c>
      <c r="H222" s="9">
        <v>1.7309999999999999E-2</v>
      </c>
      <c r="I222" s="9">
        <v>2.597</v>
      </c>
      <c r="J222" s="10"/>
      <c r="K222" s="14"/>
      <c r="L222" s="12"/>
      <c r="M222" s="14"/>
      <c r="N222" s="32"/>
      <c r="O222" s="33" t="e">
        <f>VLOOKUP(A222,'Colo205_Transcription factor'!A:N,7,FALSE)</f>
        <v>#N/A</v>
      </c>
      <c r="P222" s="33" t="e">
        <f>VLOOKUP(A222,'Colo205_Transcription factor'!A:N,11,FALSE)</f>
        <v>#N/A</v>
      </c>
      <c r="Q222" s="33" t="e">
        <f>VLOOKUP(A222,'Colo205_Transcription factor'!A:N,13,FALSE)</f>
        <v>#N/A</v>
      </c>
    </row>
    <row r="223" spans="1:17" ht="15" customHeight="1">
      <c r="A223" s="8" t="str">
        <f>HYPERLINK("http://portal.genego.com/cgi/entity_page.cgi?term=100&amp;id=6088","RelB (NF-kB subunit)")</f>
        <v>RelB (NF-kB subunit)</v>
      </c>
      <c r="B223" s="9">
        <v>18</v>
      </c>
      <c r="C223" s="9">
        <v>1420</v>
      </c>
      <c r="D223" s="9">
        <v>197</v>
      </c>
      <c r="E223" s="9">
        <v>26819</v>
      </c>
      <c r="F223" s="9">
        <v>10.43</v>
      </c>
      <c r="G223" s="9">
        <v>1.726</v>
      </c>
      <c r="H223" s="9">
        <v>1.737E-2</v>
      </c>
      <c r="I223" s="9">
        <v>2.4169999999999998</v>
      </c>
      <c r="J223" s="10"/>
      <c r="K223" s="14"/>
      <c r="L223" s="12"/>
      <c r="M223" s="14"/>
      <c r="N223" s="32"/>
      <c r="O223" s="33">
        <f>VLOOKUP(A223,'Colo205_Transcription factor'!A:N,7,FALSE)</f>
        <v>2.0670000000000002</v>
      </c>
      <c r="P223" s="33">
        <f>VLOOKUP(A223,'Colo205_Transcription factor'!A:N,11,FALSE)</f>
        <v>0</v>
      </c>
      <c r="Q223" s="33">
        <f>VLOOKUP(A223,'Colo205_Transcription factor'!A:N,13,FALSE)</f>
        <v>0</v>
      </c>
    </row>
    <row r="224" spans="1:17" ht="15" customHeight="1">
      <c r="A224" s="8" t="str">
        <f>HYPERLINK("http://portal.genego.com/cgi/entity_page.cgi?term=100&amp;id=78","BMAL1")</f>
        <v>BMAL1</v>
      </c>
      <c r="B224" s="9">
        <v>12</v>
      </c>
      <c r="C224" s="9">
        <v>1420</v>
      </c>
      <c r="D224" s="9">
        <v>114</v>
      </c>
      <c r="E224" s="9">
        <v>26819</v>
      </c>
      <c r="F224" s="9">
        <v>6.0359999999999996</v>
      </c>
      <c r="G224" s="9">
        <v>1.988</v>
      </c>
      <c r="H224" s="9">
        <v>1.7670000000000002E-2</v>
      </c>
      <c r="I224" s="9">
        <v>2.5</v>
      </c>
      <c r="J224" s="10"/>
      <c r="K224" s="14"/>
      <c r="L224" s="12"/>
      <c r="M224" s="14"/>
      <c r="N224" s="32"/>
      <c r="O224" s="33" t="e">
        <f>VLOOKUP(A224,'Colo205_Transcription factor'!A:N,7,FALSE)</f>
        <v>#N/A</v>
      </c>
      <c r="P224" s="33" t="e">
        <f>VLOOKUP(A224,'Colo205_Transcription factor'!A:N,11,FALSE)</f>
        <v>#N/A</v>
      </c>
      <c r="Q224" s="33" t="e">
        <f>VLOOKUP(A224,'Colo205_Transcription factor'!A:N,13,FALSE)</f>
        <v>#N/A</v>
      </c>
    </row>
    <row r="225" spans="1:17" ht="15" customHeight="1">
      <c r="A225" s="8" t="str">
        <f>HYPERLINK("http://portal.genego.com/cgi/entity_page.cgi?term=100&amp;id=-989224075","EBF2")</f>
        <v>EBF2</v>
      </c>
      <c r="B225" s="9">
        <v>3</v>
      </c>
      <c r="C225" s="9">
        <v>1420</v>
      </c>
      <c r="D225" s="9">
        <v>11</v>
      </c>
      <c r="E225" s="9">
        <v>26819</v>
      </c>
      <c r="F225" s="9">
        <v>0.58240000000000003</v>
      </c>
      <c r="G225" s="9">
        <v>5.1509999999999998</v>
      </c>
      <c r="H225" s="9">
        <v>1.7739999999999999E-2</v>
      </c>
      <c r="I225" s="9">
        <v>3.2559999999999998</v>
      </c>
      <c r="J225" s="10"/>
      <c r="K225" s="14"/>
      <c r="L225" s="12"/>
      <c r="M225" s="14"/>
      <c r="N225" s="32"/>
      <c r="O225" s="33" t="e">
        <f>VLOOKUP(A225,'Colo205_Transcription factor'!A:N,7,FALSE)</f>
        <v>#N/A</v>
      </c>
      <c r="P225" s="33" t="e">
        <f>VLOOKUP(A225,'Colo205_Transcription factor'!A:N,11,FALSE)</f>
        <v>#N/A</v>
      </c>
      <c r="Q225" s="33" t="e">
        <f>VLOOKUP(A225,'Colo205_Transcription factor'!A:N,13,FALSE)</f>
        <v>#N/A</v>
      </c>
    </row>
    <row r="226" spans="1:17" ht="15" customHeight="1">
      <c r="A226" s="8" t="str">
        <f>HYPERLINK("http://portal.genego.com/cgi/entity_page.cgi?term=100&amp;id=-512403271","FOXP1")</f>
        <v>FOXP1</v>
      </c>
      <c r="B226" s="9">
        <v>6</v>
      </c>
      <c r="C226" s="9">
        <v>1420</v>
      </c>
      <c r="D226" s="9">
        <v>40</v>
      </c>
      <c r="E226" s="9">
        <v>26819</v>
      </c>
      <c r="F226" s="9">
        <v>2.1179999999999999</v>
      </c>
      <c r="G226" s="9">
        <v>2.8330000000000002</v>
      </c>
      <c r="H226" s="9">
        <v>1.787E-2</v>
      </c>
      <c r="I226" s="9">
        <v>2.7429999999999999</v>
      </c>
      <c r="J226" s="10" t="s">
        <v>28</v>
      </c>
      <c r="K226" s="16">
        <v>-1.232883</v>
      </c>
      <c r="L226" s="12">
        <v>1.721449E-10</v>
      </c>
      <c r="M226" s="18">
        <v>-1.1424894000000001</v>
      </c>
      <c r="N226" s="32">
        <v>1.721449E-10</v>
      </c>
      <c r="O226" s="33">
        <f>VLOOKUP(A226,'Colo205_Transcription factor'!A:N,7,FALSE)</f>
        <v>3.5640000000000001</v>
      </c>
      <c r="P226" s="33">
        <f>VLOOKUP(A226,'Colo205_Transcription factor'!A:N,11,FALSE)</f>
        <v>0</v>
      </c>
      <c r="Q226" s="33">
        <f>VLOOKUP(A226,'Colo205_Transcription factor'!A:N,13,FALSE)</f>
        <v>0</v>
      </c>
    </row>
    <row r="227" spans="1:17" ht="15" customHeight="1">
      <c r="A227" s="8" t="str">
        <f>HYPERLINK("http://portal.genego.com/cgi/entity_page.cgi?term=100&amp;id=-909559193","FOXD3")</f>
        <v>FOXD3</v>
      </c>
      <c r="B227" s="9">
        <v>6</v>
      </c>
      <c r="C227" s="9">
        <v>1420</v>
      </c>
      <c r="D227" s="9">
        <v>40</v>
      </c>
      <c r="E227" s="9">
        <v>26819</v>
      </c>
      <c r="F227" s="9">
        <v>2.1179999999999999</v>
      </c>
      <c r="G227" s="9">
        <v>2.8330000000000002</v>
      </c>
      <c r="H227" s="9">
        <v>1.787E-2</v>
      </c>
      <c r="I227" s="9">
        <v>2.7429999999999999</v>
      </c>
      <c r="J227" s="10"/>
      <c r="K227" s="14"/>
      <c r="L227" s="12"/>
      <c r="M227" s="14"/>
      <c r="N227" s="32"/>
      <c r="O227" s="33" t="e">
        <f>VLOOKUP(A227,'Colo205_Transcription factor'!A:N,7,FALSE)</f>
        <v>#N/A</v>
      </c>
      <c r="P227" s="33" t="e">
        <f>VLOOKUP(A227,'Colo205_Transcription factor'!A:N,11,FALSE)</f>
        <v>#N/A</v>
      </c>
      <c r="Q227" s="33" t="e">
        <f>VLOOKUP(A227,'Colo205_Transcription factor'!A:N,13,FALSE)</f>
        <v>#N/A</v>
      </c>
    </row>
  </sheetData>
  <autoFilter ref="A2:M2"/>
  <mergeCells count="2">
    <mergeCell ref="O1:Q1"/>
    <mergeCell ref="A1:N1"/>
  </mergeCells>
  <conditionalFormatting sqref="P3:Q227">
    <cfRule type="colorScale" priority="2">
      <colorScale>
        <cfvo type="num" val="-3"/>
        <cfvo type="num" val="0"/>
        <cfvo type="num" val="3"/>
        <color rgb="FF0000FF"/>
        <color theme="0"/>
        <color rgb="FFFF0000"/>
      </colorScale>
    </cfRule>
  </conditionalFormatting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="90" workbookViewId="0">
      <pane xSplit="5" ySplit="3" topLeftCell="F4" activePane="bottomRight" state="frozen"/>
      <selection pane="topRight"/>
      <selection pane="bottomLeft"/>
      <selection pane="bottomRight" activeCell="A45" sqref="A45"/>
    </sheetView>
  </sheetViews>
  <sheetFormatPr baseColWidth="10" defaultColWidth="8.83203125" defaultRowHeight="15" x14ac:dyDescent="0"/>
  <cols>
    <col min="1" max="1" width="7.1640625" customWidth="1"/>
    <col min="2" max="2" width="77.83203125" customWidth="1"/>
    <col min="3" max="8" width="11.5" customWidth="1"/>
    <col min="9" max="9" width="81.1640625" customWidth="1"/>
    <col min="10" max="10" width="54.83203125" style="41" customWidth="1"/>
    <col min="11" max="11" width="48.6640625" customWidth="1"/>
  </cols>
  <sheetData>
    <row r="1" spans="1:11" ht="20" customHeight="1" thickBot="1">
      <c r="A1" s="40" t="s">
        <v>68</v>
      </c>
    </row>
    <row r="2" spans="1:11" ht="30" customHeight="1" thickBot="1">
      <c r="A2" s="42" t="s">
        <v>69</v>
      </c>
      <c r="F2" s="60" t="s">
        <v>269</v>
      </c>
      <c r="G2" s="61"/>
      <c r="H2" s="61"/>
      <c r="I2" s="61"/>
      <c r="J2" s="44"/>
    </row>
    <row r="3" spans="1:11" s="41" customFormat="1" ht="30" customHeight="1" thickBot="1">
      <c r="A3" s="45" t="s">
        <v>71</v>
      </c>
      <c r="B3" s="45" t="s">
        <v>72</v>
      </c>
      <c r="C3" s="45" t="s">
        <v>73</v>
      </c>
      <c r="D3" s="45" t="s">
        <v>74</v>
      </c>
      <c r="E3" s="46" t="s">
        <v>75</v>
      </c>
      <c r="F3" s="47" t="s">
        <v>1</v>
      </c>
      <c r="G3" s="47" t="s">
        <v>76</v>
      </c>
      <c r="H3" s="47" t="s">
        <v>77</v>
      </c>
      <c r="I3" s="48" t="s">
        <v>78</v>
      </c>
      <c r="J3" s="48" t="s">
        <v>65</v>
      </c>
      <c r="K3" s="49" t="s">
        <v>67</v>
      </c>
    </row>
    <row r="4" spans="1:11" ht="30" customHeight="1">
      <c r="A4" s="50">
        <v>1</v>
      </c>
      <c r="B4" s="51" t="s">
        <v>79</v>
      </c>
      <c r="C4" s="50">
        <v>29</v>
      </c>
      <c r="D4" s="52">
        <v>5.4913202731070105E-9</v>
      </c>
      <c r="E4" s="52">
        <v>5.4254244298297308E-6</v>
      </c>
      <c r="F4" s="52">
        <v>5.4913202731070105E-9</v>
      </c>
      <c r="G4" s="52">
        <v>5.4254244298297308E-6</v>
      </c>
      <c r="H4" s="53">
        <v>12</v>
      </c>
      <c r="I4" s="54" t="s">
        <v>80</v>
      </c>
      <c r="J4" s="54" t="e">
        <f>VLOOKUP(B4,[1]Colo205!B:I,8,FALSE)</f>
        <v>#N/A</v>
      </c>
      <c r="K4" s="41" t="e">
        <f>VLOOKUP(B4,[1]Baseline!B4:I54,8,FALSE)</f>
        <v>#N/A</v>
      </c>
    </row>
    <row r="5" spans="1:11" ht="30" customHeight="1">
      <c r="A5" s="50">
        <v>2</v>
      </c>
      <c r="B5" s="51" t="s">
        <v>81</v>
      </c>
      <c r="C5" s="50">
        <v>20</v>
      </c>
      <c r="D5" s="52">
        <v>1.9686593679635398E-7</v>
      </c>
      <c r="E5" s="52">
        <v>9.7251772777399005E-5</v>
      </c>
      <c r="F5" s="52">
        <v>1.9686593679635398E-7</v>
      </c>
      <c r="G5" s="52">
        <v>9.7251772777399005E-5</v>
      </c>
      <c r="H5" s="53">
        <v>9</v>
      </c>
      <c r="I5" s="54" t="s">
        <v>82</v>
      </c>
      <c r="J5" s="54" t="e">
        <f>VLOOKUP(B5,[1]Colo205!B:I,8,FALSE)</f>
        <v>#N/A</v>
      </c>
      <c r="K5" s="41" t="e">
        <f>VLOOKUP(B5,[1]Baseline!B5:I55,8,FALSE)</f>
        <v>#N/A</v>
      </c>
    </row>
    <row r="6" spans="1:11" ht="30" customHeight="1">
      <c r="A6" s="50">
        <v>3</v>
      </c>
      <c r="B6" s="51" t="s">
        <v>83</v>
      </c>
      <c r="C6" s="50">
        <v>64</v>
      </c>
      <c r="D6" s="52">
        <v>4.4383239507152497E-7</v>
      </c>
      <c r="E6" s="52">
        <v>1.4616880211022201E-4</v>
      </c>
      <c r="F6" s="52">
        <v>4.4383239507152497E-7</v>
      </c>
      <c r="G6" s="52">
        <v>1.4616880211022201E-4</v>
      </c>
      <c r="H6" s="53">
        <v>15</v>
      </c>
      <c r="I6" s="54" t="s">
        <v>84</v>
      </c>
      <c r="J6" s="54" t="str">
        <f>VLOOKUP(B6,[1]Colo205!B:I,8,FALSE)</f>
        <v>PDGF-A, IL-1 beta, Oncostatin M, HEY1, N-cadherin, NOTCH4, ACTA2, PDGF-R-alpha, Endothelin-1, Fibronectin, Claudin-1, WNT, Frizzled, c-Jun</v>
      </c>
      <c r="K6" s="41" t="e">
        <f>VLOOKUP(B6,[1]Baseline!B6:I56,8,FALSE)</f>
        <v>#N/A</v>
      </c>
    </row>
    <row r="7" spans="1:11" ht="30" customHeight="1">
      <c r="A7" s="50">
        <v>4</v>
      </c>
      <c r="B7" s="51" t="s">
        <v>85</v>
      </c>
      <c r="C7" s="50">
        <v>30</v>
      </c>
      <c r="D7" s="52">
        <v>1.1497750825328401E-6</v>
      </c>
      <c r="E7" s="52">
        <v>2.8399444538561102E-4</v>
      </c>
      <c r="F7" s="52">
        <v>1.1497750825328401E-6</v>
      </c>
      <c r="G7" s="52">
        <v>2.8399444538561102E-4</v>
      </c>
      <c r="H7" s="53">
        <v>10</v>
      </c>
      <c r="I7" s="54" t="s">
        <v>86</v>
      </c>
      <c r="J7" s="54" t="e">
        <f>VLOOKUP(B7,[1]Colo205!B:I,8,FALSE)</f>
        <v>#N/A</v>
      </c>
      <c r="K7" s="55" t="e">
        <f>VLOOKUP(B7,[1]Baseline!B7:I57,8,FALSE)</f>
        <v>#N/A</v>
      </c>
    </row>
    <row r="8" spans="1:11" ht="30" customHeight="1">
      <c r="A8" s="50">
        <v>5</v>
      </c>
      <c r="B8" s="51" t="s">
        <v>87</v>
      </c>
      <c r="C8" s="50">
        <v>40</v>
      </c>
      <c r="D8" s="52">
        <v>2.8708748613600598E-6</v>
      </c>
      <c r="E8" s="52">
        <v>5.6728487260474805E-4</v>
      </c>
      <c r="F8" s="52">
        <v>2.8708748613600598E-6</v>
      </c>
      <c r="G8" s="52">
        <v>5.6728487260474805E-4</v>
      </c>
      <c r="H8" s="53">
        <v>11</v>
      </c>
      <c r="I8" s="54" t="s">
        <v>88</v>
      </c>
      <c r="J8" s="54" t="str">
        <f>VLOOKUP(B8,[1]Colo205!B:I,8,FALSE)</f>
        <v>Cyclin D1, WNT3A, SFRP2, c-Myc, FZD7, WNT, GLNA, Frizzled</v>
      </c>
      <c r="K8" s="55" t="str">
        <f>VLOOKUP(B8,[1]Baseline!B8:I58,8,FALSE)</f>
        <v>WNT4, Ep-CAM, NOTUM, p14ARF, FZD6, Tcf(Lef), EGFR, GLNA, DKK1, WNT3, FZD3, Dsh, SFRP5, WNT, Cyclin D1, LGR5, p53, c-Myc, FZD7, DVL-2, Axin, TBX3, Frizzled, DACT1</v>
      </c>
    </row>
    <row r="9" spans="1:11" ht="30" customHeight="1">
      <c r="A9" s="50">
        <v>6</v>
      </c>
      <c r="B9" s="51" t="s">
        <v>89</v>
      </c>
      <c r="C9" s="50">
        <v>66</v>
      </c>
      <c r="D9" s="52">
        <v>3.8511293880610903E-6</v>
      </c>
      <c r="E9" s="52">
        <v>6.3415263923406002E-4</v>
      </c>
      <c r="F9" s="52">
        <v>3.8511293880610996E-6</v>
      </c>
      <c r="G9" s="52">
        <v>6.3415263923406002E-4</v>
      </c>
      <c r="H9" s="53">
        <v>14</v>
      </c>
      <c r="I9" s="54" t="s">
        <v>90</v>
      </c>
      <c r="J9" s="54" t="str">
        <f>VLOOKUP(B9,[1]Colo205!B:I,8,FALSE)</f>
        <v>FZD1, Cyclin D1, CAS-L, p21, Leptin receptor, CD44, FZD10, SFRP2, c-Myc, FZD7, WNT, DACT3, Frizzled</v>
      </c>
      <c r="K9" s="55" t="e">
        <f>VLOOKUP(B9,[1]Baseline!B9:I59,8,FALSE)</f>
        <v>#N/A</v>
      </c>
    </row>
    <row r="10" spans="1:11" ht="30" customHeight="1">
      <c r="A10" s="50">
        <v>7</v>
      </c>
      <c r="B10" s="51" t="s">
        <v>91</v>
      </c>
      <c r="C10" s="50">
        <v>35</v>
      </c>
      <c r="D10" s="52">
        <v>5.5930677782967704E-6</v>
      </c>
      <c r="E10" s="52">
        <v>6.9074387061965196E-4</v>
      </c>
      <c r="F10" s="52">
        <v>5.5930677782967805E-6</v>
      </c>
      <c r="G10" s="52">
        <v>6.9074387061965196E-4</v>
      </c>
      <c r="H10" s="53">
        <v>10</v>
      </c>
      <c r="I10" s="54" t="s">
        <v>92</v>
      </c>
      <c r="J10" s="54" t="str">
        <f>VLOOKUP(B10,[1]Colo205!B:I,8,FALSE)</f>
        <v>FasL(TNFSF6), Osteoprotegerin, WNT3A, MIP-1-alpha, SFRP2, WNT, Frizzled, Collagen I</v>
      </c>
      <c r="K10" s="55" t="e">
        <f>VLOOKUP(B10,[1]Baseline!B10:I60,8,FALSE)</f>
        <v>#N/A</v>
      </c>
    </row>
    <row r="11" spans="1:11" ht="30" customHeight="1">
      <c r="A11" s="50">
        <v>8</v>
      </c>
      <c r="B11" s="51" t="s">
        <v>93</v>
      </c>
      <c r="C11" s="50">
        <v>35</v>
      </c>
      <c r="D11" s="52">
        <v>5.5930677782967704E-6</v>
      </c>
      <c r="E11" s="52">
        <v>6.9074387061965196E-4</v>
      </c>
      <c r="F11" s="52">
        <v>5.5930677782967805E-6</v>
      </c>
      <c r="G11" s="52">
        <v>6.9074387061965196E-4</v>
      </c>
      <c r="H11" s="53">
        <v>10</v>
      </c>
      <c r="I11" s="54" t="s">
        <v>94</v>
      </c>
      <c r="J11" s="54" t="e">
        <f>VLOOKUP(B11,[1]Colo205!B:I,8,FALSE)</f>
        <v>#N/A</v>
      </c>
      <c r="K11" s="55" t="str">
        <f>VLOOKUP(B11,[1]Baseline!B11:I61,8,FALSE)</f>
        <v>HEY1, E-cadherin, TGF-beta 1, E2A, ETS1, TGF-beta receptor type II, Lef-1, TGF-beta, SMAD4, Vimentin, TCF8, Claudin-1, SLUG, Occludin, HMGA2, SNAIL1, SMAD3, Jagged1, PAI1</v>
      </c>
    </row>
    <row r="12" spans="1:11" ht="30" customHeight="1">
      <c r="A12" s="50">
        <v>9</v>
      </c>
      <c r="B12" s="51" t="s">
        <v>95</v>
      </c>
      <c r="C12" s="50">
        <v>36</v>
      </c>
      <c r="D12" s="52">
        <v>7.3994444552845597E-6</v>
      </c>
      <c r="E12" s="52">
        <v>7.7164257600356896E-4</v>
      </c>
      <c r="F12" s="52">
        <v>7.3994444552845699E-6</v>
      </c>
      <c r="G12" s="52">
        <v>7.7164257600356896E-4</v>
      </c>
      <c r="H12" s="53">
        <v>10</v>
      </c>
      <c r="I12" s="54" t="s">
        <v>96</v>
      </c>
      <c r="J12" s="54" t="str">
        <f>VLOOKUP(B12,[1]Colo205!B:I,8,FALSE)</f>
        <v>c-Jun/c-Fos, Cyclin D1, CD44, Claudin-1, CD44 soluble, PLAU (UPA), MDR1, CD44 (EXT)</v>
      </c>
      <c r="K12" s="55" t="e">
        <f>VLOOKUP(B12,[1]Baseline!B12:I62,8,FALSE)</f>
        <v>#N/A</v>
      </c>
    </row>
    <row r="13" spans="1:11" ht="30" customHeight="1">
      <c r="A13" s="50">
        <v>10</v>
      </c>
      <c r="B13" s="51" t="s">
        <v>97</v>
      </c>
      <c r="C13" s="50">
        <v>29</v>
      </c>
      <c r="D13" s="52">
        <v>7.8101475304004901E-6</v>
      </c>
      <c r="E13" s="52">
        <v>7.7164257600356896E-4</v>
      </c>
      <c r="F13" s="52">
        <v>7.8101475304004901E-6</v>
      </c>
      <c r="G13" s="52">
        <v>7.7164257600356896E-4</v>
      </c>
      <c r="H13" s="53">
        <v>9</v>
      </c>
      <c r="I13" s="54" t="s">
        <v>98</v>
      </c>
      <c r="J13" s="54" t="e">
        <f>VLOOKUP(B13,[1]Colo205!B:I,8,FALSE)</f>
        <v>#N/A</v>
      </c>
      <c r="K13" s="55" t="e">
        <f>VLOOKUP(B13,[1]Baseline!B13:I63,8,FALSE)</f>
        <v>#N/A</v>
      </c>
    </row>
    <row r="14" spans="1:11" ht="30" customHeight="1">
      <c r="A14" s="50">
        <v>11</v>
      </c>
      <c r="B14" s="51" t="s">
        <v>99</v>
      </c>
      <c r="C14" s="50">
        <v>54</v>
      </c>
      <c r="D14" s="52">
        <v>1.1439890577122802E-5</v>
      </c>
      <c r="E14" s="52">
        <v>1.0275101718361301E-3</v>
      </c>
      <c r="F14" s="52">
        <v>1.1439890577122901E-5</v>
      </c>
      <c r="G14" s="52">
        <v>1.0275101718361301E-3</v>
      </c>
      <c r="H14" s="53">
        <v>12</v>
      </c>
      <c r="I14" s="54" t="s">
        <v>100</v>
      </c>
      <c r="J14" s="54" t="e">
        <f>VLOOKUP(B14,[1]Colo205!B:I,8,FALSE)</f>
        <v>#N/A</v>
      </c>
      <c r="K14" s="55" t="e">
        <f>VLOOKUP(B14,[1]Baseline!B14:I64,8,FALSE)</f>
        <v>#N/A</v>
      </c>
    </row>
    <row r="15" spans="1:11" ht="30" customHeight="1">
      <c r="A15" s="50">
        <v>12</v>
      </c>
      <c r="B15" s="51" t="s">
        <v>101</v>
      </c>
      <c r="C15" s="50">
        <v>38</v>
      </c>
      <c r="D15" s="52">
        <v>1.2563934853916701E-5</v>
      </c>
      <c r="E15" s="52">
        <v>1.0344306363058099E-3</v>
      </c>
      <c r="F15" s="52">
        <v>1.2563934853916701E-5</v>
      </c>
      <c r="G15" s="52">
        <v>1.0344306363058099E-3</v>
      </c>
      <c r="H15" s="53">
        <v>10</v>
      </c>
      <c r="I15" s="54" t="s">
        <v>102</v>
      </c>
      <c r="J15" s="54" t="e">
        <f>VLOOKUP(B15,[1]Colo205!B:I,8,FALSE)</f>
        <v>#N/A</v>
      </c>
      <c r="K15" s="55" t="e">
        <f>VLOOKUP(B15,[1]Baseline!B15:I65,8,FALSE)</f>
        <v>#N/A</v>
      </c>
    </row>
    <row r="16" spans="1:11" ht="30" customHeight="1">
      <c r="A16" s="50">
        <v>13</v>
      </c>
      <c r="B16" s="51" t="s">
        <v>103</v>
      </c>
      <c r="C16" s="50">
        <v>31</v>
      </c>
      <c r="D16" s="52">
        <v>1.43640085865148E-5</v>
      </c>
      <c r="E16" s="52">
        <v>1.09166465257513E-3</v>
      </c>
      <c r="F16" s="52">
        <v>1.43640085865148E-5</v>
      </c>
      <c r="G16" s="52">
        <v>1.09166465257513E-3</v>
      </c>
      <c r="H16" s="53">
        <v>9</v>
      </c>
      <c r="I16" s="54" t="s">
        <v>104</v>
      </c>
      <c r="J16" s="54" t="e">
        <f>VLOOKUP(B16,[1]Colo205!B:I,8,FALSE)</f>
        <v>#N/A</v>
      </c>
      <c r="K16" s="55" t="e">
        <f>VLOOKUP(B16,[1]Baseline!B16:I66,8,FALSE)</f>
        <v>#N/A</v>
      </c>
    </row>
    <row r="17" spans="1:11" ht="30" customHeight="1">
      <c r="A17" s="50">
        <v>14</v>
      </c>
      <c r="B17" s="51" t="s">
        <v>105</v>
      </c>
      <c r="C17" s="50">
        <v>19</v>
      </c>
      <c r="D17" s="52">
        <v>2.3250385608311601E-5</v>
      </c>
      <c r="E17" s="52">
        <v>1.6408129272151299E-3</v>
      </c>
      <c r="F17" s="52">
        <v>2.3250385608311601E-5</v>
      </c>
      <c r="G17" s="52">
        <v>1.6408129272151299E-3</v>
      </c>
      <c r="H17" s="53">
        <v>7</v>
      </c>
      <c r="I17" s="54" t="s">
        <v>106</v>
      </c>
      <c r="J17" s="54" t="e">
        <f>VLOOKUP(B17,[1]Colo205!B:I,8,FALSE)</f>
        <v>#N/A</v>
      </c>
      <c r="K17" s="55" t="e">
        <f>VLOOKUP(B17,[1]Baseline!B17:I67,8,FALSE)</f>
        <v>#N/A</v>
      </c>
    </row>
    <row r="18" spans="1:11" ht="30" customHeight="1">
      <c r="A18" s="50">
        <v>15</v>
      </c>
      <c r="B18" s="51" t="s">
        <v>107</v>
      </c>
      <c r="C18" s="50">
        <v>36</v>
      </c>
      <c r="D18" s="52">
        <v>5.3539799912013604E-5</v>
      </c>
      <c r="E18" s="52">
        <v>3.3060826445668401E-3</v>
      </c>
      <c r="F18" s="52">
        <v>5.3539799912013706E-5</v>
      </c>
      <c r="G18" s="52">
        <v>3.3060826445668401E-3</v>
      </c>
      <c r="H18" s="53">
        <v>9</v>
      </c>
      <c r="I18" s="54" t="s">
        <v>108</v>
      </c>
      <c r="J18" s="54" t="str">
        <f>VLOOKUP(B18,[1]Colo205!B:I,8,FALSE)</f>
        <v>Cyclin D1, CD44, WNT3A, DKK3, SFRP2, WNT, WNT 8A, Frizzled</v>
      </c>
      <c r="K18" s="55" t="e">
        <f>VLOOKUP(B18,[1]Baseline!B18:I68,8,FALSE)</f>
        <v>#N/A</v>
      </c>
    </row>
    <row r="19" spans="1:11" ht="30" customHeight="1">
      <c r="A19" s="50">
        <v>16</v>
      </c>
      <c r="B19" s="51" t="s">
        <v>109</v>
      </c>
      <c r="C19" s="50">
        <v>36</v>
      </c>
      <c r="D19" s="52">
        <v>5.3539799912013604E-5</v>
      </c>
      <c r="E19" s="52">
        <v>3.3060826445668401E-3</v>
      </c>
      <c r="F19" s="52">
        <v>5.3539799912013706E-5</v>
      </c>
      <c r="G19" s="52">
        <v>3.3060826445668401E-3</v>
      </c>
      <c r="H19" s="53">
        <v>9</v>
      </c>
      <c r="I19" s="54" t="s">
        <v>110</v>
      </c>
      <c r="J19" s="54" t="e">
        <f>VLOOKUP(B19,[1]Colo205!B:I,8,FALSE)</f>
        <v>#N/A</v>
      </c>
      <c r="K19" s="55" t="e">
        <f>VLOOKUP(B19,[1]Baseline!B19:I69,8,FALSE)</f>
        <v>#N/A</v>
      </c>
    </row>
    <row r="20" spans="1:11" ht="30" customHeight="1">
      <c r="A20" s="50">
        <v>17</v>
      </c>
      <c r="B20" s="51" t="s">
        <v>111</v>
      </c>
      <c r="C20" s="50">
        <v>47</v>
      </c>
      <c r="D20" s="52">
        <v>9.1444608554242806E-5</v>
      </c>
      <c r="E20" s="52">
        <v>5.3145454853877599E-3</v>
      </c>
      <c r="F20" s="52">
        <v>9.1444608554242806E-5</v>
      </c>
      <c r="G20" s="52">
        <v>5.3145454853877599E-3</v>
      </c>
      <c r="H20" s="53">
        <v>10</v>
      </c>
      <c r="I20" s="54" t="s">
        <v>112</v>
      </c>
      <c r="J20" s="54" t="e">
        <f>VLOOKUP(B20,[1]Colo205!B:I,8,FALSE)</f>
        <v>#N/A</v>
      </c>
      <c r="K20" s="55" t="e">
        <f>VLOOKUP(B20,[1]Baseline!B20:I70,8,FALSE)</f>
        <v>#N/A</v>
      </c>
    </row>
    <row r="21" spans="1:11" ht="30" customHeight="1">
      <c r="A21" s="50">
        <v>18</v>
      </c>
      <c r="B21" s="51" t="s">
        <v>113</v>
      </c>
      <c r="C21" s="50">
        <v>58</v>
      </c>
      <c r="D21" s="52">
        <v>1.2412702909727599E-4</v>
      </c>
      <c r="E21" s="52">
        <v>6.8131947082282398E-3</v>
      </c>
      <c r="F21" s="52">
        <v>1.2412702909727599E-4</v>
      </c>
      <c r="G21" s="52">
        <v>6.8131947082282398E-3</v>
      </c>
      <c r="H21" s="53">
        <v>11</v>
      </c>
      <c r="I21" s="54" t="s">
        <v>114</v>
      </c>
      <c r="J21" s="54" t="str">
        <f>VLOOKUP(B21,[1]Colo205!B:I,8,FALSE)</f>
        <v>PDGF-A, Tau (MAPT), MAP6, MAP-1B, NCAM1, PDGF-R-alpha, MAP2, MRLC, Paxillin, TPPP (p24)</v>
      </c>
      <c r="K21" s="55" t="str">
        <f>VLOOKUP(B21,[1]Baseline!B21:I71,8,FALSE)</f>
        <v>Tubulin beta, CDK5R1 (p35), MAP-1B, NCAM1, chTOG, PDGF-A, Myosin II, HDAC6, LIMK1, hnRNP A2, Gelsolin, VAV-1, Paxillin, Myelin basic protein, Tubulin alpha, MAP4, CNP1, Netrin-1, N-WASP, MRLC, L1CAM, TPPP (p24), CDC42, Fyn, Tau (MAPT), MELC, WASF1(WAVE1), Cofilin, Tubulin (in microtubules)</v>
      </c>
    </row>
    <row r="22" spans="1:11" ht="30" customHeight="1">
      <c r="A22" s="50">
        <v>19</v>
      </c>
      <c r="B22" s="51" t="s">
        <v>115</v>
      </c>
      <c r="C22" s="50">
        <v>49</v>
      </c>
      <c r="D22" s="52">
        <v>1.3255325803830401E-4</v>
      </c>
      <c r="E22" s="52">
        <v>6.8927694179917801E-3</v>
      </c>
      <c r="F22" s="52">
        <v>1.3255325803830401E-4</v>
      </c>
      <c r="G22" s="52">
        <v>6.8927694179917801E-3</v>
      </c>
      <c r="H22" s="53">
        <v>10</v>
      </c>
      <c r="I22" s="54" t="s">
        <v>116</v>
      </c>
      <c r="J22" s="54" t="e">
        <f>VLOOKUP(B22,[1]Colo205!B:I,8,FALSE)</f>
        <v>#N/A</v>
      </c>
      <c r="K22" s="55" t="e">
        <f>VLOOKUP(B22,[1]Baseline!B22:I72,8,FALSE)</f>
        <v>#N/A</v>
      </c>
    </row>
    <row r="23" spans="1:11" ht="30" customHeight="1">
      <c r="A23" s="50">
        <v>20</v>
      </c>
      <c r="B23" s="51" t="s">
        <v>117</v>
      </c>
      <c r="C23" s="50">
        <v>32</v>
      </c>
      <c r="D23" s="52">
        <v>1.3995101101456201E-4</v>
      </c>
      <c r="E23" s="52">
        <v>6.9135799441193803E-3</v>
      </c>
      <c r="F23" s="52">
        <v>1.3995101101456299E-4</v>
      </c>
      <c r="G23" s="52">
        <v>6.9135799441193803E-3</v>
      </c>
      <c r="H23" s="53">
        <v>8</v>
      </c>
      <c r="I23" s="54" t="s">
        <v>118</v>
      </c>
      <c r="J23" s="54" t="e">
        <f>VLOOKUP(B23,[1]Colo205!B:I,8,FALSE)</f>
        <v>#N/A</v>
      </c>
      <c r="K23" s="55" t="e">
        <f>VLOOKUP(B23,[1]Baseline!B23:I73,8,FALSE)</f>
        <v>#N/A</v>
      </c>
    </row>
    <row r="24" spans="1:11" ht="30" customHeight="1">
      <c r="A24" s="50">
        <v>21</v>
      </c>
      <c r="B24" s="51" t="s">
        <v>119</v>
      </c>
      <c r="C24" s="50">
        <v>60</v>
      </c>
      <c r="D24" s="52">
        <v>1.70548331247297E-4</v>
      </c>
      <c r="E24" s="52">
        <v>8.0238929177299592E-3</v>
      </c>
      <c r="F24" s="52">
        <v>1.70548331247297E-4</v>
      </c>
      <c r="G24" s="52">
        <v>8.0238929177299592E-3</v>
      </c>
      <c r="H24" s="53">
        <v>11</v>
      </c>
      <c r="I24" s="54" t="s">
        <v>120</v>
      </c>
      <c r="J24" s="54" t="str">
        <f>VLOOKUP(B24,[1]Colo205!B:I,8,FALSE)</f>
        <v>COL1A1, PDGF-A, HB-EGF, GRO-2, ACTA2, COL1A2, PDGF-R-alpha, c-Fos, PDGF receptor, Fibronectin, Collagen I, c-Jun</v>
      </c>
      <c r="K24" s="55" t="e">
        <f>VLOOKUP(B24,[1]Baseline!B24:I74,8,FALSE)</f>
        <v>#N/A</v>
      </c>
    </row>
    <row r="25" spans="1:11" ht="30" customHeight="1">
      <c r="A25" s="50">
        <v>22</v>
      </c>
      <c r="B25" s="51" t="s">
        <v>121</v>
      </c>
      <c r="C25" s="50">
        <v>51</v>
      </c>
      <c r="D25" s="52">
        <v>1.8826282090863401E-4</v>
      </c>
      <c r="E25" s="52">
        <v>8.4547121389877498E-3</v>
      </c>
      <c r="F25" s="52">
        <v>1.8826282090863401E-4</v>
      </c>
      <c r="G25" s="52">
        <v>8.4547121389877498E-3</v>
      </c>
      <c r="H25" s="53">
        <v>10</v>
      </c>
      <c r="I25" s="54" t="s">
        <v>122</v>
      </c>
      <c r="J25" s="54" t="e">
        <f>VLOOKUP(B25,[1]Colo205!B:I,8,FALSE)</f>
        <v>#N/A</v>
      </c>
      <c r="K25" s="55" t="e">
        <f>VLOOKUP(B25,[1]Baseline!B25:I75,8,FALSE)</f>
        <v>#N/A</v>
      </c>
    </row>
    <row r="26" spans="1:11" ht="30" customHeight="1">
      <c r="A26" s="50">
        <v>23</v>
      </c>
      <c r="B26" s="51" t="s">
        <v>123</v>
      </c>
      <c r="C26" s="50">
        <v>53</v>
      </c>
      <c r="D26" s="52">
        <v>2.6244547415714501E-4</v>
      </c>
      <c r="E26" s="52">
        <v>1.1273744715967799E-2</v>
      </c>
      <c r="F26" s="52">
        <v>2.6244547415714599E-4</v>
      </c>
      <c r="G26" s="52">
        <v>1.1273744715967799E-2</v>
      </c>
      <c r="H26" s="53">
        <v>10</v>
      </c>
      <c r="I26" s="54" t="s">
        <v>124</v>
      </c>
      <c r="J26" s="54" t="e">
        <f>VLOOKUP(B26,[1]Colo205!B:I,8,FALSE)</f>
        <v>#N/A</v>
      </c>
      <c r="K26" s="55" t="e">
        <f>VLOOKUP(B26,[1]Baseline!B26:I76,8,FALSE)</f>
        <v>#N/A</v>
      </c>
    </row>
    <row r="27" spans="1:11" ht="30" customHeight="1">
      <c r="A27" s="50">
        <v>24</v>
      </c>
      <c r="B27" s="51" t="s">
        <v>125</v>
      </c>
      <c r="C27" s="50">
        <v>36</v>
      </c>
      <c r="D27" s="52">
        <v>3.3707879902785499E-4</v>
      </c>
      <c r="E27" s="52">
        <v>1.387641055998E-2</v>
      </c>
      <c r="F27" s="52">
        <v>3.3707879902785602E-4</v>
      </c>
      <c r="G27" s="52">
        <v>1.387641055998E-2</v>
      </c>
      <c r="H27" s="53">
        <v>8</v>
      </c>
      <c r="I27" s="54" t="s">
        <v>126</v>
      </c>
      <c r="J27" s="54" t="str">
        <f>VLOOKUP(B27,[1]Colo205!B:I,8,FALSE)</f>
        <v>PTHR1, COL1A1, Cyclin D1, PKA-reg (cAMP-dependent), COL1A2, c-Fos, PLC-beta, PTCH1, VDR, PKA-cat (cAMP-dependent)</v>
      </c>
      <c r="K27" s="55" t="e">
        <f>VLOOKUP(B27,[1]Baseline!B27:I77,8,FALSE)</f>
        <v>#N/A</v>
      </c>
    </row>
    <row r="28" spans="1:11" ht="30" customHeight="1">
      <c r="A28" s="50">
        <v>25</v>
      </c>
      <c r="B28" s="51" t="s">
        <v>127</v>
      </c>
      <c r="C28" s="50">
        <v>37</v>
      </c>
      <c r="D28" s="52">
        <v>4.1140817746858799E-4</v>
      </c>
      <c r="E28" s="52">
        <v>1.62187039007935E-2</v>
      </c>
      <c r="F28" s="52">
        <v>4.1140817746858799E-4</v>
      </c>
      <c r="G28" s="52">
        <v>1.62187039007935E-2</v>
      </c>
      <c r="H28" s="53">
        <v>8</v>
      </c>
      <c r="I28" s="54" t="s">
        <v>128</v>
      </c>
      <c r="J28" s="54" t="e">
        <f>VLOOKUP(B28,[1]Colo205!B:I,8,FALSE)</f>
        <v>#N/A</v>
      </c>
      <c r="K28" s="55" t="e">
        <f>VLOOKUP(B28,[1]Baseline!B28:I78,8,FALSE)</f>
        <v>#N/A</v>
      </c>
    </row>
    <row r="29" spans="1:11" ht="30" customHeight="1">
      <c r="A29" s="50">
        <v>26</v>
      </c>
      <c r="B29" s="51" t="s">
        <v>129</v>
      </c>
      <c r="C29" s="50">
        <v>77</v>
      </c>
      <c r="D29" s="52">
        <v>4.2680799738930301E-4</v>
      </c>
      <c r="E29" s="52">
        <v>1.62187039007935E-2</v>
      </c>
      <c r="F29" s="52">
        <v>4.2680799738930398E-4</v>
      </c>
      <c r="G29" s="52">
        <v>1.62187039007935E-2</v>
      </c>
      <c r="H29" s="53">
        <v>12</v>
      </c>
      <c r="I29" s="54" t="s">
        <v>130</v>
      </c>
      <c r="J29" s="54" t="str">
        <f>VLOOKUP(B29,[1]Colo205!B:I,8,FALSE)</f>
        <v>FZD1, Cyclin D1, p21, WNT3A, DKK3, NKD1, SFRP2, c-Myc, FZD7, WNT, Frizzled, NOTCH3</v>
      </c>
      <c r="K29" s="55" t="str">
        <f>VLOOKUP(B29,[1]Baseline!B29:I79,8,FALSE)</f>
        <v>WNT4, E-cadherin, iNOS, RUNX3, FZD6, NKD1, Tcf(Lef), Krm1, Porcn, Lef-1, DKK1, WNT3, FZD3, p21, Dsh, JNK1(MAPK8), SFRP5, Sirtuin1, Survivin, WNT, FZD5, LRP6, FZD1, Cyclin D1, FZD9, HOXB9, c-Myc, FZD7, DVL-2, p38 MAPK, Axin, CD147, Frizzled, NOTCH3</v>
      </c>
    </row>
    <row r="30" spans="1:11" ht="30" customHeight="1">
      <c r="A30" s="50">
        <v>27</v>
      </c>
      <c r="B30" s="51" t="s">
        <v>131</v>
      </c>
      <c r="C30" s="50">
        <v>38</v>
      </c>
      <c r="D30" s="52">
        <v>4.9852348852538503E-4</v>
      </c>
      <c r="E30" s="52">
        <v>1.8242266913447401E-2</v>
      </c>
      <c r="F30" s="52">
        <v>4.9852348852538601E-4</v>
      </c>
      <c r="G30" s="52">
        <v>1.8242266913447401E-2</v>
      </c>
      <c r="H30" s="53">
        <v>8</v>
      </c>
      <c r="I30" s="54" t="s">
        <v>132</v>
      </c>
      <c r="J30" s="54" t="str">
        <f>VLOOKUP(B30,[1]Colo205!B:I,8,FALSE)</f>
        <v>TAJ(TNFRSF19), Cyclin D1, WNT3A, DKK3, Fibronectin, c-Myc, WNT, Frizzled</v>
      </c>
      <c r="K30" s="55" t="e">
        <f>VLOOKUP(B30,[1]Baseline!B30:I80,8,FALSE)</f>
        <v>#N/A</v>
      </c>
    </row>
    <row r="31" spans="1:11" ht="30" customHeight="1">
      <c r="A31" s="50">
        <v>28</v>
      </c>
      <c r="B31" s="51" t="s">
        <v>133</v>
      </c>
      <c r="C31" s="50">
        <v>48</v>
      </c>
      <c r="D31" s="52">
        <v>5.5656545363797795E-4</v>
      </c>
      <c r="E31" s="52">
        <v>1.8945428802239098E-2</v>
      </c>
      <c r="F31" s="52">
        <v>5.5656545363797795E-4</v>
      </c>
      <c r="G31" s="52">
        <v>1.8945428802239098E-2</v>
      </c>
      <c r="H31" s="53">
        <v>9</v>
      </c>
      <c r="I31" s="54" t="s">
        <v>134</v>
      </c>
      <c r="J31" s="54" t="e">
        <f>VLOOKUP(B31,[1]Colo205!B:I,8,FALSE)</f>
        <v>#N/A</v>
      </c>
      <c r="K31" s="55" t="e">
        <f>VLOOKUP(B31,[1]Baseline!B31:I81,8,FALSE)</f>
        <v>#N/A</v>
      </c>
    </row>
    <row r="32" spans="1:11" ht="30" customHeight="1">
      <c r="A32" s="50">
        <v>29</v>
      </c>
      <c r="B32" s="51" t="s">
        <v>135</v>
      </c>
      <c r="C32" s="50">
        <v>30</v>
      </c>
      <c r="D32" s="52">
        <v>5.7957396367491699E-4</v>
      </c>
      <c r="E32" s="52">
        <v>1.8945428802239098E-2</v>
      </c>
      <c r="F32" s="52">
        <v>5.7957396367491797E-4</v>
      </c>
      <c r="G32" s="52">
        <v>1.8945428802239098E-2</v>
      </c>
      <c r="H32" s="53">
        <v>7</v>
      </c>
      <c r="I32" s="54" t="s">
        <v>136</v>
      </c>
      <c r="J32" s="54" t="e">
        <f>VLOOKUP(B32,[1]Colo205!B:I,8,FALSE)</f>
        <v>#N/A</v>
      </c>
      <c r="K32" s="55" t="e">
        <f>VLOOKUP(B32,[1]Baseline!B32:I82,8,FALSE)</f>
        <v>#N/A</v>
      </c>
    </row>
    <row r="33" spans="1:11" ht="30" customHeight="1">
      <c r="A33" s="50">
        <v>30</v>
      </c>
      <c r="B33" s="51" t="s">
        <v>137</v>
      </c>
      <c r="C33" s="50">
        <v>22</v>
      </c>
      <c r="D33" s="52">
        <v>5.8873296577779195E-4</v>
      </c>
      <c r="E33" s="52">
        <v>1.8945428802239098E-2</v>
      </c>
      <c r="F33" s="52">
        <v>5.8873296577779195E-4</v>
      </c>
      <c r="G33" s="52">
        <v>1.8945428802239098E-2</v>
      </c>
      <c r="H33" s="53">
        <v>6</v>
      </c>
      <c r="I33" s="54" t="s">
        <v>138</v>
      </c>
      <c r="J33" s="54" t="e">
        <f>VLOOKUP(B33,[1]Colo205!B:I,8,FALSE)</f>
        <v>#N/A</v>
      </c>
      <c r="K33" s="55" t="str">
        <f>VLOOKUP(B33,[1]Baseline!B33:I83,8,FALSE)</f>
        <v>IL-8, PAR2, Coagulation factor X, Tissue factor, Coagulation factor V, PLAU (UPA), GRO-1, Thrombin, GM-CSF, NFKBIE, Cyr61, PLAUR (uPAR), PAR1, CTGF, PAI1</v>
      </c>
    </row>
    <row r="34" spans="1:11" ht="30" customHeight="1">
      <c r="A34" s="50">
        <v>31</v>
      </c>
      <c r="B34" s="51" t="s">
        <v>139</v>
      </c>
      <c r="C34" s="50">
        <v>15</v>
      </c>
      <c r="D34" s="52">
        <v>6.2308220086018998E-4</v>
      </c>
      <c r="E34" s="52">
        <v>1.8945428802239098E-2</v>
      </c>
      <c r="F34" s="52">
        <v>6.2308220086018998E-4</v>
      </c>
      <c r="G34" s="52">
        <v>1.8945428802239098E-2</v>
      </c>
      <c r="H34" s="53">
        <v>5</v>
      </c>
      <c r="I34" s="54" t="s">
        <v>140</v>
      </c>
      <c r="J34" s="54" t="e">
        <f>VLOOKUP(B34,[1]Colo205!B:I,8,FALSE)</f>
        <v>#N/A</v>
      </c>
      <c r="K34" s="55" t="e">
        <f>VLOOKUP(B34,[1]Baseline!B34:I84,8,FALSE)</f>
        <v>#N/A</v>
      </c>
    </row>
    <row r="35" spans="1:11" ht="30" customHeight="1">
      <c r="A35" s="50">
        <v>32</v>
      </c>
      <c r="B35" s="51" t="s">
        <v>141</v>
      </c>
      <c r="C35" s="50">
        <v>9</v>
      </c>
      <c r="D35" s="52">
        <v>6.5150903814774905E-4</v>
      </c>
      <c r="E35" s="52">
        <v>1.8945428802239098E-2</v>
      </c>
      <c r="F35" s="52">
        <v>6.5150903814774905E-4</v>
      </c>
      <c r="G35" s="52">
        <v>1.8945428802239098E-2</v>
      </c>
      <c r="H35" s="53">
        <v>4</v>
      </c>
      <c r="I35" s="54" t="s">
        <v>142</v>
      </c>
      <c r="J35" s="54" t="e">
        <f>VLOOKUP(B35,[1]Colo205!B:I,8,FALSE)</f>
        <v>#N/A</v>
      </c>
      <c r="K35" s="55" t="e">
        <f>VLOOKUP(B35,[1]Baseline!B35:I85,8,FALSE)</f>
        <v>#N/A</v>
      </c>
    </row>
    <row r="36" spans="1:11" ht="30" customHeight="1">
      <c r="A36" s="50">
        <v>33</v>
      </c>
      <c r="B36" s="51" t="s">
        <v>143</v>
      </c>
      <c r="C36" s="50">
        <v>49</v>
      </c>
      <c r="D36" s="52">
        <v>6.5196819764790396E-4</v>
      </c>
      <c r="E36" s="52">
        <v>1.8945428802239098E-2</v>
      </c>
      <c r="F36" s="52">
        <v>6.5196819764790396E-4</v>
      </c>
      <c r="G36" s="52">
        <v>1.8945428802239098E-2</v>
      </c>
      <c r="H36" s="53">
        <v>9</v>
      </c>
      <c r="I36" s="54" t="s">
        <v>144</v>
      </c>
      <c r="J36" s="54" t="str">
        <f>VLOOKUP(B36,[1]Colo205!B:I,8,FALSE)</f>
        <v>Cyclin D1, HAS1, p21, CD44, WNT3A, IL8RA, HES1, c-Myc, Frizzled, MDR1</v>
      </c>
      <c r="K36" s="55" t="e">
        <f>VLOOKUP(B36,[1]Baseline!B36:I86,8,FALSE)</f>
        <v>#N/A</v>
      </c>
    </row>
    <row r="37" spans="1:11" ht="30" customHeight="1">
      <c r="A37" s="50">
        <v>34</v>
      </c>
      <c r="B37" s="51" t="s">
        <v>145</v>
      </c>
      <c r="C37" s="50">
        <v>49</v>
      </c>
      <c r="D37" s="52">
        <v>6.5196819764790396E-4</v>
      </c>
      <c r="E37" s="52">
        <v>1.8945428802239098E-2</v>
      </c>
      <c r="F37" s="52">
        <v>6.5196819764790396E-4</v>
      </c>
      <c r="G37" s="52">
        <v>1.8945428802239098E-2</v>
      </c>
      <c r="H37" s="53">
        <v>9</v>
      </c>
      <c r="I37" s="54" t="s">
        <v>146</v>
      </c>
      <c r="J37" s="54" t="e">
        <f>VLOOKUP(B37,[1]Colo205!B:I,8,FALSE)</f>
        <v>#N/A</v>
      </c>
      <c r="K37" s="55" t="e">
        <f>VLOOKUP(B37,[1]Baseline!B37:I87,8,FALSE)</f>
        <v>#N/A</v>
      </c>
    </row>
    <row r="38" spans="1:11" ht="30" customHeight="1">
      <c r="A38" s="50">
        <v>35</v>
      </c>
      <c r="B38" s="51" t="s">
        <v>147</v>
      </c>
      <c r="C38" s="50">
        <v>41</v>
      </c>
      <c r="D38" s="52">
        <v>8.5289649394694597E-4</v>
      </c>
      <c r="E38" s="52">
        <v>2.2244527371321401E-2</v>
      </c>
      <c r="F38" s="52">
        <v>8.5289649394694597E-4</v>
      </c>
      <c r="G38" s="52">
        <v>2.2244527371321401E-2</v>
      </c>
      <c r="H38" s="53">
        <v>8</v>
      </c>
      <c r="I38" s="54" t="s">
        <v>148</v>
      </c>
      <c r="J38" s="54" t="e">
        <f>VLOOKUP(B38,[1]Colo205!B:I,8,FALSE)</f>
        <v>#N/A</v>
      </c>
      <c r="K38" s="55" t="e">
        <f>VLOOKUP(B38,[1]Baseline!B38:I88,8,FALSE)</f>
        <v>#N/A</v>
      </c>
    </row>
    <row r="39" spans="1:11" ht="30" customHeight="1">
      <c r="A39" s="50">
        <v>36</v>
      </c>
      <c r="B39" s="51" t="s">
        <v>149</v>
      </c>
      <c r="C39" s="50">
        <v>41</v>
      </c>
      <c r="D39" s="52">
        <v>8.5289649394694597E-4</v>
      </c>
      <c r="E39" s="52">
        <v>2.2244527371321401E-2</v>
      </c>
      <c r="F39" s="52">
        <v>8.5289649394694597E-4</v>
      </c>
      <c r="G39" s="52">
        <v>2.2244527371321401E-2</v>
      </c>
      <c r="H39" s="53">
        <v>8</v>
      </c>
      <c r="I39" s="54" t="s">
        <v>150</v>
      </c>
      <c r="J39" s="54" t="e">
        <f>VLOOKUP(B39,[1]Colo205!B:I,8,FALSE)</f>
        <v>#N/A</v>
      </c>
      <c r="K39" s="55" t="e">
        <f>VLOOKUP(B39,[1]Baseline!B39:I89,8,FALSE)</f>
        <v>#N/A</v>
      </c>
    </row>
    <row r="40" spans="1:11" ht="30" customHeight="1">
      <c r="A40" s="50">
        <v>37</v>
      </c>
      <c r="B40" s="51" t="s">
        <v>151</v>
      </c>
      <c r="C40" s="50">
        <v>16</v>
      </c>
      <c r="D40" s="52">
        <v>8.6910602527598597E-4</v>
      </c>
      <c r="E40" s="52">
        <v>2.2244527371321401E-2</v>
      </c>
      <c r="F40" s="52">
        <v>8.6910602527598597E-4</v>
      </c>
      <c r="G40" s="52">
        <v>2.2244527371321401E-2</v>
      </c>
      <c r="H40" s="53">
        <v>5</v>
      </c>
      <c r="I40" s="54" t="s">
        <v>152</v>
      </c>
      <c r="J40" s="54" t="e">
        <f>VLOOKUP(B40,[1]Colo205!B:I,8,FALSE)</f>
        <v>#N/A</v>
      </c>
      <c r="K40" s="55" t="e">
        <f>VLOOKUP(B40,[1]Baseline!B40:I90,8,FALSE)</f>
        <v>#N/A</v>
      </c>
    </row>
    <row r="41" spans="1:11" ht="30" customHeight="1">
      <c r="A41" s="50">
        <v>38</v>
      </c>
      <c r="B41" s="51" t="s">
        <v>153</v>
      </c>
      <c r="C41" s="50">
        <v>32</v>
      </c>
      <c r="D41" s="52">
        <v>8.7807344886795099E-4</v>
      </c>
      <c r="E41" s="52">
        <v>2.2244527371321401E-2</v>
      </c>
      <c r="F41" s="52">
        <v>8.7807344886795197E-4</v>
      </c>
      <c r="G41" s="52">
        <v>2.2244527371321401E-2</v>
      </c>
      <c r="H41" s="53">
        <v>7</v>
      </c>
      <c r="I41" s="54" t="s">
        <v>154</v>
      </c>
      <c r="J41" s="54" t="e">
        <f>VLOOKUP(B41,[1]Colo205!B:I,8,FALSE)</f>
        <v>#N/A</v>
      </c>
      <c r="K41" s="55" t="str">
        <f>VLOOKUP(B41,[1]Baseline!B41:I91,8,FALSE)</f>
        <v>Tubulin beta, PI3K cat class IA, Histone H3, IRS-1, MAD2a, NEK6, RCC1, Nek11, Aurora-A, CDK1 (p34), MAD1 (mitotic checkpoint), Tubulin alpha, PI3K reg class IA, Insulin receptor, NEK1, TPX2, Histone H1, Tubulin (in microtubules)</v>
      </c>
    </row>
    <row r="42" spans="1:11" ht="30" customHeight="1">
      <c r="A42" s="50">
        <v>39</v>
      </c>
      <c r="B42" s="51" t="s">
        <v>155</v>
      </c>
      <c r="C42" s="50">
        <v>32</v>
      </c>
      <c r="D42" s="52">
        <v>8.7807344886795099E-4</v>
      </c>
      <c r="E42" s="52">
        <v>2.2244527371321401E-2</v>
      </c>
      <c r="F42" s="52">
        <v>8.7807344886795197E-4</v>
      </c>
      <c r="G42" s="52">
        <v>2.2244527371321401E-2</v>
      </c>
      <c r="H42" s="53">
        <v>7</v>
      </c>
      <c r="I42" s="54" t="s">
        <v>156</v>
      </c>
      <c r="J42" s="54" t="e">
        <f>VLOOKUP(B42,[1]Colo205!B:I,8,FALSE)</f>
        <v>#N/A</v>
      </c>
      <c r="K42" s="55" t="e">
        <f>VLOOKUP(B42,[1]Baseline!B42:I92,8,FALSE)</f>
        <v>#N/A</v>
      </c>
    </row>
    <row r="43" spans="1:11" ht="30" customHeight="1">
      <c r="A43" s="50">
        <v>40</v>
      </c>
      <c r="B43" s="51" t="s">
        <v>157</v>
      </c>
      <c r="C43" s="50">
        <v>52</v>
      </c>
      <c r="D43" s="52">
        <v>1.0210727172065099E-3</v>
      </c>
      <c r="E43" s="52">
        <v>2.5220496115000698E-2</v>
      </c>
      <c r="F43" s="52">
        <v>1.0210727172065099E-3</v>
      </c>
      <c r="G43" s="52">
        <v>2.5220496115000698E-2</v>
      </c>
      <c r="H43" s="53">
        <v>9</v>
      </c>
      <c r="I43" s="54" t="s">
        <v>158</v>
      </c>
      <c r="J43" s="54" t="str">
        <f>VLOOKUP(B43,[1]Colo205!B:I,8,FALSE)</f>
        <v>HB-EGF, Collagen II, CD44, TIMP2, IL8RA, Fibronectin, Nidogen, PLAU (UPA), Collagen I, Versican</v>
      </c>
      <c r="K43" s="55" t="str">
        <f>VLOOKUP(B43,[1]Baseline!B43:I93,8,FALSE)</f>
        <v>Laminin 5, CD44, SERPINE2, MMP-1, IL-8, EGFR, Laminin 1, Versican, IBP4, IL8RA, Nidogen, PLAU (UPA), Kallikrein 3 (PSA), Vitronectin, PLAT (TPA), MSN (moesin), MMP-15, MMP-14, PLAUR (uPAR), Collagen II, Collagen IV, TIMP2, IGF-1, Kallikrein 1, PAI1</v>
      </c>
    </row>
    <row r="44" spans="1:11" ht="30" customHeight="1">
      <c r="A44" s="50">
        <v>41</v>
      </c>
      <c r="B44" s="51" t="s">
        <v>159</v>
      </c>
      <c r="C44" s="50">
        <v>33</v>
      </c>
      <c r="D44" s="52">
        <v>1.06690455982303E-3</v>
      </c>
      <c r="E44" s="52">
        <v>2.57097976854915E-2</v>
      </c>
      <c r="F44" s="52">
        <v>1.06690455982303E-3</v>
      </c>
      <c r="G44" s="52">
        <v>2.57097976854915E-2</v>
      </c>
      <c r="H44" s="53">
        <v>7</v>
      </c>
      <c r="I44" s="54" t="s">
        <v>160</v>
      </c>
      <c r="J44" s="54" t="e">
        <f>VLOOKUP(B44,[1]Colo205!B:I,8,FALSE)</f>
        <v>#N/A</v>
      </c>
      <c r="K44" s="55" t="e">
        <f>VLOOKUP(B44,[1]Baseline!B44:I94,8,FALSE)</f>
        <v>#N/A</v>
      </c>
    </row>
    <row r="45" spans="1:11" ht="30" customHeight="1">
      <c r="A45" s="50">
        <v>42</v>
      </c>
      <c r="B45" s="51" t="s">
        <v>161</v>
      </c>
      <c r="C45" s="50">
        <v>35</v>
      </c>
      <c r="D45" s="52">
        <v>1.53924028077239E-3</v>
      </c>
      <c r="E45" s="52">
        <v>3.62087951762649E-2</v>
      </c>
      <c r="F45" s="52">
        <v>1.53924028077239E-3</v>
      </c>
      <c r="G45" s="52">
        <v>3.62087951762649E-2</v>
      </c>
      <c r="H45" s="53">
        <v>7</v>
      </c>
      <c r="I45" s="54" t="s">
        <v>162</v>
      </c>
      <c r="J45" s="54" t="e">
        <f>VLOOKUP(B45,[1]Colo205!B:I,8,FALSE)</f>
        <v>#N/A</v>
      </c>
      <c r="K45" s="55" t="e">
        <f>VLOOKUP(B45,[1]Baseline!B45:I95,8,FALSE)</f>
        <v>#N/A</v>
      </c>
    </row>
    <row r="46" spans="1:11" ht="30" customHeight="1">
      <c r="A46" s="50">
        <v>43</v>
      </c>
      <c r="B46" s="51" t="s">
        <v>163</v>
      </c>
      <c r="C46" s="50">
        <v>45</v>
      </c>
      <c r="D46" s="52">
        <v>1.6125577722056099E-3</v>
      </c>
      <c r="E46" s="52">
        <v>3.7051327417189299E-2</v>
      </c>
      <c r="F46" s="52">
        <v>1.6125577722056099E-3</v>
      </c>
      <c r="G46" s="52">
        <v>3.7051327417189299E-2</v>
      </c>
      <c r="H46" s="53">
        <v>8</v>
      </c>
      <c r="I46" s="54" t="s">
        <v>164</v>
      </c>
      <c r="J46" s="54" t="e">
        <f>VLOOKUP(B46,[1]Colo205!B:I,8,FALSE)</f>
        <v>#N/A</v>
      </c>
      <c r="K46" s="55" t="e">
        <f>VLOOKUP(B46,[1]Baseline!B46:I96,8,FALSE)</f>
        <v>#N/A</v>
      </c>
    </row>
    <row r="47" spans="1:11" ht="30" customHeight="1">
      <c r="A47" s="50">
        <v>44</v>
      </c>
      <c r="B47" s="51" t="s">
        <v>165</v>
      </c>
      <c r="C47" s="50">
        <v>56</v>
      </c>
      <c r="D47" s="52">
        <v>1.75913204923254E-3</v>
      </c>
      <c r="E47" s="52">
        <v>3.7655503830772798E-2</v>
      </c>
      <c r="F47" s="52">
        <v>1.75913204923254E-3</v>
      </c>
      <c r="G47" s="52">
        <v>3.7655503830772798E-2</v>
      </c>
      <c r="H47" s="53">
        <v>9</v>
      </c>
      <c r="I47" s="54" t="s">
        <v>166</v>
      </c>
      <c r="J47" s="54" t="str">
        <f>VLOOKUP(B47,[1]Colo205!B:I,8,FALSE)</f>
        <v>L-type Ca(II) channel, alpha 1C subunit, GEFT, PKA-reg (cAMP-dependent), Telokin, PLC-beta, MyHC, Adenylate cyclase, PKA-cat (cAMP-dependent), MLCK, MRLC, IP3 receptor</v>
      </c>
      <c r="K47" s="55" t="e">
        <f>VLOOKUP(B47,[1]Baseline!B47:I97,8,FALSE)</f>
        <v>#N/A</v>
      </c>
    </row>
    <row r="48" spans="1:11" ht="30" customHeight="1">
      <c r="A48" s="50">
        <v>45</v>
      </c>
      <c r="B48" s="51" t="s">
        <v>167</v>
      </c>
      <c r="C48" s="50">
        <v>56</v>
      </c>
      <c r="D48" s="52">
        <v>1.75913204923254E-3</v>
      </c>
      <c r="E48" s="52">
        <v>3.7655503830772798E-2</v>
      </c>
      <c r="F48" s="52">
        <v>1.75913204923254E-3</v>
      </c>
      <c r="G48" s="52">
        <v>3.7655503830772798E-2</v>
      </c>
      <c r="H48" s="53">
        <v>9</v>
      </c>
      <c r="I48" s="54" t="s">
        <v>168</v>
      </c>
      <c r="J48" s="54" t="e">
        <f>VLOOKUP(B48,[1]Colo205!B:I,8,FALSE)</f>
        <v>#N/A</v>
      </c>
      <c r="K48" s="55" t="e">
        <f>VLOOKUP(B48,[1]Baseline!B48:I98,8,FALSE)</f>
        <v>#N/A</v>
      </c>
    </row>
    <row r="49" spans="1:11" ht="30" customHeight="1">
      <c r="A49" s="50">
        <v>46</v>
      </c>
      <c r="B49" s="51" t="s">
        <v>169</v>
      </c>
      <c r="C49" s="50">
        <v>67</v>
      </c>
      <c r="D49" s="52">
        <v>1.77622265011621E-3</v>
      </c>
      <c r="E49" s="52">
        <v>3.7655503830772798E-2</v>
      </c>
      <c r="F49" s="52">
        <v>1.77622265011621E-3</v>
      </c>
      <c r="G49" s="52">
        <v>3.7655503830772798E-2</v>
      </c>
      <c r="H49" s="53">
        <v>10</v>
      </c>
      <c r="I49" s="54" t="s">
        <v>170</v>
      </c>
      <c r="J49" s="54" t="str">
        <f>VLOOKUP(B49,[1]Colo205!B:I,8,FALSE)</f>
        <v>IL-1 beta, C/EBP, TNF-R2, c-Jun/c-Fos, CCL20, AP-1, TGF-alpha, GRO-1, c-Fos, ICAM1, IL8RA, PLAU (UPA), c-Jun</v>
      </c>
      <c r="K49" s="55" t="e">
        <f>VLOOKUP(B49,[1]Baseline!B49:I99,8,FALSE)</f>
        <v>#N/A</v>
      </c>
    </row>
    <row r="50" spans="1:11" ht="30" customHeight="1">
      <c r="A50" s="50">
        <v>47</v>
      </c>
      <c r="B50" s="51" t="s">
        <v>171</v>
      </c>
      <c r="C50" s="50">
        <v>36</v>
      </c>
      <c r="D50" s="52">
        <v>1.8294171901589999E-3</v>
      </c>
      <c r="E50" s="52">
        <v>3.7655503830772798E-2</v>
      </c>
      <c r="F50" s="52">
        <v>1.8294171901589999E-3</v>
      </c>
      <c r="G50" s="52">
        <v>3.7655503830772798E-2</v>
      </c>
      <c r="H50" s="53">
        <v>7</v>
      </c>
      <c r="I50" s="54" t="s">
        <v>172</v>
      </c>
      <c r="J50" s="54" t="e">
        <f>VLOOKUP(B50,[1]Colo205!B:I,8,FALSE)</f>
        <v>#N/A</v>
      </c>
      <c r="K50" s="55" t="e">
        <f>VLOOKUP(B50,[1]Baseline!B50:I100,8,FALSE)</f>
        <v>#N/A</v>
      </c>
    </row>
    <row r="51" spans="1:11" ht="30" customHeight="1">
      <c r="A51" s="50">
        <v>48</v>
      </c>
      <c r="B51" s="51" t="s">
        <v>173</v>
      </c>
      <c r="C51" s="50">
        <v>36</v>
      </c>
      <c r="D51" s="52">
        <v>1.8294171901589999E-3</v>
      </c>
      <c r="E51" s="52">
        <v>3.7655503830772798E-2</v>
      </c>
      <c r="F51" s="52">
        <v>1.8294171901589999E-3</v>
      </c>
      <c r="G51" s="52">
        <v>3.7655503830772798E-2</v>
      </c>
      <c r="H51" s="53">
        <v>7</v>
      </c>
      <c r="I51" s="54" t="s">
        <v>174</v>
      </c>
      <c r="J51" s="54" t="e">
        <f>VLOOKUP(B51,[1]Colo205!B:I,8,FALSE)</f>
        <v>#N/A</v>
      </c>
      <c r="K51" s="55" t="e">
        <f>VLOOKUP(B51,[1]Baseline!B51:I101,8,FALSE)</f>
        <v>#N/A</v>
      </c>
    </row>
    <row r="52" spans="1:11" ht="30" customHeight="1">
      <c r="A52" s="50">
        <v>49</v>
      </c>
      <c r="B52" s="51" t="s">
        <v>175</v>
      </c>
      <c r="C52" s="50">
        <v>47</v>
      </c>
      <c r="D52" s="52">
        <v>2.1540067486879098E-3</v>
      </c>
      <c r="E52" s="52">
        <v>4.3431809544972597E-2</v>
      </c>
      <c r="F52" s="52">
        <v>2.1540067486879098E-3</v>
      </c>
      <c r="G52" s="52">
        <v>4.3431809544972597E-2</v>
      </c>
      <c r="H52" s="53">
        <v>8</v>
      </c>
      <c r="I52" s="54" t="s">
        <v>176</v>
      </c>
      <c r="J52" s="54" t="e">
        <f>VLOOKUP(B52,[1]Colo205!B:I,8,FALSE)</f>
        <v>#N/A</v>
      </c>
      <c r="K52" s="55" t="e">
        <f>VLOOKUP(B52,[1]Baseline!B52:I102,8,FALSE)</f>
        <v>#N/A</v>
      </c>
    </row>
    <row r="53" spans="1:11" ht="30" customHeight="1" thickBot="1">
      <c r="A53" s="50">
        <v>50</v>
      </c>
      <c r="B53" s="51" t="s">
        <v>177</v>
      </c>
      <c r="C53" s="50">
        <v>28</v>
      </c>
      <c r="D53" s="52">
        <v>2.29899763367984E-3</v>
      </c>
      <c r="E53" s="52">
        <v>4.5428193241513599E-2</v>
      </c>
      <c r="F53" s="52">
        <v>2.29899763367984E-3</v>
      </c>
      <c r="G53" s="52">
        <v>4.5428193241513599E-2</v>
      </c>
      <c r="H53" s="53">
        <v>6</v>
      </c>
      <c r="I53" s="54" t="s">
        <v>178</v>
      </c>
      <c r="J53" s="54" t="e">
        <f>VLOOKUP(B53,[1]Colo205!B:I,8,FALSE)</f>
        <v>#N/A</v>
      </c>
      <c r="K53" s="55" t="e">
        <f>VLOOKUP(B53,[1]Baseline!B53:I103,8,FALSE)</f>
        <v>#N/A</v>
      </c>
    </row>
    <row r="54" spans="1:11">
      <c r="A54" s="56" t="s">
        <v>70</v>
      </c>
      <c r="B54" s="56" t="s">
        <v>70</v>
      </c>
      <c r="C54" s="56" t="s">
        <v>70</v>
      </c>
      <c r="D54" s="56" t="s">
        <v>70</v>
      </c>
      <c r="E54" s="56" t="s">
        <v>70</v>
      </c>
      <c r="F54" s="56" t="s">
        <v>70</v>
      </c>
      <c r="G54" s="56" t="s">
        <v>70</v>
      </c>
      <c r="H54" s="56" t="s">
        <v>70</v>
      </c>
      <c r="I54" s="57" t="s">
        <v>70</v>
      </c>
      <c r="J54" s="54" t="str">
        <f>VLOOKUP(B54,[1]Colo205!B:I,8,FALSE)</f>
        <v/>
      </c>
      <c r="K54" s="55" t="str">
        <f>VLOOKUP(B54,[1]Baseline!B54:I104,8,FALSE)</f>
        <v/>
      </c>
    </row>
  </sheetData>
  <autoFilter ref="A3:I13"/>
  <hyperlinks>
    <hyperlink ref="B4" r:id="rId1" display="http://portal.genego.com/cgi/imagemap.cgi?id=3093"/>
    <hyperlink ref="B5" r:id="rId2" display="http://portal.genego.com/cgi/imagemap.cgi?id=2816"/>
    <hyperlink ref="B6" r:id="rId3" display="http://portal.genego.com/cgi/imagemap.cgi?id=3018"/>
    <hyperlink ref="B7" r:id="rId4" display="http://portal.genego.com/cgi/imagemap.cgi?id=1485"/>
    <hyperlink ref="B8" r:id="rId5" display="http://portal.genego.com/cgi/imagemap.cgi?id=3163"/>
    <hyperlink ref="B9" r:id="rId6" display="http://portal.genego.com/cgi/imagemap.cgi?id=6301"/>
    <hyperlink ref="B10" r:id="rId7" display="http://portal.genego.com/cgi/imagemap.cgi?id=5148"/>
    <hyperlink ref="B11" r:id="rId8" display="http://portal.genego.com/cgi/imagemap.cgi?id=2996"/>
    <hyperlink ref="B12" r:id="rId9" display="http://portal.genego.com/cgi/imagemap.cgi?id=6459"/>
    <hyperlink ref="B13" r:id="rId10" display="http://portal.genego.com/cgi/imagemap.cgi?id=3158"/>
    <hyperlink ref="B14" r:id="rId11" display="http://portal.genego.com/cgi/imagemap.cgi?id=2638"/>
    <hyperlink ref="B15" r:id="rId12" display="http://portal.genego.com/cgi/imagemap.cgi?id=4523"/>
    <hyperlink ref="B16" r:id="rId13" display="http://portal.genego.com/cgi/imagemap.cgi?id=6594"/>
    <hyperlink ref="B17" r:id="rId14" display="http://portal.genego.com/cgi/imagemap.cgi?id=6071"/>
    <hyperlink ref="B18" r:id="rId15" display="http://portal.genego.com/cgi/imagemap.cgi?id=3159"/>
    <hyperlink ref="B19" r:id="rId16" display="http://portal.genego.com/cgi/imagemap.cgi?id=3117"/>
    <hyperlink ref="B20" r:id="rId17" display="http://portal.genego.com/cgi/imagemap.cgi?id=6518"/>
    <hyperlink ref="B21" r:id="rId18" display="http://portal.genego.com/cgi/imagemap.cgi?id=4890"/>
    <hyperlink ref="B22" r:id="rId19" display="http://portal.genego.com/cgi/imagemap.cgi?id=2695"/>
    <hyperlink ref="B23" r:id="rId20" display="http://portal.genego.com/cgi/imagemap.cgi?id=3109"/>
    <hyperlink ref="B24" r:id="rId21" display="http://portal.genego.com/cgi/imagemap.cgi?id=3294"/>
    <hyperlink ref="B25" r:id="rId22" display="http://portal.genego.com/cgi/imagemap.cgi?id=4454"/>
    <hyperlink ref="B26" r:id="rId23" display="http://portal.genego.com/cgi/imagemap.cgi?id=516"/>
    <hyperlink ref="B27" r:id="rId24" display="http://portal.genego.com/cgi/imagemap.cgi?id=553"/>
    <hyperlink ref="B28" r:id="rId25" display="http://portal.genego.com/cgi/imagemap.cgi?id=6365"/>
    <hyperlink ref="B29" r:id="rId26" display="http://portal.genego.com/cgi/imagemap.cgi?id=6026"/>
    <hyperlink ref="B30" r:id="rId27" display="http://portal.genego.com/cgi/imagemap.cgi?id=6447"/>
    <hyperlink ref="B31" r:id="rId28" display="http://portal.genego.com/cgi/imagemap.cgi?id=3100"/>
    <hyperlink ref="B32" r:id="rId29" display="http://portal.genego.com/cgi/imagemap.cgi?id=6605"/>
    <hyperlink ref="B33" r:id="rId30" display="http://portal.genego.com/cgi/imagemap.cgi?id=5014"/>
    <hyperlink ref="B34" r:id="rId31" display="http://portal.genego.com/cgi/imagemap.cgi?id=3108"/>
    <hyperlink ref="B35" r:id="rId32" display="http://portal.genego.com/cgi/imagemap.cgi?id=3022"/>
    <hyperlink ref="B36" r:id="rId33" display="http://portal.genego.com/cgi/imagemap.cgi?id=5468"/>
    <hyperlink ref="B37" r:id="rId34" display="http://portal.genego.com/cgi/imagemap.cgi?id=2694"/>
    <hyperlink ref="B38" r:id="rId35" display="http://portal.genego.com/cgi/imagemap.cgi?id=3257"/>
    <hyperlink ref="B39" r:id="rId36" display="http://portal.genego.com/cgi/imagemap.cgi?id=6889"/>
    <hyperlink ref="B40" r:id="rId37" display="http://portal.genego.com/cgi/imagemap.cgi?id=6985"/>
    <hyperlink ref="B41" r:id="rId38" display="http://portal.genego.com/cgi/imagemap.cgi?id=731"/>
    <hyperlink ref="B42" r:id="rId39" display="http://portal.genego.com/cgi/imagemap.cgi?id=6404"/>
    <hyperlink ref="B43" r:id="rId40" display="http://portal.genego.com/cgi/imagemap.cgi?id=717"/>
    <hyperlink ref="B44" r:id="rId41" display="http://portal.genego.com/cgi/imagemap.cgi?id=6428"/>
    <hyperlink ref="B45" r:id="rId42" display="http://portal.genego.com/cgi/imagemap.cgi?id=6774"/>
    <hyperlink ref="B46" r:id="rId43" display="http://portal.genego.com/cgi/imagemap.cgi?id=3223"/>
    <hyperlink ref="B47" r:id="rId44" display="http://portal.genego.com/cgi/imagemap.cgi?id=3216"/>
    <hyperlink ref="B48" r:id="rId45" display="http://portal.genego.com/cgi/imagemap.cgi?id=7285"/>
    <hyperlink ref="B49" r:id="rId46" display="http://portal.genego.com/cgi/imagemap.cgi?id=4516"/>
    <hyperlink ref="B50" r:id="rId47" display="http://portal.genego.com/cgi/imagemap.cgi?id=1488"/>
    <hyperlink ref="B51" r:id="rId48" display="http://portal.genego.com/cgi/imagemap.cgi?id=1496"/>
    <hyperlink ref="B52" r:id="rId49" display="http://portal.genego.com/cgi/imagemap.cgi?id=6460"/>
    <hyperlink ref="B53" r:id="rId50" display="http://portal.genego.com/cgi/imagemap.cgi?id=3295"/>
  </hyperlinks>
  <printOptions gridLines="1" gridLinesSet="0"/>
  <pageMargins left="0.75" right="0.75" top="1" bottom="1" header="0.5" footer="0.5"/>
  <pageSetup paperSize="9" fitToWidth="0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zoomScale="125" zoomScaleNormal="125" zoomScalePageLayoutView="125" workbookViewId="0">
      <pane xSplit="10" ySplit="2" topLeftCell="K3" activePane="bottomRight" state="frozen"/>
      <selection pane="topRight"/>
      <selection pane="bottomLeft"/>
      <selection pane="bottomRight" activeCell="S28" sqref="S28"/>
    </sheetView>
  </sheetViews>
  <sheetFormatPr baseColWidth="10" defaultColWidth="8.83203125" defaultRowHeight="12" x14ac:dyDescent="0"/>
  <cols>
    <col min="1" max="1" width="14" customWidth="1"/>
    <col min="2" max="9" width="10" customWidth="1"/>
    <col min="10" max="10" width="17" customWidth="1"/>
    <col min="11" max="17" width="10" customWidth="1"/>
  </cols>
  <sheetData>
    <row r="1" spans="1:17" ht="30" customHeight="1">
      <c r="A1" s="75" t="s">
        <v>65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  <c r="O1" s="72" t="s">
        <v>66</v>
      </c>
      <c r="P1" s="73"/>
      <c r="Q1" s="74"/>
    </row>
    <row r="2" spans="1:17" ht="30" customHeight="1">
      <c r="A2" s="27" t="s">
        <v>31</v>
      </c>
      <c r="B2" s="27" t="s">
        <v>32</v>
      </c>
      <c r="C2" s="27" t="s">
        <v>33</v>
      </c>
      <c r="D2" s="27" t="s">
        <v>34</v>
      </c>
      <c r="E2" s="27" t="s">
        <v>35</v>
      </c>
      <c r="F2" s="27" t="s">
        <v>36</v>
      </c>
      <c r="G2" s="27" t="s">
        <v>37</v>
      </c>
      <c r="H2" s="27" t="s">
        <v>1</v>
      </c>
      <c r="I2" s="27" t="s">
        <v>38</v>
      </c>
      <c r="J2" s="27" t="s">
        <v>30</v>
      </c>
      <c r="K2" s="4" t="s">
        <v>63</v>
      </c>
      <c r="L2" s="5" t="s">
        <v>1</v>
      </c>
      <c r="M2" s="4" t="s">
        <v>64</v>
      </c>
      <c r="N2" s="5" t="s">
        <v>1</v>
      </c>
      <c r="O2" s="35" t="s">
        <v>62</v>
      </c>
      <c r="P2" s="35" t="s">
        <v>63</v>
      </c>
      <c r="Q2" s="35" t="s">
        <v>64</v>
      </c>
    </row>
    <row r="3" spans="1:17" ht="15" customHeight="1">
      <c r="A3" s="8" t="str">
        <f>HYPERLINK("http://portal.genego.com/cgi/entity_page.cgi?term=100&amp;id=884","c-Jun")</f>
        <v>c-Jun</v>
      </c>
      <c r="B3" s="9">
        <v>98</v>
      </c>
      <c r="C3" s="9">
        <v>1317</v>
      </c>
      <c r="D3" s="9">
        <v>795</v>
      </c>
      <c r="E3" s="9">
        <v>26819</v>
      </c>
      <c r="F3" s="9">
        <v>39.04</v>
      </c>
      <c r="G3" s="9">
        <v>2.5099999999999998</v>
      </c>
      <c r="H3" s="9">
        <v>4.0789999999999999E-17</v>
      </c>
      <c r="I3" s="9">
        <v>9.8230000000000004</v>
      </c>
      <c r="J3" s="10" t="s">
        <v>51</v>
      </c>
      <c r="K3" s="18">
        <v>-1.1280958999999999</v>
      </c>
      <c r="L3" s="12">
        <v>5.1060919999999997E-8</v>
      </c>
      <c r="M3" s="19">
        <v>-1.0279853000000001</v>
      </c>
      <c r="N3" s="12">
        <v>5.1060919999999997E-8</v>
      </c>
      <c r="O3" s="36">
        <f>VLOOKUP($A3,'SW620_Transcription factor'!$A$3:$N$227,7,FALSE)</f>
        <v>2.2330000000000001</v>
      </c>
      <c r="P3" s="37">
        <f>VLOOKUP($A3,'SW620_Transcription factor'!$A$3:$N$227,11,FALSE)</f>
        <v>0</v>
      </c>
      <c r="Q3" s="37">
        <f>VLOOKUP($A3,'SW620_Transcription factor'!$A$3:$N$227,13,FALSE)</f>
        <v>0</v>
      </c>
    </row>
    <row r="4" spans="1:17" ht="15" customHeight="1">
      <c r="A4" s="8" t="str">
        <f>HYPERLINK("http://portal.genego.com/cgi/entity_page.cgi?term=100&amp;id=4259","GCR-alpha")</f>
        <v>GCR-alpha</v>
      </c>
      <c r="B4" s="9">
        <v>122</v>
      </c>
      <c r="C4" s="9">
        <v>1317</v>
      </c>
      <c r="D4" s="9">
        <v>1150</v>
      </c>
      <c r="E4" s="9">
        <v>26819</v>
      </c>
      <c r="F4" s="9">
        <v>56.47</v>
      </c>
      <c r="G4" s="9">
        <v>2.16</v>
      </c>
      <c r="H4" s="9">
        <v>6.5100000000000003E-16</v>
      </c>
      <c r="I4" s="9">
        <v>9.14</v>
      </c>
      <c r="J4" s="10"/>
      <c r="K4" s="14"/>
      <c r="L4" s="12"/>
      <c r="M4" s="14"/>
      <c r="N4" s="12"/>
      <c r="O4" s="36">
        <f>VLOOKUP($A4,'SW620_Transcription factor'!$A$3:$N$227,7,FALSE)</f>
        <v>2.3980000000000001</v>
      </c>
      <c r="P4" s="37">
        <f>VLOOKUP($A4,'SW620_Transcription factor'!$A$3:$N$227,11,FALSE)</f>
        <v>1.5541239</v>
      </c>
      <c r="Q4" s="37">
        <f>VLOOKUP($A4,'SW620_Transcription factor'!$A$3:$N$227,13,FALSE)</f>
        <v>0.52938795000000005</v>
      </c>
    </row>
    <row r="5" spans="1:17" ht="15" customHeight="1">
      <c r="A5" s="8" t="str">
        <f>HYPERLINK("http://portal.genego.com/cgi/entity_page.cgi?term=100&amp;id=2498","SP1")</f>
        <v>SP1</v>
      </c>
      <c r="B5" s="9">
        <v>146</v>
      </c>
      <c r="C5" s="9">
        <v>1317</v>
      </c>
      <c r="D5" s="9">
        <v>1593</v>
      </c>
      <c r="E5" s="9">
        <v>26819</v>
      </c>
      <c r="F5" s="9">
        <v>78.23</v>
      </c>
      <c r="G5" s="9">
        <v>1.8660000000000001</v>
      </c>
      <c r="H5" s="9">
        <v>1.522E-13</v>
      </c>
      <c r="I5" s="9">
        <v>8.1020000000000003</v>
      </c>
      <c r="J5" s="10"/>
      <c r="K5" s="14"/>
      <c r="L5" s="12"/>
      <c r="M5" s="14"/>
      <c r="N5" s="12"/>
      <c r="O5" s="36">
        <f>VLOOKUP($A5,'SW620_Transcription factor'!$A$3:$N$227,7,FALSE)</f>
        <v>2.0870000000000002</v>
      </c>
      <c r="P5" s="37">
        <f>VLOOKUP($A5,'SW620_Transcription factor'!$A$3:$N$227,11,FALSE)</f>
        <v>0</v>
      </c>
      <c r="Q5" s="37">
        <f>VLOOKUP($A5,'SW620_Transcription factor'!$A$3:$N$227,13,FALSE)</f>
        <v>0</v>
      </c>
    </row>
    <row r="6" spans="1:17" ht="15" customHeight="1">
      <c r="A6" s="8" t="str">
        <f>HYPERLINK("http://portal.genego.com/cgi/entity_page.cgi?term=100&amp;id=4311","C/EBPbeta")</f>
        <v>C/EBPbeta</v>
      </c>
      <c r="B6" s="9">
        <v>72</v>
      </c>
      <c r="C6" s="9">
        <v>1317</v>
      </c>
      <c r="D6" s="9">
        <v>609</v>
      </c>
      <c r="E6" s="9">
        <v>26819</v>
      </c>
      <c r="F6" s="9">
        <v>29.91</v>
      </c>
      <c r="G6" s="9">
        <v>2.4079999999999999</v>
      </c>
      <c r="H6" s="9">
        <v>5.2030000000000003E-12</v>
      </c>
      <c r="I6" s="9">
        <v>7.9850000000000003</v>
      </c>
      <c r="J6" s="10"/>
      <c r="K6" s="14"/>
      <c r="L6" s="12"/>
      <c r="M6" s="14"/>
      <c r="N6" s="12"/>
      <c r="O6" s="36">
        <f>VLOOKUP($A6,'SW620_Transcription factor'!$A$3:$N$227,7,FALSE)</f>
        <v>2.2949999999999999</v>
      </c>
      <c r="P6" s="37">
        <f>VLOOKUP($A6,'SW620_Transcription factor'!$A$3:$N$227,11,FALSE)</f>
        <v>0</v>
      </c>
      <c r="Q6" s="37">
        <f>VLOOKUP($A6,'SW620_Transcription factor'!$A$3:$N$227,13,FALSE)</f>
        <v>0</v>
      </c>
    </row>
    <row r="7" spans="1:17" ht="15" customHeight="1">
      <c r="A7" s="8" t="str">
        <f>HYPERLINK("http://portal.genego.com/cgi/entity_page.cgi?term=100&amp;id=2636","C/EBPalpha")</f>
        <v>C/EBPalpha</v>
      </c>
      <c r="B7" s="9">
        <v>51</v>
      </c>
      <c r="C7" s="9">
        <v>1317</v>
      </c>
      <c r="D7" s="9">
        <v>374</v>
      </c>
      <c r="E7" s="9">
        <v>26819</v>
      </c>
      <c r="F7" s="9">
        <v>18.37</v>
      </c>
      <c r="G7" s="9">
        <v>2.7770000000000001</v>
      </c>
      <c r="H7" s="9">
        <v>4.3520000000000002E-11</v>
      </c>
      <c r="I7" s="9">
        <v>7.8639999999999999</v>
      </c>
      <c r="J7" s="10" t="s">
        <v>52</v>
      </c>
      <c r="K7" s="38">
        <v>1.8372815</v>
      </c>
      <c r="L7" s="12">
        <v>4.4743079999999998E-9</v>
      </c>
      <c r="M7" s="38">
        <v>1.9224763</v>
      </c>
      <c r="N7" s="12">
        <v>4.4743079999999998E-9</v>
      </c>
      <c r="O7" s="36">
        <f>VLOOKUP($A7,'SW620_Transcription factor'!$A$3:$N$227,7,FALSE)</f>
        <v>2.7770000000000001</v>
      </c>
      <c r="P7" s="37">
        <f>VLOOKUP($A7,'SW620_Transcription factor'!$A$3:$N$227,11,FALSE)</f>
        <v>0</v>
      </c>
      <c r="Q7" s="37">
        <f>VLOOKUP($A7,'SW620_Transcription factor'!$A$3:$N$227,13,FALSE)</f>
        <v>0</v>
      </c>
    </row>
    <row r="8" spans="1:17" ht="15" customHeight="1">
      <c r="A8" s="8" t="str">
        <f>HYPERLINK("http://portal.genego.com/cgi/entity_page.cgi?term=100&amp;id=-1824174417","LHX2")</f>
        <v>LHX2</v>
      </c>
      <c r="B8" s="9">
        <v>51</v>
      </c>
      <c r="C8" s="9">
        <v>1317</v>
      </c>
      <c r="D8" s="9">
        <v>377</v>
      </c>
      <c r="E8" s="9">
        <v>26819</v>
      </c>
      <c r="F8" s="9">
        <v>18.510000000000002</v>
      </c>
      <c r="G8" s="9">
        <v>2.7549999999999999</v>
      </c>
      <c r="H8" s="9">
        <v>5.8420000000000004E-11</v>
      </c>
      <c r="I8" s="9">
        <v>7.798</v>
      </c>
      <c r="J8" s="10"/>
      <c r="K8" s="14"/>
      <c r="L8" s="12"/>
      <c r="M8" s="14"/>
      <c r="N8" s="12"/>
      <c r="O8" s="36">
        <f>VLOOKUP($A8,'SW620_Transcription factor'!$A$3:$N$227,7,FALSE)</f>
        <v>2.1040000000000001</v>
      </c>
      <c r="P8" s="37">
        <f>VLOOKUP($A8,'SW620_Transcription factor'!$A$3:$N$227,11,FALSE)</f>
        <v>-1.4887885999999999</v>
      </c>
      <c r="Q8" s="37">
        <f>VLOOKUP($A8,'SW620_Transcription factor'!$A$3:$N$227,13,FALSE)</f>
        <v>-0.32522773999999999</v>
      </c>
    </row>
    <row r="9" spans="1:17" ht="15" customHeight="1">
      <c r="A9" s="8" t="str">
        <f>HYPERLINK("http://portal.genego.com/cgi/entity_page.cgi?term=100&amp;id=4359","HIF1A")</f>
        <v>HIF1A</v>
      </c>
      <c r="B9" s="9">
        <v>72</v>
      </c>
      <c r="C9" s="9">
        <v>1317</v>
      </c>
      <c r="D9" s="9">
        <v>650</v>
      </c>
      <c r="E9" s="9">
        <v>26819</v>
      </c>
      <c r="F9" s="9">
        <v>31.92</v>
      </c>
      <c r="G9" s="9">
        <v>2.2559999999999998</v>
      </c>
      <c r="H9" s="9">
        <v>1.072E-10</v>
      </c>
      <c r="I9" s="9">
        <v>7.3650000000000002</v>
      </c>
      <c r="J9" s="10"/>
      <c r="K9" s="14"/>
      <c r="L9" s="12"/>
      <c r="M9" s="14"/>
      <c r="N9" s="12"/>
      <c r="O9" s="36">
        <f>VLOOKUP($A9,'SW620_Transcription factor'!$A$3:$N$227,7,FALSE)</f>
        <v>2.0339999999999998</v>
      </c>
      <c r="P9" s="37">
        <f>VLOOKUP($A9,'SW620_Transcription factor'!$A$3:$N$227,11,FALSE)</f>
        <v>0</v>
      </c>
      <c r="Q9" s="37">
        <f>VLOOKUP($A9,'SW620_Transcription factor'!$A$3:$N$227,13,FALSE)</f>
        <v>0</v>
      </c>
    </row>
    <row r="10" spans="1:17" ht="15" customHeight="1">
      <c r="A10" s="8" t="str">
        <f>HYPERLINK("http://portal.genego.com/cgi/entity_page.cgi?term=100&amp;id=1075","p53")</f>
        <v>p53</v>
      </c>
      <c r="B10" s="9">
        <v>107</v>
      </c>
      <c r="C10" s="9">
        <v>1317</v>
      </c>
      <c r="D10" s="9">
        <v>1209</v>
      </c>
      <c r="E10" s="9">
        <v>26819</v>
      </c>
      <c r="F10" s="9">
        <v>59.37</v>
      </c>
      <c r="G10" s="9">
        <v>1.802</v>
      </c>
      <c r="H10" s="9">
        <v>2.439E-9</v>
      </c>
      <c r="I10" s="9">
        <v>6.4870000000000001</v>
      </c>
      <c r="J10" s="10"/>
      <c r="K10" s="14"/>
      <c r="L10" s="12"/>
      <c r="M10" s="14"/>
      <c r="N10" s="12"/>
      <c r="O10" s="36">
        <f>VLOOKUP($A10,'SW620_Transcription factor'!$A$3:$N$227,7,FALSE)</f>
        <v>1.8280000000000001</v>
      </c>
      <c r="P10" s="37">
        <f>VLOOKUP($A10,'SW620_Transcription factor'!$A$3:$N$227,11,FALSE)</f>
        <v>0</v>
      </c>
      <c r="Q10" s="37">
        <f>VLOOKUP($A10,'SW620_Transcription factor'!$A$3:$N$227,13,FALSE)</f>
        <v>0</v>
      </c>
    </row>
    <row r="11" spans="1:17" ht="15" customHeight="1">
      <c r="A11" s="8" t="str">
        <f>HYPERLINK("http://portal.genego.com/cgi/entity_page.cgi?term=100&amp;id=2554","SP3")</f>
        <v>SP3</v>
      </c>
      <c r="B11" s="9">
        <v>58</v>
      </c>
      <c r="C11" s="9">
        <v>1317</v>
      </c>
      <c r="D11" s="9">
        <v>511</v>
      </c>
      <c r="E11" s="9">
        <v>26819</v>
      </c>
      <c r="F11" s="9">
        <v>25.09</v>
      </c>
      <c r="G11" s="9">
        <v>2.3109999999999999</v>
      </c>
      <c r="H11" s="9">
        <v>2.8940000000000001E-9</v>
      </c>
      <c r="I11" s="9">
        <v>6.8010000000000002</v>
      </c>
      <c r="J11" s="10"/>
      <c r="K11" s="14"/>
      <c r="L11" s="12"/>
      <c r="M11" s="14"/>
      <c r="N11" s="12"/>
      <c r="O11" s="36">
        <f>VLOOKUP($A11,'SW620_Transcription factor'!$A$3:$N$227,7,FALSE)</f>
        <v>2.218</v>
      </c>
      <c r="P11" s="37">
        <f>VLOOKUP($A11,'SW620_Transcription factor'!$A$3:$N$227,11,FALSE)</f>
        <v>0</v>
      </c>
      <c r="Q11" s="37">
        <f>VLOOKUP($A11,'SW620_Transcription factor'!$A$3:$N$227,13,FALSE)</f>
        <v>0</v>
      </c>
    </row>
    <row r="12" spans="1:17" ht="15" customHeight="1">
      <c r="A12" s="8" t="str">
        <f>HYPERLINK("http://portal.genego.com/cgi/entity_page.cgi?term=100&amp;id=-918241363","HNF1-alpha")</f>
        <v>HNF1-alpha</v>
      </c>
      <c r="B12" s="9">
        <v>37</v>
      </c>
      <c r="C12" s="9">
        <v>1317</v>
      </c>
      <c r="D12" s="9">
        <v>262</v>
      </c>
      <c r="E12" s="9">
        <v>26819</v>
      </c>
      <c r="F12" s="9">
        <v>12.87</v>
      </c>
      <c r="G12" s="9">
        <v>2.8759999999999999</v>
      </c>
      <c r="H12" s="9">
        <v>7.7099999999999992E-9</v>
      </c>
      <c r="I12" s="9">
        <v>6.9340000000000002</v>
      </c>
      <c r="J12" s="10"/>
      <c r="K12" s="14"/>
      <c r="L12" s="12"/>
      <c r="M12" s="14"/>
      <c r="N12" s="12"/>
      <c r="O12" s="36">
        <f>VLOOKUP($A12,'SW620_Transcription factor'!$A$3:$N$227,7,FALSE)</f>
        <v>1.8740000000000001</v>
      </c>
      <c r="P12" s="37">
        <f>VLOOKUP($A12,'SW620_Transcription factor'!$A$3:$N$227,11,FALSE)</f>
        <v>0</v>
      </c>
      <c r="Q12" s="37">
        <f>VLOOKUP($A12,'SW620_Transcription factor'!$A$3:$N$227,13,FALSE)</f>
        <v>0</v>
      </c>
    </row>
    <row r="13" spans="1:17" ht="15" customHeight="1">
      <c r="A13" s="8" t="str">
        <f>HYPERLINK("http://portal.genego.com/cgi/entity_page.cgi?term=100&amp;id=1100","PR (nuclear)")</f>
        <v>PR (nuclear)</v>
      </c>
      <c r="B13" s="9">
        <v>37</v>
      </c>
      <c r="C13" s="9">
        <v>1317</v>
      </c>
      <c r="D13" s="9">
        <v>263</v>
      </c>
      <c r="E13" s="9">
        <v>26819</v>
      </c>
      <c r="F13" s="9">
        <v>12.92</v>
      </c>
      <c r="G13" s="9">
        <v>2.8650000000000002</v>
      </c>
      <c r="H13" s="9">
        <v>8.5560000000000006E-9</v>
      </c>
      <c r="I13" s="9">
        <v>6.907</v>
      </c>
      <c r="J13" s="10"/>
      <c r="K13" s="14"/>
      <c r="L13" s="12"/>
      <c r="M13" s="14"/>
      <c r="N13" s="12"/>
      <c r="O13" s="36">
        <f>VLOOKUP($A13,'SW620_Transcription factor'!$A$3:$N$227,7,FALSE)</f>
        <v>2.585</v>
      </c>
      <c r="P13" s="37">
        <f>VLOOKUP($A13,'SW620_Transcription factor'!$A$3:$N$227,11,FALSE)</f>
        <v>0</v>
      </c>
      <c r="Q13" s="37">
        <f>VLOOKUP($A13,'SW620_Transcription factor'!$A$3:$N$227,13,FALSE)</f>
        <v>0</v>
      </c>
    </row>
    <row r="14" spans="1:17" ht="15" customHeight="1">
      <c r="A14" s="8" t="str">
        <f>HYPERLINK("http://portal.genego.com/cgi/entity_page.cgi?term=100&amp;id=4423","Androgen receptor")</f>
        <v>Androgen receptor</v>
      </c>
      <c r="B14" s="9">
        <v>89</v>
      </c>
      <c r="C14" s="9">
        <v>1317</v>
      </c>
      <c r="D14" s="9">
        <v>973</v>
      </c>
      <c r="E14" s="9">
        <v>26819</v>
      </c>
      <c r="F14" s="9">
        <v>47.78</v>
      </c>
      <c r="G14" s="9">
        <v>1.863</v>
      </c>
      <c r="H14" s="9">
        <v>1.2429999999999999E-8</v>
      </c>
      <c r="I14" s="9">
        <v>6.2290000000000001</v>
      </c>
      <c r="J14" s="10"/>
      <c r="K14" s="14"/>
      <c r="L14" s="12"/>
      <c r="M14" s="14"/>
      <c r="N14" s="12"/>
      <c r="O14" s="36">
        <f>VLOOKUP($A14,'SW620_Transcription factor'!$A$3:$N$227,7,FALSE)</f>
        <v>2.2130000000000001</v>
      </c>
      <c r="P14" s="37">
        <f>VLOOKUP($A14,'SW620_Transcription factor'!$A$3:$N$227,11,FALSE)</f>
        <v>0</v>
      </c>
      <c r="Q14" s="37">
        <f>VLOOKUP($A14,'SW620_Transcription factor'!$A$3:$N$227,13,FALSE)</f>
        <v>0</v>
      </c>
    </row>
    <row r="15" spans="1:17" ht="15" customHeight="1">
      <c r="A15" s="8" t="str">
        <f>HYPERLINK("http://portal.genego.com/cgi/entity_page.cgi?term=100&amp;id=721","STAT1")</f>
        <v>STAT1</v>
      </c>
      <c r="B15" s="9">
        <v>43</v>
      </c>
      <c r="C15" s="9">
        <v>1317</v>
      </c>
      <c r="D15" s="9">
        <v>340</v>
      </c>
      <c r="E15" s="9">
        <v>26819</v>
      </c>
      <c r="F15" s="9">
        <v>16.7</v>
      </c>
      <c r="G15" s="9">
        <v>2.5750000000000002</v>
      </c>
      <c r="H15" s="9">
        <v>1.4289999999999999E-8</v>
      </c>
      <c r="I15" s="9">
        <v>6.6440000000000001</v>
      </c>
      <c r="J15" s="10"/>
      <c r="K15" s="14"/>
      <c r="L15" s="12"/>
      <c r="M15" s="14"/>
      <c r="N15" s="12"/>
      <c r="O15" s="36">
        <f>VLOOKUP($A15,'SW620_Transcription factor'!$A$3:$N$227,7,FALSE)</f>
        <v>2.278</v>
      </c>
      <c r="P15" s="37">
        <f>VLOOKUP($A15,'SW620_Transcription factor'!$A$3:$N$227,11,FALSE)</f>
        <v>0</v>
      </c>
      <c r="Q15" s="37">
        <f>VLOOKUP($A15,'SW620_Transcription factor'!$A$3:$N$227,13,FALSE)</f>
        <v>0</v>
      </c>
    </row>
    <row r="16" spans="1:17" ht="15" customHeight="1">
      <c r="A16" s="8" t="str">
        <f>HYPERLINK("http://portal.genego.com/cgi/entity_page.cgi?term=100&amp;id=719","SRF")</f>
        <v>SRF</v>
      </c>
      <c r="B16" s="9">
        <v>48</v>
      </c>
      <c r="C16" s="9">
        <v>1317</v>
      </c>
      <c r="D16" s="9">
        <v>405</v>
      </c>
      <c r="E16" s="9">
        <v>26819</v>
      </c>
      <c r="F16" s="9">
        <v>19.89</v>
      </c>
      <c r="G16" s="9">
        <v>2.4129999999999998</v>
      </c>
      <c r="H16" s="9">
        <v>1.7199999999999999E-8</v>
      </c>
      <c r="I16" s="9">
        <v>6.5140000000000002</v>
      </c>
      <c r="J16" s="10"/>
      <c r="K16" s="14"/>
      <c r="L16" s="12"/>
      <c r="M16" s="14"/>
      <c r="N16" s="12"/>
      <c r="O16" s="36">
        <f>VLOOKUP($A16,'SW620_Transcription factor'!$A$3:$N$227,7,FALSE)</f>
        <v>2.3780000000000001</v>
      </c>
      <c r="P16" s="37">
        <f>VLOOKUP($A16,'SW620_Transcription factor'!$A$3:$N$227,11,FALSE)</f>
        <v>0</v>
      </c>
      <c r="Q16" s="37">
        <f>VLOOKUP($A16,'SW620_Transcription factor'!$A$3:$N$227,13,FALSE)</f>
        <v>0</v>
      </c>
    </row>
    <row r="17" spans="1:17" ht="15" customHeight="1">
      <c r="A17" s="8" t="str">
        <f>HYPERLINK("http://portal.genego.com/cgi/entity_page.cgi?term=100&amp;id=9063","RelA (p65 NF-kB subunit)")</f>
        <v>RelA (p65 NF-kB subunit)</v>
      </c>
      <c r="B17" s="9">
        <v>81</v>
      </c>
      <c r="C17" s="9">
        <v>1317</v>
      </c>
      <c r="D17" s="9">
        <v>865</v>
      </c>
      <c r="E17" s="9">
        <v>26819</v>
      </c>
      <c r="F17" s="9">
        <v>42.48</v>
      </c>
      <c r="G17" s="9">
        <v>1.907</v>
      </c>
      <c r="H17" s="9">
        <v>2.0689999999999999E-8</v>
      </c>
      <c r="I17" s="9">
        <v>6.1609999999999996</v>
      </c>
      <c r="J17" s="10"/>
      <c r="K17" s="14"/>
      <c r="L17" s="12"/>
      <c r="M17" s="14"/>
      <c r="N17" s="12"/>
      <c r="O17" s="36">
        <f>VLOOKUP($A17,'SW620_Transcription factor'!$A$3:$N$227,7,FALSE)</f>
        <v>2.0089999999999999</v>
      </c>
      <c r="P17" s="37">
        <f>VLOOKUP($A17,'SW620_Transcription factor'!$A$3:$N$227,11,FALSE)</f>
        <v>0</v>
      </c>
      <c r="Q17" s="37">
        <f>VLOOKUP($A17,'SW620_Transcription factor'!$A$3:$N$227,13,FALSE)</f>
        <v>0</v>
      </c>
    </row>
    <row r="18" spans="1:17" ht="15" customHeight="1">
      <c r="A18" s="8" t="str">
        <f>HYPERLINK("http://portal.genego.com/cgi/entity_page.cgi?term=100&amp;id=722","STAT3")</f>
        <v>STAT3</v>
      </c>
      <c r="B18" s="9">
        <v>63</v>
      </c>
      <c r="C18" s="9">
        <v>1317</v>
      </c>
      <c r="D18" s="9">
        <v>623</v>
      </c>
      <c r="E18" s="9">
        <v>26819</v>
      </c>
      <c r="F18" s="9">
        <v>30.59</v>
      </c>
      <c r="G18" s="9">
        <v>2.0590000000000002</v>
      </c>
      <c r="H18" s="9">
        <v>5.1469999999999997E-8</v>
      </c>
      <c r="I18" s="9">
        <v>6.0789999999999997</v>
      </c>
      <c r="J18" s="10"/>
      <c r="K18" s="14"/>
      <c r="L18" s="12"/>
      <c r="M18" s="14"/>
      <c r="N18" s="12"/>
      <c r="O18" s="36">
        <f>VLOOKUP($A18,'SW620_Transcription factor'!$A$3:$N$227,7,FALSE)</f>
        <v>2.5470000000000002</v>
      </c>
      <c r="P18" s="37">
        <f>VLOOKUP($A18,'SW620_Transcription factor'!$A$3:$N$227,11,FALSE)</f>
        <v>0</v>
      </c>
      <c r="Q18" s="37">
        <f>VLOOKUP($A18,'SW620_Transcription factor'!$A$3:$N$227,13,FALSE)</f>
        <v>0</v>
      </c>
    </row>
    <row r="19" spans="1:17" ht="15" customHeight="1">
      <c r="A19" s="8" t="str">
        <f>HYPERLINK("http://portal.genego.com/cgi/entity_page.cgi?term=100&amp;id=1181","VDR")</f>
        <v>VDR</v>
      </c>
      <c r="B19" s="9">
        <v>32</v>
      </c>
      <c r="C19" s="9">
        <v>1317</v>
      </c>
      <c r="D19" s="9">
        <v>232</v>
      </c>
      <c r="E19" s="9">
        <v>26819</v>
      </c>
      <c r="F19" s="9">
        <v>11.39</v>
      </c>
      <c r="G19" s="9">
        <v>2.8090000000000002</v>
      </c>
      <c r="H19" s="9">
        <v>1.356E-7</v>
      </c>
      <c r="I19" s="9">
        <v>6.2880000000000003</v>
      </c>
      <c r="J19" s="10" t="s">
        <v>4</v>
      </c>
      <c r="K19" s="24">
        <v>1.2303177999999999</v>
      </c>
      <c r="L19" s="12">
        <v>1.3088609999999999E-12</v>
      </c>
      <c r="M19" s="24">
        <v>1.0498628999999999</v>
      </c>
      <c r="N19" s="12">
        <v>1.3088609999999999E-12</v>
      </c>
      <c r="O19" s="36">
        <f>VLOOKUP($A19,'SW620_Transcription factor'!$A$3:$N$227,7,FALSE)</f>
        <v>2.8490000000000002</v>
      </c>
      <c r="P19" s="37">
        <f>VLOOKUP($A19,'SW620_Transcription factor'!$A$3:$N$227,11,FALSE)</f>
        <v>-0.47779181999999998</v>
      </c>
      <c r="Q19" s="37">
        <f>VLOOKUP($A19,'SW620_Transcription factor'!$A$3:$N$227,13,FALSE)</f>
        <v>-1.0289016</v>
      </c>
    </row>
    <row r="20" spans="1:17" ht="15" customHeight="1">
      <c r="A20" s="8" t="str">
        <f>HYPERLINK("http://portal.genego.com/cgi/entity_page.cgi?term=100&amp;id=883","c-Fos")</f>
        <v>c-Fos</v>
      </c>
      <c r="B20" s="9">
        <v>41</v>
      </c>
      <c r="C20" s="9">
        <v>1317</v>
      </c>
      <c r="D20" s="9">
        <v>342</v>
      </c>
      <c r="E20" s="9">
        <v>26819</v>
      </c>
      <c r="F20" s="9">
        <v>16.79</v>
      </c>
      <c r="G20" s="9">
        <v>2.4409999999999998</v>
      </c>
      <c r="H20" s="9">
        <v>1.3659999999999999E-7</v>
      </c>
      <c r="I20" s="9">
        <v>6.0960000000000001</v>
      </c>
      <c r="J20" s="10" t="s">
        <v>53</v>
      </c>
      <c r="K20" s="25">
        <v>0.57882785999999997</v>
      </c>
      <c r="L20" s="12">
        <v>2.4846779999999999E-4</v>
      </c>
      <c r="M20" s="24">
        <v>1.0694349999999999</v>
      </c>
      <c r="N20" s="12">
        <v>2.4846779999999999E-4</v>
      </c>
      <c r="O20" s="36">
        <f>VLOOKUP($A20,'SW620_Transcription factor'!$A$3:$N$227,7,FALSE)</f>
        <v>2.7610000000000001</v>
      </c>
      <c r="P20" s="37">
        <f>VLOOKUP($A20,'SW620_Transcription factor'!$A$3:$N$227,11,FALSE)</f>
        <v>0</v>
      </c>
      <c r="Q20" s="37">
        <f>VLOOKUP($A20,'SW620_Transcription factor'!$A$3:$N$227,13,FALSE)</f>
        <v>0</v>
      </c>
    </row>
    <row r="21" spans="1:17" ht="15" customHeight="1">
      <c r="A21" s="8" t="str">
        <f>HYPERLINK("http://portal.genego.com/cgi/entity_page.cgi?term=100&amp;id=2182","FKHR")</f>
        <v>FKHR</v>
      </c>
      <c r="B21" s="9">
        <v>35</v>
      </c>
      <c r="C21" s="9">
        <v>1317</v>
      </c>
      <c r="D21" s="9">
        <v>268</v>
      </c>
      <c r="E21" s="9">
        <v>26819</v>
      </c>
      <c r="F21" s="9">
        <v>13.16</v>
      </c>
      <c r="G21" s="9">
        <v>2.6589999999999998</v>
      </c>
      <c r="H21" s="9">
        <v>1.4070000000000001E-7</v>
      </c>
      <c r="I21" s="9">
        <v>6.2050000000000001</v>
      </c>
      <c r="J21" s="10" t="s">
        <v>54</v>
      </c>
      <c r="K21" s="24">
        <v>1.0120233999999999</v>
      </c>
      <c r="L21" s="12">
        <v>2.1665900000000001E-7</v>
      </c>
      <c r="M21" s="25">
        <v>0.94531480000000001</v>
      </c>
      <c r="N21" s="12">
        <v>2.1665900000000001E-7</v>
      </c>
      <c r="O21" s="36">
        <f>VLOOKUP($A21,'SW620_Transcription factor'!$A$3:$N$227,7,FALSE)</f>
        <v>2.6070000000000002</v>
      </c>
      <c r="P21" s="37">
        <f>VLOOKUP($A21,'SW620_Transcription factor'!$A$3:$N$227,11,FALSE)</f>
        <v>0</v>
      </c>
      <c r="Q21" s="37">
        <f>VLOOKUP($A21,'SW620_Transcription factor'!$A$3:$N$227,13,FALSE)</f>
        <v>0</v>
      </c>
    </row>
    <row r="22" spans="1:17" ht="15" customHeight="1">
      <c r="A22" s="8" t="str">
        <f>HYPERLINK("http://portal.genego.com/cgi/entity_page.cgi?term=100&amp;id=4328","GATA-3")</f>
        <v>GATA-3</v>
      </c>
      <c r="B22" s="9">
        <v>63</v>
      </c>
      <c r="C22" s="9">
        <v>1317</v>
      </c>
      <c r="D22" s="9">
        <v>642</v>
      </c>
      <c r="E22" s="9">
        <v>26819</v>
      </c>
      <c r="F22" s="9">
        <v>31.53</v>
      </c>
      <c r="G22" s="9">
        <v>1.998</v>
      </c>
      <c r="H22" s="9">
        <v>1.525E-7</v>
      </c>
      <c r="I22" s="9">
        <v>5.8179999999999996</v>
      </c>
      <c r="J22" s="10"/>
      <c r="K22" s="14"/>
      <c r="L22" s="12"/>
      <c r="M22" s="14"/>
      <c r="N22" s="12"/>
      <c r="O22" s="36">
        <f>VLOOKUP($A22,'SW620_Transcription factor'!$A$3:$N$227,7,FALSE)</f>
        <v>1.736</v>
      </c>
      <c r="P22" s="37">
        <f>VLOOKUP($A22,'SW620_Transcription factor'!$A$3:$N$227,11,FALSE)</f>
        <v>0</v>
      </c>
      <c r="Q22" s="37">
        <f>VLOOKUP($A22,'SW620_Transcription factor'!$A$3:$N$227,13,FALSE)</f>
        <v>0</v>
      </c>
    </row>
    <row r="23" spans="1:17" ht="15" customHeight="1">
      <c r="A23" s="8" t="str">
        <f>HYPERLINK("http://portal.genego.com/cgi/entity_page.cgi?term=100&amp;id=4374","TCF7L2 (TCF4)")</f>
        <v>TCF7L2 (TCF4)</v>
      </c>
      <c r="B23" s="9">
        <v>43</v>
      </c>
      <c r="C23" s="9">
        <v>1317</v>
      </c>
      <c r="D23" s="9">
        <v>371</v>
      </c>
      <c r="E23" s="9">
        <v>26819</v>
      </c>
      <c r="F23" s="9">
        <v>18.22</v>
      </c>
      <c r="G23" s="9">
        <v>2.36</v>
      </c>
      <c r="H23" s="9">
        <v>1.772E-7</v>
      </c>
      <c r="I23" s="9">
        <v>5.9950000000000001</v>
      </c>
      <c r="J23" s="10"/>
      <c r="K23" s="14"/>
      <c r="L23" s="12"/>
      <c r="M23" s="14"/>
      <c r="N23" s="12"/>
      <c r="O23" s="36">
        <f>VLOOKUP($A23,'SW620_Transcription factor'!$A$3:$N$227,7,FALSE)</f>
        <v>2.3929999999999998</v>
      </c>
      <c r="P23" s="37">
        <f>VLOOKUP($A23,'SW620_Transcription factor'!$A$3:$N$227,11,FALSE)</f>
        <v>-0.28733468000000001</v>
      </c>
      <c r="Q23" s="37">
        <f>VLOOKUP($A23,'SW620_Transcription factor'!$A$3:$N$227,13,FALSE)</f>
        <v>-1.2884500999999999</v>
      </c>
    </row>
    <row r="24" spans="1:17" ht="15" customHeight="1">
      <c r="A24" s="8" t="str">
        <f>HYPERLINK("http://portal.genego.com/cgi/entity_page.cgi?term=100&amp;id=9097","ESR1 (nuclear)")</f>
        <v>ESR1 (nuclear)</v>
      </c>
      <c r="B24" s="9">
        <v>101</v>
      </c>
      <c r="C24" s="9">
        <v>1317</v>
      </c>
      <c r="D24" s="9">
        <v>1249</v>
      </c>
      <c r="E24" s="9">
        <v>26819</v>
      </c>
      <c r="F24" s="9">
        <v>61.33</v>
      </c>
      <c r="G24" s="9">
        <v>1.647</v>
      </c>
      <c r="H24" s="9">
        <v>5.6619999999999997E-7</v>
      </c>
      <c r="I24" s="9">
        <v>5.319</v>
      </c>
      <c r="J24" s="10"/>
      <c r="K24" s="14"/>
      <c r="L24" s="12"/>
      <c r="M24" s="14"/>
      <c r="N24" s="12"/>
      <c r="O24" s="36">
        <f>VLOOKUP($A24,'SW620_Transcription factor'!$A$3:$N$227,7,FALSE)</f>
        <v>1.784</v>
      </c>
      <c r="P24" s="37">
        <f>VLOOKUP($A24,'SW620_Transcription factor'!$A$3:$N$227,11,FALSE)</f>
        <v>0</v>
      </c>
      <c r="Q24" s="37">
        <f>VLOOKUP($A24,'SW620_Transcription factor'!$A$3:$N$227,13,FALSE)</f>
        <v>0</v>
      </c>
    </row>
    <row r="25" spans="1:17" ht="15" customHeight="1">
      <c r="A25" s="8" t="str">
        <f>HYPERLINK("http://portal.genego.com/cgi/entity_page.cgi?term=100&amp;id=4212","IRF1")</f>
        <v>IRF1</v>
      </c>
      <c r="B25" s="9">
        <v>28</v>
      </c>
      <c r="C25" s="9">
        <v>1317</v>
      </c>
      <c r="D25" s="9">
        <v>203</v>
      </c>
      <c r="E25" s="9">
        <v>26819</v>
      </c>
      <c r="F25" s="9">
        <v>9.9689999999999994</v>
      </c>
      <c r="G25" s="9">
        <v>2.8090000000000002</v>
      </c>
      <c r="H25" s="9">
        <v>8.0640000000000002E-7</v>
      </c>
      <c r="I25" s="9">
        <v>5.8789999999999996</v>
      </c>
      <c r="J25" s="10"/>
      <c r="K25" s="14"/>
      <c r="L25" s="12"/>
      <c r="M25" s="14"/>
      <c r="N25" s="12"/>
      <c r="O25" s="36">
        <f>VLOOKUP($A25,'SW620_Transcription factor'!$A$3:$N$227,7,FALSE)</f>
        <v>2.14</v>
      </c>
      <c r="P25" s="37">
        <f>VLOOKUP($A25,'SW620_Transcription factor'!$A$3:$N$227,11,FALSE)</f>
        <v>0</v>
      </c>
      <c r="Q25" s="37">
        <f>VLOOKUP($A25,'SW620_Transcription factor'!$A$3:$N$227,13,FALSE)</f>
        <v>0</v>
      </c>
    </row>
    <row r="26" spans="1:17" ht="15" customHeight="1">
      <c r="A26" s="8" t="str">
        <f>HYPERLINK("http://portal.genego.com/cgi/entity_page.cgi?term=100&amp;id=4366","C/EBPdelta")</f>
        <v>C/EBPdelta</v>
      </c>
      <c r="B26" s="9">
        <v>24</v>
      </c>
      <c r="C26" s="9">
        <v>1317</v>
      </c>
      <c r="D26" s="9">
        <v>160</v>
      </c>
      <c r="E26" s="9">
        <v>26819</v>
      </c>
      <c r="F26" s="9">
        <v>7.8570000000000002</v>
      </c>
      <c r="G26" s="9">
        <v>3.0550000000000002</v>
      </c>
      <c r="H26" s="9">
        <v>1.065E-6</v>
      </c>
      <c r="I26" s="9">
        <v>5.923</v>
      </c>
      <c r="J26" s="10"/>
      <c r="K26" s="14"/>
      <c r="L26" s="12"/>
      <c r="M26" s="14"/>
      <c r="N26" s="12"/>
      <c r="O26" s="36">
        <f>VLOOKUP($A26,'SW620_Transcription factor'!$A$3:$N$227,7,FALSE)</f>
        <v>2.7149999999999999</v>
      </c>
      <c r="P26" s="37">
        <f>VLOOKUP($A26,'SW620_Transcription factor'!$A$3:$N$227,11,FALSE)</f>
        <v>0</v>
      </c>
      <c r="Q26" s="37">
        <f>VLOOKUP($A26,'SW620_Transcription factor'!$A$3:$N$227,13,FALSE)</f>
        <v>0</v>
      </c>
    </row>
    <row r="27" spans="1:17" ht="15" customHeight="1">
      <c r="A27" s="8" t="str">
        <f>HYPERLINK("http://portal.genego.com/cgi/entity_page.cgi?term=100&amp;id=4329","NF-AT1(NFATC2)")</f>
        <v>NF-AT1(NFATC2)</v>
      </c>
      <c r="B27" s="9">
        <v>18</v>
      </c>
      <c r="C27" s="9">
        <v>1317</v>
      </c>
      <c r="D27" s="9">
        <v>98</v>
      </c>
      <c r="E27" s="9">
        <v>26819</v>
      </c>
      <c r="F27" s="9">
        <v>4.8120000000000003</v>
      </c>
      <c r="G27" s="9">
        <v>3.74</v>
      </c>
      <c r="H27" s="9">
        <v>1.203E-6</v>
      </c>
      <c r="I27" s="9">
        <v>6.1760000000000002</v>
      </c>
      <c r="J27" s="10"/>
      <c r="K27" s="14"/>
      <c r="L27" s="12"/>
      <c r="M27" s="14"/>
      <c r="N27" s="12"/>
      <c r="O27" s="36">
        <f>VLOOKUP($A27,'SW620_Transcription factor'!$A$3:$N$227,7,FALSE)</f>
        <v>2.12</v>
      </c>
      <c r="P27" s="37">
        <f>VLOOKUP($A27,'SW620_Transcription factor'!$A$3:$N$227,11,FALSE)</f>
        <v>0</v>
      </c>
      <c r="Q27" s="37">
        <f>VLOOKUP($A27,'SW620_Transcription factor'!$A$3:$N$227,13,FALSE)</f>
        <v>0</v>
      </c>
    </row>
    <row r="28" spans="1:17" ht="15" customHeight="1">
      <c r="A28" s="8" t="str">
        <f>HYPERLINK("http://portal.genego.com/cgi/entity_page.cgi?term=100&amp;id=58","AHR")</f>
        <v>AHR</v>
      </c>
      <c r="B28" s="9">
        <v>32</v>
      </c>
      <c r="C28" s="9">
        <v>1317</v>
      </c>
      <c r="D28" s="9">
        <v>257</v>
      </c>
      <c r="E28" s="9">
        <v>26819</v>
      </c>
      <c r="F28" s="9">
        <v>12.62</v>
      </c>
      <c r="G28" s="9">
        <v>2.536</v>
      </c>
      <c r="H28" s="9">
        <v>1.378E-6</v>
      </c>
      <c r="I28" s="9">
        <v>5.6210000000000004</v>
      </c>
      <c r="J28" s="10"/>
      <c r="K28" s="14"/>
      <c r="L28" s="12"/>
      <c r="M28" s="14"/>
      <c r="N28" s="12"/>
      <c r="O28" s="36">
        <f>VLOOKUP($A28,'SW620_Transcription factor'!$A$3:$N$227,7,FALSE)</f>
        <v>2.4990000000000001</v>
      </c>
      <c r="P28" s="37">
        <f>VLOOKUP($A28,'SW620_Transcription factor'!$A$3:$N$227,11,FALSE)</f>
        <v>0</v>
      </c>
      <c r="Q28" s="37">
        <f>VLOOKUP($A28,'SW620_Transcription factor'!$A$3:$N$227,13,FALSE)</f>
        <v>0</v>
      </c>
    </row>
    <row r="29" spans="1:17" ht="15" customHeight="1">
      <c r="A29" s="8" t="str">
        <f>HYPERLINK("http://portal.genego.com/cgi/entity_page.cgi?term=100&amp;id=2549","RBP-J kappa (CBF1)")</f>
        <v>RBP-J kappa (CBF1)</v>
      </c>
      <c r="B29" s="9">
        <v>21</v>
      </c>
      <c r="C29" s="9">
        <v>1317</v>
      </c>
      <c r="D29" s="9">
        <v>132</v>
      </c>
      <c r="E29" s="9">
        <v>26819</v>
      </c>
      <c r="F29" s="9">
        <v>6.4820000000000002</v>
      </c>
      <c r="G29" s="9">
        <v>3.24</v>
      </c>
      <c r="H29" s="9">
        <v>1.8789999999999999E-6</v>
      </c>
      <c r="I29" s="9">
        <v>5.8620000000000001</v>
      </c>
      <c r="J29" s="10"/>
      <c r="K29" s="14"/>
      <c r="L29" s="12"/>
      <c r="M29" s="14"/>
      <c r="N29" s="12"/>
      <c r="O29" s="36">
        <f>VLOOKUP($A29,'SW620_Transcription factor'!$A$3:$N$227,7,FALSE)</f>
        <v>2.5750000000000002</v>
      </c>
      <c r="P29" s="37">
        <f>VLOOKUP($A29,'SW620_Transcription factor'!$A$3:$N$227,11,FALSE)</f>
        <v>0</v>
      </c>
      <c r="Q29" s="37">
        <f>VLOOKUP($A29,'SW620_Transcription factor'!$A$3:$N$227,13,FALSE)</f>
        <v>0</v>
      </c>
    </row>
    <row r="30" spans="1:17" ht="15" customHeight="1">
      <c r="A30" s="8" t="str">
        <f>HYPERLINK("http://portal.genego.com/cgi/entity_page.cgi?term=100&amp;id=4317","USF1")</f>
        <v>USF1</v>
      </c>
      <c r="B30" s="9">
        <v>29</v>
      </c>
      <c r="C30" s="9">
        <v>1317</v>
      </c>
      <c r="D30" s="9">
        <v>224</v>
      </c>
      <c r="E30" s="9">
        <v>26819</v>
      </c>
      <c r="F30" s="9">
        <v>11</v>
      </c>
      <c r="G30" s="9">
        <v>2.6360000000000001</v>
      </c>
      <c r="H30" s="9">
        <v>1.928E-6</v>
      </c>
      <c r="I30" s="9">
        <v>5.5890000000000004</v>
      </c>
      <c r="J30" s="10"/>
      <c r="K30" s="14"/>
      <c r="L30" s="12"/>
      <c r="M30" s="14"/>
      <c r="N30" s="12"/>
      <c r="O30" s="36">
        <f>VLOOKUP($A30,'SW620_Transcription factor'!$A$3:$N$227,7,FALSE)</f>
        <v>1.855</v>
      </c>
      <c r="P30" s="37">
        <f>VLOOKUP($A30,'SW620_Transcription factor'!$A$3:$N$227,11,FALSE)</f>
        <v>0</v>
      </c>
      <c r="Q30" s="37">
        <f>VLOOKUP($A30,'SW620_Transcription factor'!$A$3:$N$227,13,FALSE)</f>
        <v>0</v>
      </c>
    </row>
    <row r="31" spans="1:17" ht="15" customHeight="1">
      <c r="A31" s="8" t="str">
        <f>HYPERLINK("http://portal.genego.com/cgi/entity_page.cgi?term=100&amp;id=4322","SMAD3")</f>
        <v>SMAD3</v>
      </c>
      <c r="B31" s="9">
        <v>31</v>
      </c>
      <c r="C31" s="9">
        <v>1317</v>
      </c>
      <c r="D31" s="9">
        <v>253</v>
      </c>
      <c r="E31" s="9">
        <v>26819</v>
      </c>
      <c r="F31" s="9">
        <v>12.42</v>
      </c>
      <c r="G31" s="9">
        <v>2.4950000000000001</v>
      </c>
      <c r="H31" s="9">
        <v>2.813E-6</v>
      </c>
      <c r="I31" s="9">
        <v>5.43</v>
      </c>
      <c r="J31" s="10"/>
      <c r="K31" s="14"/>
      <c r="L31" s="12"/>
      <c r="M31" s="14"/>
      <c r="N31" s="12"/>
      <c r="O31" s="36">
        <f>VLOOKUP($A31,'SW620_Transcription factor'!$A$3:$N$227,7,FALSE)</f>
        <v>2.911</v>
      </c>
      <c r="P31" s="37">
        <f>VLOOKUP($A31,'SW620_Transcription factor'!$A$3:$N$227,11,FALSE)</f>
        <v>-1.6178593999999999</v>
      </c>
      <c r="Q31" s="37">
        <f>VLOOKUP($A31,'SW620_Transcription factor'!$A$3:$N$227,13,FALSE)</f>
        <v>-1.5640830999999999</v>
      </c>
    </row>
    <row r="32" spans="1:17" ht="15" customHeight="1">
      <c r="A32" s="8" t="str">
        <f>HYPERLINK("http://portal.genego.com/cgi/entity_page.cgi?term=100&amp;id=2170","FOXO3A")</f>
        <v>FOXO3A</v>
      </c>
      <c r="B32" s="9">
        <v>26</v>
      </c>
      <c r="C32" s="9">
        <v>1317</v>
      </c>
      <c r="D32" s="9">
        <v>193</v>
      </c>
      <c r="E32" s="9">
        <v>26819</v>
      </c>
      <c r="F32" s="9">
        <v>9.4779999999999998</v>
      </c>
      <c r="G32" s="9">
        <v>2.7429999999999999</v>
      </c>
      <c r="H32" s="9">
        <v>3.0750000000000002E-6</v>
      </c>
      <c r="I32" s="9">
        <v>5.524</v>
      </c>
      <c r="J32" s="10"/>
      <c r="K32" s="14"/>
      <c r="L32" s="12"/>
      <c r="M32" s="14"/>
      <c r="N32" s="12"/>
      <c r="O32" s="36">
        <f>VLOOKUP($A32,'SW620_Transcription factor'!$A$3:$N$227,7,FALSE)</f>
        <v>2.74</v>
      </c>
      <c r="P32" s="37">
        <f>VLOOKUP($A32,'SW620_Transcription factor'!$A$3:$N$227,11,FALSE)</f>
        <v>0</v>
      </c>
      <c r="Q32" s="37">
        <f>VLOOKUP($A32,'SW620_Transcription factor'!$A$3:$N$227,13,FALSE)</f>
        <v>0</v>
      </c>
    </row>
    <row r="33" spans="1:17" ht="15" customHeight="1">
      <c r="A33" s="8" t="str">
        <f>HYPERLINK("http://portal.genego.com/cgi/entity_page.cgi?term=100&amp;id=4406","CDX2")</f>
        <v>CDX2</v>
      </c>
      <c r="B33" s="9">
        <v>20</v>
      </c>
      <c r="C33" s="9">
        <v>1317</v>
      </c>
      <c r="D33" s="9">
        <v>127</v>
      </c>
      <c r="E33" s="9">
        <v>26819</v>
      </c>
      <c r="F33" s="9">
        <v>6.2370000000000001</v>
      </c>
      <c r="G33" s="9">
        <v>3.2069999999999999</v>
      </c>
      <c r="H33" s="9">
        <v>3.8489999999999999E-6</v>
      </c>
      <c r="I33" s="9">
        <v>5.665</v>
      </c>
      <c r="J33" s="10"/>
      <c r="K33" s="14"/>
      <c r="L33" s="12"/>
      <c r="M33" s="14"/>
      <c r="N33" s="12"/>
      <c r="O33" s="36">
        <f>VLOOKUP($A33,'SW620_Transcription factor'!$A$3:$N$227,7,FALSE)</f>
        <v>2.2309999999999999</v>
      </c>
      <c r="P33" s="37">
        <f>VLOOKUP($A33,'SW620_Transcription factor'!$A$3:$N$227,11,FALSE)</f>
        <v>0</v>
      </c>
      <c r="Q33" s="37">
        <f>VLOOKUP($A33,'SW620_Transcription factor'!$A$3:$N$227,13,FALSE)</f>
        <v>0</v>
      </c>
    </row>
    <row r="34" spans="1:17" ht="15" customHeight="1">
      <c r="A34" s="8" t="str">
        <f>HYPERLINK("http://portal.genego.com/cgi/entity_page.cgi?term=100&amp;id=4394","ATF-3")</f>
        <v>ATF-3</v>
      </c>
      <c r="B34" s="9">
        <v>21</v>
      </c>
      <c r="C34" s="9">
        <v>1317</v>
      </c>
      <c r="D34" s="9">
        <v>139</v>
      </c>
      <c r="E34" s="9">
        <v>26819</v>
      </c>
      <c r="F34" s="9">
        <v>6.8259999999999996</v>
      </c>
      <c r="G34" s="9">
        <v>3.077</v>
      </c>
      <c r="H34" s="9">
        <v>4.3830000000000002E-6</v>
      </c>
      <c r="I34" s="9">
        <v>5.5780000000000003</v>
      </c>
      <c r="J34" s="10"/>
      <c r="K34" s="14"/>
      <c r="L34" s="12"/>
      <c r="M34" s="14"/>
      <c r="N34" s="12"/>
      <c r="O34" s="36">
        <f>VLOOKUP($A34,'SW620_Transcription factor'!$A$3:$N$227,7,FALSE)</f>
        <v>3.669</v>
      </c>
      <c r="P34" s="37">
        <f>VLOOKUP($A34,'SW620_Transcription factor'!$A$3:$N$227,11,FALSE)</f>
        <v>0</v>
      </c>
      <c r="Q34" s="37">
        <f>VLOOKUP($A34,'SW620_Transcription factor'!$A$3:$N$227,13,FALSE)</f>
        <v>0</v>
      </c>
    </row>
    <row r="35" spans="1:17" ht="15" customHeight="1">
      <c r="A35" s="8" t="str">
        <f>HYPERLINK("http://portal.genego.com/cgi/entity_page.cgi?term=100&amp;id=6436","SMAD1")</f>
        <v>SMAD1</v>
      </c>
      <c r="B35" s="9">
        <v>20</v>
      </c>
      <c r="C35" s="9">
        <v>1317</v>
      </c>
      <c r="D35" s="9">
        <v>131</v>
      </c>
      <c r="E35" s="9">
        <v>26819</v>
      </c>
      <c r="F35" s="9">
        <v>6.4329999999999998</v>
      </c>
      <c r="G35" s="9">
        <v>3.109</v>
      </c>
      <c r="H35" s="9">
        <v>6.2480000000000001E-6</v>
      </c>
      <c r="I35" s="9">
        <v>5.4989999999999997</v>
      </c>
      <c r="J35" s="10"/>
      <c r="K35" s="14"/>
      <c r="L35" s="12"/>
      <c r="M35" s="14"/>
      <c r="N35" s="12"/>
      <c r="O35" s="36">
        <f>VLOOKUP($A35,'SW620_Transcription factor'!$A$3:$N$227,7,FALSE)</f>
        <v>4.3250000000000002</v>
      </c>
      <c r="P35" s="37">
        <f>VLOOKUP($A35,'SW620_Transcription factor'!$A$3:$N$227,11,FALSE)</f>
        <v>0</v>
      </c>
      <c r="Q35" s="37">
        <f>VLOOKUP($A35,'SW620_Transcription factor'!$A$3:$N$227,13,FALSE)</f>
        <v>0</v>
      </c>
    </row>
    <row r="36" spans="1:17" ht="15" customHeight="1">
      <c r="A36" s="8" t="str">
        <f>HYPERLINK("http://portal.genego.com/cgi/entity_page.cgi?term=100&amp;id=237","ESR2")</f>
        <v>ESR2</v>
      </c>
      <c r="B36" s="9">
        <v>21</v>
      </c>
      <c r="C36" s="9">
        <v>1317</v>
      </c>
      <c r="D36" s="9">
        <v>143</v>
      </c>
      <c r="E36" s="9">
        <v>26819</v>
      </c>
      <c r="F36" s="9">
        <v>7.0220000000000002</v>
      </c>
      <c r="G36" s="9">
        <v>2.99</v>
      </c>
      <c r="H36" s="9">
        <v>6.9129999999999997E-6</v>
      </c>
      <c r="I36" s="9">
        <v>5.4240000000000004</v>
      </c>
      <c r="J36" s="10"/>
      <c r="K36" s="14"/>
      <c r="L36" s="12"/>
      <c r="M36" s="14"/>
      <c r="N36" s="12"/>
      <c r="O36" s="36">
        <f>VLOOKUP($A36,'SW620_Transcription factor'!$A$3:$N$227,7,FALSE)</f>
        <v>2.3769999999999998</v>
      </c>
      <c r="P36" s="37">
        <f>VLOOKUP($A36,'SW620_Transcription factor'!$A$3:$N$227,11,FALSE)</f>
        <v>0</v>
      </c>
      <c r="Q36" s="37">
        <f>VLOOKUP($A36,'SW620_Transcription factor'!$A$3:$N$227,13,FALSE)</f>
        <v>0</v>
      </c>
    </row>
    <row r="37" spans="1:17" ht="15" customHeight="1">
      <c r="A37" s="8" t="str">
        <f>HYPERLINK("http://portal.genego.com/cgi/entity_page.cgi?term=100&amp;id=6095","NF-AT2(NFATC1)")</f>
        <v>NF-AT2(NFATC1)</v>
      </c>
      <c r="B37" s="9">
        <v>19</v>
      </c>
      <c r="C37" s="9">
        <v>1317</v>
      </c>
      <c r="D37" s="9">
        <v>121</v>
      </c>
      <c r="E37" s="9">
        <v>26819</v>
      </c>
      <c r="F37" s="9">
        <v>5.9420000000000002</v>
      </c>
      <c r="G37" s="9">
        <v>3.198</v>
      </c>
      <c r="H37" s="9">
        <v>6.9630000000000001E-6</v>
      </c>
      <c r="I37" s="9">
        <v>5.5060000000000002</v>
      </c>
      <c r="J37" s="10"/>
      <c r="K37" s="14"/>
      <c r="L37" s="12"/>
      <c r="M37" s="14"/>
      <c r="N37" s="12"/>
      <c r="O37" s="36">
        <f>VLOOKUP($A37,'SW620_Transcription factor'!$A$3:$N$227,7,FALSE)</f>
        <v>3.1219999999999999</v>
      </c>
      <c r="P37" s="37">
        <f>VLOOKUP($A37,'SW620_Transcription factor'!$A$3:$N$227,11,FALSE)</f>
        <v>0</v>
      </c>
      <c r="Q37" s="37">
        <f>VLOOKUP($A37,'SW620_Transcription factor'!$A$3:$N$227,13,FALSE)</f>
        <v>0</v>
      </c>
    </row>
    <row r="38" spans="1:17" ht="15" customHeight="1">
      <c r="A38" s="8" t="str">
        <f>HYPERLINK("http://portal.genego.com/cgi/entity_page.cgi?term=100&amp;id=4275","HNF3-alpha")</f>
        <v>HNF3-alpha</v>
      </c>
      <c r="B38" s="9">
        <v>27</v>
      </c>
      <c r="C38" s="9">
        <v>1317</v>
      </c>
      <c r="D38" s="9">
        <v>217</v>
      </c>
      <c r="E38" s="9">
        <v>26819</v>
      </c>
      <c r="F38" s="9">
        <v>10.66</v>
      </c>
      <c r="G38" s="9">
        <v>2.5339999999999998</v>
      </c>
      <c r="H38" s="9">
        <v>9.0710000000000001E-6</v>
      </c>
      <c r="I38" s="9">
        <v>5.1550000000000002</v>
      </c>
      <c r="J38" s="10"/>
      <c r="K38" s="14"/>
      <c r="L38" s="12"/>
      <c r="M38" s="14"/>
      <c r="N38" s="12"/>
      <c r="O38" s="36">
        <f>VLOOKUP($A38,'SW620_Transcription factor'!$A$3:$N$227,7,FALSE)</f>
        <v>2.089</v>
      </c>
      <c r="P38" s="37">
        <f>VLOOKUP($A38,'SW620_Transcription factor'!$A$3:$N$227,11,FALSE)</f>
        <v>0</v>
      </c>
      <c r="Q38" s="37">
        <f>VLOOKUP($A38,'SW620_Transcription factor'!$A$3:$N$227,13,FALSE)</f>
        <v>0</v>
      </c>
    </row>
    <row r="39" spans="1:17" ht="15" customHeight="1">
      <c r="A39" s="8" t="str">
        <f>HYPERLINK("http://portal.genego.com/cgi/entity_page.cgi?term=100&amp;id=-1923663997","p63")</f>
        <v>p63</v>
      </c>
      <c r="B39" s="9">
        <v>42</v>
      </c>
      <c r="C39" s="9">
        <v>1317</v>
      </c>
      <c r="D39" s="9">
        <v>429</v>
      </c>
      <c r="E39" s="9">
        <v>26819</v>
      </c>
      <c r="F39" s="9">
        <v>21.07</v>
      </c>
      <c r="G39" s="9">
        <v>1.994</v>
      </c>
      <c r="H39" s="9">
        <v>1.8470000000000001E-5</v>
      </c>
      <c r="I39" s="9">
        <v>4.7149999999999999</v>
      </c>
      <c r="J39" s="10"/>
      <c r="K39" s="14"/>
      <c r="L39" s="12"/>
      <c r="M39" s="14"/>
      <c r="N39" s="12"/>
      <c r="O39" s="36">
        <f>VLOOKUP($A39,'SW620_Transcription factor'!$A$3:$N$227,7,FALSE)</f>
        <v>3.0379999999999998</v>
      </c>
      <c r="P39" s="37">
        <f>VLOOKUP($A39,'SW620_Transcription factor'!$A$3:$N$227,11,FALSE)</f>
        <v>0</v>
      </c>
      <c r="Q39" s="37">
        <f>VLOOKUP($A39,'SW620_Transcription factor'!$A$3:$N$227,13,FALSE)</f>
        <v>0</v>
      </c>
    </row>
    <row r="40" spans="1:17" ht="15" customHeight="1">
      <c r="A40" s="8" t="str">
        <f>HYPERLINK("http://portal.genego.com/cgi/entity_page.cgi?term=100&amp;id=4346","RARalpha")</f>
        <v>RARalpha</v>
      </c>
      <c r="B40" s="9">
        <v>20</v>
      </c>
      <c r="C40" s="9">
        <v>1317</v>
      </c>
      <c r="D40" s="9">
        <v>141</v>
      </c>
      <c r="E40" s="9">
        <v>26819</v>
      </c>
      <c r="F40" s="9">
        <v>6.9240000000000004</v>
      </c>
      <c r="G40" s="9">
        <v>2.8879999999999999</v>
      </c>
      <c r="H40" s="9">
        <v>1.914E-5</v>
      </c>
      <c r="I40" s="9">
        <v>5.109</v>
      </c>
      <c r="J40" s="10"/>
      <c r="K40" s="14"/>
      <c r="L40" s="12"/>
      <c r="M40" s="14"/>
      <c r="N40" s="12"/>
      <c r="O40" s="36">
        <f>VLOOKUP($A40,'SW620_Transcription factor'!$A$3:$N$227,7,FALSE)</f>
        <v>3.081</v>
      </c>
      <c r="P40" s="37">
        <f>VLOOKUP($A40,'SW620_Transcription factor'!$A$3:$N$227,11,FALSE)</f>
        <v>0</v>
      </c>
      <c r="Q40" s="37">
        <f>VLOOKUP($A40,'SW620_Transcription factor'!$A$3:$N$227,13,FALSE)</f>
        <v>0</v>
      </c>
    </row>
    <row r="41" spans="1:17" ht="15" customHeight="1">
      <c r="A41" s="8" t="str">
        <f>HYPERLINK("http://portal.genego.com/cgi/entity_page.cgi?term=100&amp;id=4316","RXRA")</f>
        <v>RXRA</v>
      </c>
      <c r="B41" s="9">
        <v>23</v>
      </c>
      <c r="C41" s="9">
        <v>1317</v>
      </c>
      <c r="D41" s="9">
        <v>177</v>
      </c>
      <c r="E41" s="9">
        <v>26819</v>
      </c>
      <c r="F41" s="9">
        <v>8.6920000000000002</v>
      </c>
      <c r="G41" s="9">
        <v>2.6459999999999999</v>
      </c>
      <c r="H41" s="9">
        <v>2.0250000000000001E-5</v>
      </c>
      <c r="I41" s="9">
        <v>4.9930000000000003</v>
      </c>
      <c r="J41" s="10"/>
      <c r="K41" s="14"/>
      <c r="L41" s="12"/>
      <c r="M41" s="14"/>
      <c r="N41" s="12"/>
      <c r="O41" s="36">
        <f>VLOOKUP($A41,'SW620_Transcription factor'!$A$3:$N$227,7,FALSE)</f>
        <v>2.6680000000000001</v>
      </c>
      <c r="P41" s="37">
        <f>VLOOKUP($A41,'SW620_Transcription factor'!$A$3:$N$227,11,FALSE)</f>
        <v>0</v>
      </c>
      <c r="Q41" s="37">
        <f>VLOOKUP($A41,'SW620_Transcription factor'!$A$3:$N$227,13,FALSE)</f>
        <v>0</v>
      </c>
    </row>
    <row r="42" spans="1:17" ht="15" customHeight="1">
      <c r="A42" s="8" t="str">
        <f>HYPERLINK("http://portal.genego.com/cgi/entity_page.cgi?term=100&amp;id=4307","SOX4")</f>
        <v>SOX4</v>
      </c>
      <c r="B42" s="9">
        <v>17</v>
      </c>
      <c r="C42" s="9">
        <v>1317</v>
      </c>
      <c r="D42" s="9">
        <v>109</v>
      </c>
      <c r="E42" s="9">
        <v>26819</v>
      </c>
      <c r="F42" s="9">
        <v>5.3529999999999998</v>
      </c>
      <c r="G42" s="9">
        <v>3.1760000000000002</v>
      </c>
      <c r="H42" s="9">
        <v>2.2840000000000002E-5</v>
      </c>
      <c r="I42" s="9">
        <v>5.173</v>
      </c>
      <c r="J42" s="10"/>
      <c r="K42" s="14"/>
      <c r="L42" s="12"/>
      <c r="M42" s="14"/>
      <c r="N42" s="12"/>
      <c r="O42" s="36">
        <f>VLOOKUP($A42,'SW620_Transcription factor'!$A$3:$N$227,7,FALSE)</f>
        <v>2.5990000000000002</v>
      </c>
      <c r="P42" s="37">
        <f>VLOOKUP($A42,'SW620_Transcription factor'!$A$3:$N$227,11,FALSE)</f>
        <v>0</v>
      </c>
      <c r="Q42" s="37">
        <f>VLOOKUP($A42,'SW620_Transcription factor'!$A$3:$N$227,13,FALSE)</f>
        <v>0</v>
      </c>
    </row>
    <row r="43" spans="1:17" ht="15" customHeight="1">
      <c r="A43" s="8" t="str">
        <f>HYPERLINK("http://portal.genego.com/cgi/entity_page.cgi?term=100&amp;id=6011","SMAD2")</f>
        <v>SMAD2</v>
      </c>
      <c r="B43" s="9">
        <v>20</v>
      </c>
      <c r="C43" s="9">
        <v>1317</v>
      </c>
      <c r="D43" s="9">
        <v>143</v>
      </c>
      <c r="E43" s="9">
        <v>26819</v>
      </c>
      <c r="F43" s="9">
        <v>7.0220000000000002</v>
      </c>
      <c r="G43" s="9">
        <v>2.8479999999999999</v>
      </c>
      <c r="H43" s="9">
        <v>2.3589999999999999E-5</v>
      </c>
      <c r="I43" s="9">
        <v>5.0359999999999996</v>
      </c>
      <c r="J43" s="10"/>
      <c r="K43" s="14"/>
      <c r="L43" s="12"/>
      <c r="M43" s="14"/>
      <c r="N43" s="12"/>
      <c r="O43" s="36">
        <f>VLOOKUP($A43,'SW620_Transcription factor'!$A$3:$N$227,7,FALSE)</f>
        <v>3.17</v>
      </c>
      <c r="P43" s="37">
        <f>VLOOKUP($A43,'SW620_Transcription factor'!$A$3:$N$227,11,FALSE)</f>
        <v>0</v>
      </c>
      <c r="Q43" s="37">
        <f>VLOOKUP($A43,'SW620_Transcription factor'!$A$3:$N$227,13,FALSE)</f>
        <v>0</v>
      </c>
    </row>
    <row r="44" spans="1:17" ht="15" customHeight="1">
      <c r="A44" s="8" t="str">
        <f>HYPERLINK("http://portal.genego.com/cgi/entity_page.cgi?term=100&amp;id=2484","Fra-2")</f>
        <v>Fra-2</v>
      </c>
      <c r="B44" s="9">
        <v>14</v>
      </c>
      <c r="C44" s="9">
        <v>1317</v>
      </c>
      <c r="D44" s="9">
        <v>79</v>
      </c>
      <c r="E44" s="9">
        <v>26819</v>
      </c>
      <c r="F44" s="9">
        <v>3.879</v>
      </c>
      <c r="G44" s="9">
        <v>3.609</v>
      </c>
      <c r="H44" s="9">
        <v>2.756E-5</v>
      </c>
      <c r="I44" s="9">
        <v>5.2770000000000001</v>
      </c>
      <c r="J44" s="10"/>
      <c r="K44" s="14"/>
      <c r="L44" s="12"/>
      <c r="M44" s="14"/>
      <c r="N44" s="12"/>
      <c r="O44" s="36">
        <f>VLOOKUP($A44,'SW620_Transcription factor'!$A$3:$N$227,7,FALSE)</f>
        <v>3.5859999999999999</v>
      </c>
      <c r="P44" s="37">
        <f>VLOOKUP($A44,'SW620_Transcription factor'!$A$3:$N$227,11,FALSE)</f>
        <v>0</v>
      </c>
      <c r="Q44" s="37">
        <f>VLOOKUP($A44,'SW620_Transcription factor'!$A$3:$N$227,13,FALSE)</f>
        <v>0</v>
      </c>
    </row>
    <row r="45" spans="1:17" ht="15" customHeight="1">
      <c r="A45" s="8" t="str">
        <f>HYPERLINK("http://portal.genego.com/cgi/entity_page.cgi?term=100&amp;id=2488","MYOD")</f>
        <v>MYOD</v>
      </c>
      <c r="B45" s="9">
        <v>22</v>
      </c>
      <c r="C45" s="9">
        <v>1317</v>
      </c>
      <c r="D45" s="9">
        <v>169</v>
      </c>
      <c r="E45" s="9">
        <v>26819</v>
      </c>
      <c r="F45" s="9">
        <v>8.2989999999999995</v>
      </c>
      <c r="G45" s="9">
        <v>2.6509999999999998</v>
      </c>
      <c r="H45" s="9">
        <v>2.955E-5</v>
      </c>
      <c r="I45" s="9">
        <v>4.8929999999999998</v>
      </c>
      <c r="J45" s="10"/>
      <c r="K45" s="14"/>
      <c r="L45" s="12"/>
      <c r="M45" s="14"/>
      <c r="N45" s="12"/>
      <c r="O45" s="36">
        <f>VLOOKUP($A45,'SW620_Transcription factor'!$A$3:$N$227,7,FALSE)</f>
        <v>1.9</v>
      </c>
      <c r="P45" s="37">
        <f>VLOOKUP($A45,'SW620_Transcription factor'!$A$3:$N$227,11,FALSE)</f>
        <v>0</v>
      </c>
      <c r="Q45" s="37">
        <f>VLOOKUP($A45,'SW620_Transcription factor'!$A$3:$N$227,13,FALSE)</f>
        <v>0</v>
      </c>
    </row>
    <row r="46" spans="1:17" ht="15" customHeight="1">
      <c r="A46" s="8" t="str">
        <f>HYPERLINK("http://portal.genego.com/cgi/entity_page.cgi?term=100&amp;id=2186","Lef-1")</f>
        <v>Lef-1</v>
      </c>
      <c r="B46" s="9">
        <v>20</v>
      </c>
      <c r="C46" s="9">
        <v>1317</v>
      </c>
      <c r="D46" s="9">
        <v>147</v>
      </c>
      <c r="E46" s="9">
        <v>26819</v>
      </c>
      <c r="F46" s="9">
        <v>7.2190000000000003</v>
      </c>
      <c r="G46" s="9">
        <v>2.7709999999999999</v>
      </c>
      <c r="H46" s="9">
        <v>3.5389999999999998E-5</v>
      </c>
      <c r="I46" s="9">
        <v>4.8920000000000003</v>
      </c>
      <c r="J46" s="10"/>
      <c r="K46" s="14"/>
      <c r="L46" s="12"/>
      <c r="M46" s="14"/>
      <c r="N46" s="12"/>
      <c r="O46" s="36">
        <f>VLOOKUP($A46,'SW620_Transcription factor'!$A$3:$N$227,7,FALSE)</f>
        <v>2.57</v>
      </c>
      <c r="P46" s="37">
        <f>VLOOKUP($A46,'SW620_Transcription factor'!$A$3:$N$227,11,FALSE)</f>
        <v>0</v>
      </c>
      <c r="Q46" s="37">
        <f>VLOOKUP($A46,'SW620_Transcription factor'!$A$3:$N$227,13,FALSE)</f>
        <v>0</v>
      </c>
    </row>
    <row r="47" spans="1:17" ht="15" customHeight="1">
      <c r="A47" s="8" t="str">
        <f>HYPERLINK("http://portal.genego.com/cgi/entity_page.cgi?term=100&amp;id=-594127466","NF-kB p50/p50")</f>
        <v>NF-kB p50/p50</v>
      </c>
      <c r="B47" s="9">
        <v>13</v>
      </c>
      <c r="C47" s="9">
        <v>1317</v>
      </c>
      <c r="D47" s="9">
        <v>71</v>
      </c>
      <c r="E47" s="9">
        <v>26819</v>
      </c>
      <c r="F47" s="9">
        <v>3.4870000000000001</v>
      </c>
      <c r="G47" s="9">
        <v>3.7290000000000001</v>
      </c>
      <c r="H47" s="9">
        <v>3.6999999999999998E-5</v>
      </c>
      <c r="I47" s="9">
        <v>5.2320000000000002</v>
      </c>
      <c r="J47" s="10"/>
      <c r="K47" s="14"/>
      <c r="L47" s="12"/>
      <c r="M47" s="14"/>
      <c r="N47" s="12"/>
      <c r="O47" s="36">
        <f>VLOOKUP($A47,'SW620_Transcription factor'!$A$3:$N$227,7,FALSE)</f>
        <v>2.66</v>
      </c>
      <c r="P47" s="37">
        <f>VLOOKUP($A47,'SW620_Transcription factor'!$A$3:$N$227,11,FALSE)</f>
        <v>-0.75210730000000003</v>
      </c>
      <c r="Q47" s="37">
        <f>VLOOKUP($A47,'SW620_Transcription factor'!$A$3:$N$227,13,FALSE)</f>
        <v>-1.0414327000000001</v>
      </c>
    </row>
    <row r="48" spans="1:17" ht="15" customHeight="1">
      <c r="A48" s="8" t="str">
        <f>HYPERLINK("http://portal.genego.com/cgi/entity_page.cgi?term=100&amp;id=4387","EGR1")</f>
        <v>EGR1</v>
      </c>
      <c r="B48" s="9">
        <v>42</v>
      </c>
      <c r="C48" s="9">
        <v>1317</v>
      </c>
      <c r="D48" s="9">
        <v>442</v>
      </c>
      <c r="E48" s="9">
        <v>26819</v>
      </c>
      <c r="F48" s="9">
        <v>21.71</v>
      </c>
      <c r="G48" s="9">
        <v>1.9350000000000001</v>
      </c>
      <c r="H48" s="9">
        <v>3.7200000000000003E-5</v>
      </c>
      <c r="I48" s="9">
        <v>4.5039999999999996</v>
      </c>
      <c r="J48" s="10"/>
      <c r="K48" s="14"/>
      <c r="L48" s="12"/>
      <c r="M48" s="14"/>
      <c r="N48" s="12"/>
      <c r="O48" s="36">
        <f>VLOOKUP($A48,'SW620_Transcription factor'!$A$3:$N$227,7,FALSE)</f>
        <v>2.1789999999999998</v>
      </c>
      <c r="P48" s="37">
        <f>VLOOKUP($A48,'SW620_Transcription factor'!$A$3:$N$227,11,FALSE)</f>
        <v>-1.5234996999999999</v>
      </c>
      <c r="Q48" s="37">
        <f>VLOOKUP($A48,'SW620_Transcription factor'!$A$3:$N$227,13,FALSE)</f>
        <v>-1.5146704</v>
      </c>
    </row>
    <row r="49" spans="1:17" ht="15" customHeight="1">
      <c r="A49" s="8" t="str">
        <f>HYPERLINK("http://portal.genego.com/cgi/entity_page.cgi?term=100&amp;id=-1612154729","HNF1-beta")</f>
        <v>HNF1-beta</v>
      </c>
      <c r="B49" s="9">
        <v>13</v>
      </c>
      <c r="C49" s="9">
        <v>1317</v>
      </c>
      <c r="D49" s="9">
        <v>72</v>
      </c>
      <c r="E49" s="9">
        <v>26819</v>
      </c>
      <c r="F49" s="9">
        <v>3.536</v>
      </c>
      <c r="G49" s="9">
        <v>3.677</v>
      </c>
      <c r="H49" s="9">
        <v>4.3149999999999999E-5</v>
      </c>
      <c r="I49" s="9">
        <v>5.1680000000000001</v>
      </c>
      <c r="J49" s="10"/>
      <c r="K49" s="14"/>
      <c r="L49" s="12"/>
      <c r="M49" s="14"/>
      <c r="N49" s="12"/>
      <c r="O49" s="36">
        <f>VLOOKUP($A49,'SW620_Transcription factor'!$A$3:$N$227,7,FALSE)</f>
        <v>2.6230000000000002</v>
      </c>
      <c r="P49" s="37">
        <f>VLOOKUP($A49,'SW620_Transcription factor'!$A$3:$N$227,11,FALSE)</f>
        <v>0</v>
      </c>
      <c r="Q49" s="37">
        <f>VLOOKUP($A49,'SW620_Transcription factor'!$A$3:$N$227,13,FALSE)</f>
        <v>0</v>
      </c>
    </row>
    <row r="50" spans="1:17" ht="15" customHeight="1">
      <c r="A50" s="8" t="str">
        <f>HYPERLINK("http://portal.genego.com/cgi/entity_page.cgi?term=100&amp;id=733","SMAD4")</f>
        <v>SMAD4</v>
      </c>
      <c r="B50" s="9">
        <v>26</v>
      </c>
      <c r="C50" s="9">
        <v>1317</v>
      </c>
      <c r="D50" s="9">
        <v>224</v>
      </c>
      <c r="E50" s="9">
        <v>26819</v>
      </c>
      <c r="F50" s="9">
        <v>11</v>
      </c>
      <c r="G50" s="9">
        <v>2.3639999999999999</v>
      </c>
      <c r="H50" s="9">
        <v>4.4419999999999998E-5</v>
      </c>
      <c r="I50" s="9">
        <v>4.657</v>
      </c>
      <c r="J50" s="10"/>
      <c r="K50" s="14"/>
      <c r="L50" s="12"/>
      <c r="M50" s="14"/>
      <c r="N50" s="12"/>
      <c r="O50" s="36">
        <f>VLOOKUP($A50,'SW620_Transcription factor'!$A$3:$N$227,7,FALSE)</f>
        <v>3.12</v>
      </c>
      <c r="P50" s="37">
        <f>VLOOKUP($A50,'SW620_Transcription factor'!$A$3:$N$227,11,FALSE)</f>
        <v>0</v>
      </c>
      <c r="Q50" s="37">
        <f>VLOOKUP($A50,'SW620_Transcription factor'!$A$3:$N$227,13,FALSE)</f>
        <v>0</v>
      </c>
    </row>
    <row r="51" spans="1:17" ht="15" customHeight="1">
      <c r="A51" s="8" t="str">
        <f>HYPERLINK("http://portal.genego.com/cgi/entity_page.cgi?term=100&amp;id=4297","SOX9")</f>
        <v>SOX9</v>
      </c>
      <c r="B51" s="9">
        <v>20</v>
      </c>
      <c r="C51" s="9">
        <v>1317</v>
      </c>
      <c r="D51" s="9">
        <v>150</v>
      </c>
      <c r="E51" s="9">
        <v>26819</v>
      </c>
      <c r="F51" s="9">
        <v>7.3659999999999997</v>
      </c>
      <c r="G51" s="9">
        <v>2.7149999999999999</v>
      </c>
      <c r="H51" s="9">
        <v>4.7429999999999998E-5</v>
      </c>
      <c r="I51" s="9">
        <v>4.7869999999999999</v>
      </c>
      <c r="J51" s="10"/>
      <c r="K51" s="14"/>
      <c r="L51" s="12"/>
      <c r="M51" s="14"/>
      <c r="N51" s="12"/>
      <c r="O51" s="36">
        <f>VLOOKUP($A51,'SW620_Transcription factor'!$A$3:$N$227,7,FALSE)</f>
        <v>2.77</v>
      </c>
      <c r="P51" s="37">
        <f>VLOOKUP($A51,'SW620_Transcription factor'!$A$3:$N$227,11,FALSE)</f>
        <v>0</v>
      </c>
      <c r="Q51" s="37">
        <f>VLOOKUP($A51,'SW620_Transcription factor'!$A$3:$N$227,13,FALSE)</f>
        <v>0</v>
      </c>
    </row>
    <row r="52" spans="1:17" ht="15" customHeight="1">
      <c r="A52" s="8" t="str">
        <f>HYPERLINK("http://portal.genego.com/cgi/entity_page.cgi?term=100&amp;id=4363","GATA-2")</f>
        <v>GATA-2</v>
      </c>
      <c r="B52" s="9">
        <v>24</v>
      </c>
      <c r="C52" s="9">
        <v>1317</v>
      </c>
      <c r="D52" s="9">
        <v>201</v>
      </c>
      <c r="E52" s="9">
        <v>26819</v>
      </c>
      <c r="F52" s="9">
        <v>9.8710000000000004</v>
      </c>
      <c r="G52" s="9">
        <v>2.431</v>
      </c>
      <c r="H52" s="9">
        <v>5.4679999999999998E-5</v>
      </c>
      <c r="I52" s="9">
        <v>4.6289999999999996</v>
      </c>
      <c r="J52" s="10"/>
      <c r="K52" s="14"/>
      <c r="L52" s="12"/>
      <c r="M52" s="14"/>
      <c r="N52" s="12"/>
      <c r="O52" s="36">
        <f>VLOOKUP($A52,'SW620_Transcription factor'!$A$3:$N$227,7,FALSE)</f>
        <v>2.7250000000000001</v>
      </c>
      <c r="P52" s="37">
        <f>VLOOKUP($A52,'SW620_Transcription factor'!$A$3:$N$227,11,FALSE)</f>
        <v>0</v>
      </c>
      <c r="Q52" s="37">
        <f>VLOOKUP($A52,'SW620_Transcription factor'!$A$3:$N$227,13,FALSE)</f>
        <v>0</v>
      </c>
    </row>
    <row r="53" spans="1:17" ht="15" customHeight="1">
      <c r="A53" s="8" t="str">
        <f>HYPERLINK("http://portal.genego.com/cgi/entity_page.cgi?term=100&amp;id=8225","BAPX1")</f>
        <v>BAPX1</v>
      </c>
      <c r="B53" s="9">
        <v>12</v>
      </c>
      <c r="C53" s="9">
        <v>1317</v>
      </c>
      <c r="D53" s="9">
        <v>64</v>
      </c>
      <c r="E53" s="9">
        <v>26819</v>
      </c>
      <c r="F53" s="9">
        <v>3.1429999999999998</v>
      </c>
      <c r="G53" s="9">
        <v>3.8180000000000001</v>
      </c>
      <c r="H53" s="9">
        <v>5.7349999999999998E-5</v>
      </c>
      <c r="I53" s="9">
        <v>5.13</v>
      </c>
      <c r="J53" s="10"/>
      <c r="K53" s="14"/>
      <c r="L53" s="12"/>
      <c r="M53" s="14"/>
      <c r="N53" s="12"/>
      <c r="O53" s="36">
        <f>VLOOKUP($A53,'SW620_Transcription factor'!$A$3:$N$227,7,FALSE)</f>
        <v>3.5409999999999999</v>
      </c>
      <c r="P53" s="37">
        <f>VLOOKUP($A53,'SW620_Transcription factor'!$A$3:$N$227,11,FALSE)</f>
        <v>0</v>
      </c>
      <c r="Q53" s="37">
        <f>VLOOKUP($A53,'SW620_Transcription factor'!$A$3:$N$227,13,FALSE)</f>
        <v>0</v>
      </c>
    </row>
    <row r="54" spans="1:17" ht="15" customHeight="1">
      <c r="A54" s="8" t="str">
        <f>HYPERLINK("http://portal.genego.com/cgi/entity_page.cgi?term=100&amp;id=4369","PAX5")</f>
        <v>PAX5</v>
      </c>
      <c r="B54" s="9">
        <v>19</v>
      </c>
      <c r="C54" s="9">
        <v>1317</v>
      </c>
      <c r="D54" s="9">
        <v>141</v>
      </c>
      <c r="E54" s="9">
        <v>26819</v>
      </c>
      <c r="F54" s="9">
        <v>6.9240000000000004</v>
      </c>
      <c r="G54" s="9">
        <v>2.7440000000000002</v>
      </c>
      <c r="H54" s="9">
        <v>6.279E-5</v>
      </c>
      <c r="I54" s="9">
        <v>4.7190000000000003</v>
      </c>
      <c r="J54" s="10"/>
      <c r="K54" s="14"/>
      <c r="L54" s="12"/>
      <c r="M54" s="14"/>
      <c r="N54" s="12"/>
      <c r="O54" s="36">
        <f>VLOOKUP($A54,'SW620_Transcription factor'!$A$3:$N$227,7,FALSE)</f>
        <v>2.6789999999999998</v>
      </c>
      <c r="P54" s="37">
        <f>VLOOKUP($A54,'SW620_Transcription factor'!$A$3:$N$227,11,FALSE)</f>
        <v>0</v>
      </c>
      <c r="Q54" s="37">
        <f>VLOOKUP($A54,'SW620_Transcription factor'!$A$3:$N$227,13,FALSE)</f>
        <v>0</v>
      </c>
    </row>
    <row r="55" spans="1:17" ht="15" customHeight="1">
      <c r="A55" s="8" t="str">
        <f>HYPERLINK("http://portal.genego.com/cgi/entity_page.cgi?term=100&amp;id=-765772717","YB-1")</f>
        <v>YB-1</v>
      </c>
      <c r="B55" s="9">
        <v>18</v>
      </c>
      <c r="C55" s="9">
        <v>1317</v>
      </c>
      <c r="D55" s="9">
        <v>130</v>
      </c>
      <c r="E55" s="9">
        <v>26819</v>
      </c>
      <c r="F55" s="9">
        <v>6.3840000000000003</v>
      </c>
      <c r="G55" s="9">
        <v>2.82</v>
      </c>
      <c r="H55" s="9">
        <v>6.7780000000000005E-5</v>
      </c>
      <c r="I55" s="9">
        <v>4.726</v>
      </c>
      <c r="J55" s="10"/>
      <c r="K55" s="14"/>
      <c r="L55" s="12"/>
      <c r="M55" s="14"/>
      <c r="N55" s="12"/>
      <c r="O55" s="36" t="e">
        <f>VLOOKUP($A55,'SW620_Transcription factor'!$A$3:$N$227,7,FALSE)</f>
        <v>#N/A</v>
      </c>
      <c r="P55" s="37" t="e">
        <f>VLOOKUP($A55,'SW620_Transcription factor'!$A$3:$N$227,11,FALSE)</f>
        <v>#N/A</v>
      </c>
      <c r="Q55" s="37" t="e">
        <f>VLOOKUP($A55,'SW620_Transcription factor'!$A$3:$N$227,13,FALSE)</f>
        <v>#N/A</v>
      </c>
    </row>
    <row r="56" spans="1:17" ht="15" customHeight="1">
      <c r="A56" s="8" t="str">
        <f>HYPERLINK("http://portal.genego.com/cgi/entity_page.cgi?term=100&amp;id=4608","TAL1")</f>
        <v>TAL1</v>
      </c>
      <c r="B56" s="9">
        <v>24</v>
      </c>
      <c r="C56" s="9">
        <v>1317</v>
      </c>
      <c r="D56" s="9">
        <v>204</v>
      </c>
      <c r="E56" s="9">
        <v>26819</v>
      </c>
      <c r="F56" s="9">
        <v>10.02</v>
      </c>
      <c r="G56" s="9">
        <v>2.3959999999999999</v>
      </c>
      <c r="H56" s="9">
        <v>6.9309999999999999E-5</v>
      </c>
      <c r="I56" s="9">
        <v>4.5469999999999997</v>
      </c>
      <c r="J56" s="10"/>
      <c r="K56" s="14"/>
      <c r="L56" s="12"/>
      <c r="M56" s="14"/>
      <c r="N56" s="12"/>
      <c r="O56" s="36">
        <f>VLOOKUP($A56,'SW620_Transcription factor'!$A$3:$N$227,7,FALSE)</f>
        <v>1.944</v>
      </c>
      <c r="P56" s="37">
        <f>VLOOKUP($A56,'SW620_Transcription factor'!$A$3:$N$227,11,FALSE)</f>
        <v>0</v>
      </c>
      <c r="Q56" s="37">
        <f>VLOOKUP($A56,'SW620_Transcription factor'!$A$3:$N$227,13,FALSE)</f>
        <v>0</v>
      </c>
    </row>
    <row r="57" spans="1:17" ht="15" customHeight="1">
      <c r="A57" s="8" t="str">
        <f>HYPERLINK("http://portal.genego.com/cgi/entity_page.cgi?term=100&amp;id=2196","AML1 (RUNX1)")</f>
        <v>AML1 (RUNX1)</v>
      </c>
      <c r="B57" s="9">
        <v>27</v>
      </c>
      <c r="C57" s="9">
        <v>1317</v>
      </c>
      <c r="D57" s="9">
        <v>244</v>
      </c>
      <c r="E57" s="9">
        <v>26819</v>
      </c>
      <c r="F57" s="9">
        <v>11.98</v>
      </c>
      <c r="G57" s="9">
        <v>2.2530000000000001</v>
      </c>
      <c r="H57" s="9">
        <v>7.3449999999999996E-5</v>
      </c>
      <c r="I57" s="9">
        <v>4.4690000000000003</v>
      </c>
      <c r="J57" s="10"/>
      <c r="K57" s="14"/>
      <c r="L57" s="12"/>
      <c r="M57" s="14"/>
      <c r="N57" s="12"/>
      <c r="O57" s="36">
        <f>VLOOKUP($A57,'SW620_Transcription factor'!$A$3:$N$227,7,FALSE)</f>
        <v>1.78</v>
      </c>
      <c r="P57" s="37">
        <f>VLOOKUP($A57,'SW620_Transcription factor'!$A$3:$N$227,11,FALSE)</f>
        <v>0.73595595000000003</v>
      </c>
      <c r="Q57" s="37">
        <f>VLOOKUP($A57,'SW620_Transcription factor'!$A$3:$N$227,13,FALSE)</f>
        <v>1.0227122</v>
      </c>
    </row>
    <row r="58" spans="1:17" ht="15" customHeight="1">
      <c r="A58" s="8" t="str">
        <f>HYPERLINK("http://portal.genego.com/cgi/entity_page.cgi?term=100&amp;id=4385","ETS1")</f>
        <v>ETS1</v>
      </c>
      <c r="B58" s="9">
        <v>37</v>
      </c>
      <c r="C58" s="9">
        <v>1317</v>
      </c>
      <c r="D58" s="9">
        <v>383</v>
      </c>
      <c r="E58" s="9">
        <v>26819</v>
      </c>
      <c r="F58" s="9">
        <v>18.809999999999999</v>
      </c>
      <c r="G58" s="9">
        <v>1.9670000000000001</v>
      </c>
      <c r="H58" s="9">
        <v>7.4909999999999999E-5</v>
      </c>
      <c r="I58" s="9">
        <v>4.3330000000000002</v>
      </c>
      <c r="J58" s="10"/>
      <c r="K58" s="14"/>
      <c r="L58" s="12"/>
      <c r="M58" s="14"/>
      <c r="N58" s="12"/>
      <c r="O58" s="36">
        <f>VLOOKUP($A58,'SW620_Transcription factor'!$A$3:$N$227,7,FALSE)</f>
        <v>2.5640000000000001</v>
      </c>
      <c r="P58" s="37">
        <f>VLOOKUP($A58,'SW620_Transcription factor'!$A$3:$N$227,11,FALSE)</f>
        <v>0</v>
      </c>
      <c r="Q58" s="37">
        <f>VLOOKUP($A58,'SW620_Transcription factor'!$A$3:$N$227,13,FALSE)</f>
        <v>0</v>
      </c>
    </row>
    <row r="59" spans="1:17" ht="15" customHeight="1">
      <c r="A59" s="8" t="str">
        <f>HYPERLINK("http://portal.genego.com/cgi/entity_page.cgi?term=100&amp;id=4337","IRF2")</f>
        <v>IRF2</v>
      </c>
      <c r="B59" s="9">
        <v>13</v>
      </c>
      <c r="C59" s="9">
        <v>1317</v>
      </c>
      <c r="D59" s="9">
        <v>76</v>
      </c>
      <c r="E59" s="9">
        <v>26819</v>
      </c>
      <c r="F59" s="9">
        <v>3.7320000000000002</v>
      </c>
      <c r="G59" s="9">
        <v>3.4830000000000001</v>
      </c>
      <c r="H59" s="9">
        <v>7.7470000000000002E-5</v>
      </c>
      <c r="I59" s="9">
        <v>4.9269999999999996</v>
      </c>
      <c r="J59" s="10"/>
      <c r="K59" s="14"/>
      <c r="L59" s="12"/>
      <c r="M59" s="14"/>
      <c r="N59" s="12"/>
      <c r="O59" s="36">
        <f>VLOOKUP($A59,'SW620_Transcription factor'!$A$3:$N$227,7,FALSE)</f>
        <v>2.734</v>
      </c>
      <c r="P59" s="37">
        <f>VLOOKUP($A59,'SW620_Transcription factor'!$A$3:$N$227,11,FALSE)</f>
        <v>0</v>
      </c>
      <c r="Q59" s="37">
        <f>VLOOKUP($A59,'SW620_Transcription factor'!$A$3:$N$227,13,FALSE)</f>
        <v>0</v>
      </c>
    </row>
    <row r="60" spans="1:17" ht="15" customHeight="1">
      <c r="A60" s="8" t="str">
        <f>HYPERLINK("http://portal.genego.com/cgi/entity_page.cgi?term=100&amp;id=-953460332","AP-2E")</f>
        <v>AP-2E</v>
      </c>
      <c r="B60" s="9">
        <v>4</v>
      </c>
      <c r="C60" s="9">
        <v>1317</v>
      </c>
      <c r="D60" s="9">
        <v>6</v>
      </c>
      <c r="E60" s="9">
        <v>26819</v>
      </c>
      <c r="F60" s="9">
        <v>0.29459999999999997</v>
      </c>
      <c r="G60" s="9">
        <v>13.58</v>
      </c>
      <c r="H60" s="9">
        <v>8.0190000000000003E-5</v>
      </c>
      <c r="I60" s="9">
        <v>7.0010000000000003</v>
      </c>
      <c r="J60" s="10"/>
      <c r="K60" s="14"/>
      <c r="L60" s="12"/>
      <c r="M60" s="14"/>
      <c r="N60" s="12"/>
      <c r="O60" s="36" t="e">
        <f>VLOOKUP($A60,'SW620_Transcription factor'!$A$3:$N$227,7,FALSE)</f>
        <v>#N/A</v>
      </c>
      <c r="P60" s="37" t="e">
        <f>VLOOKUP($A60,'SW620_Transcription factor'!$A$3:$N$227,11,FALSE)</f>
        <v>#N/A</v>
      </c>
      <c r="Q60" s="37" t="e">
        <f>VLOOKUP($A60,'SW620_Transcription factor'!$A$3:$N$227,13,FALSE)</f>
        <v>#N/A</v>
      </c>
    </row>
    <row r="61" spans="1:17" ht="15" customHeight="1">
      <c r="A61" s="8" t="str">
        <f>HYPERLINK("http://portal.genego.com/cgi/entity_page.cgi?term=100&amp;id=4372","JunD")</f>
        <v>JunD</v>
      </c>
      <c r="B61" s="9">
        <v>23</v>
      </c>
      <c r="C61" s="9">
        <v>1317</v>
      </c>
      <c r="D61" s="9">
        <v>194</v>
      </c>
      <c r="E61" s="9">
        <v>26819</v>
      </c>
      <c r="F61" s="9">
        <v>9.5269999999999992</v>
      </c>
      <c r="G61" s="9">
        <v>2.4140000000000001</v>
      </c>
      <c r="H61" s="9">
        <v>8.6429999999999997E-5</v>
      </c>
      <c r="I61" s="9">
        <v>4.4930000000000003</v>
      </c>
      <c r="J61" s="10"/>
      <c r="K61" s="14"/>
      <c r="L61" s="12"/>
      <c r="M61" s="14"/>
      <c r="N61" s="12"/>
      <c r="O61" s="36">
        <f>VLOOKUP($A61,'SW620_Transcription factor'!$A$3:$N$227,7,FALSE)</f>
        <v>2.4340000000000002</v>
      </c>
      <c r="P61" s="37">
        <f>VLOOKUP($A61,'SW620_Transcription factor'!$A$3:$N$227,11,FALSE)</f>
        <v>0</v>
      </c>
      <c r="Q61" s="37">
        <f>VLOOKUP($A61,'SW620_Transcription factor'!$A$3:$N$227,13,FALSE)</f>
        <v>0</v>
      </c>
    </row>
    <row r="62" spans="1:17" ht="15" customHeight="1">
      <c r="A62" s="8" t="str">
        <f>HYPERLINK("http://portal.genego.com/cgi/entity_page.cgi?term=100&amp;id=28","FOXQ1 (HFH1)")</f>
        <v>FOXQ1 (HFH1)</v>
      </c>
      <c r="B62" s="9">
        <v>5</v>
      </c>
      <c r="C62" s="9">
        <v>1317</v>
      </c>
      <c r="D62" s="9">
        <v>11</v>
      </c>
      <c r="E62" s="9">
        <v>26819</v>
      </c>
      <c r="F62" s="9">
        <v>0.54020000000000001</v>
      </c>
      <c r="G62" s="9">
        <v>9.2560000000000002</v>
      </c>
      <c r="H62" s="9">
        <v>1.021E-4</v>
      </c>
      <c r="I62" s="9">
        <v>6.2240000000000002</v>
      </c>
      <c r="J62" s="10"/>
      <c r="K62" s="14"/>
      <c r="L62" s="12"/>
      <c r="M62" s="14"/>
      <c r="N62" s="12"/>
      <c r="O62" s="36">
        <f>VLOOKUP($A62,'SW620_Transcription factor'!$A$3:$N$227,7,FALSE)</f>
        <v>10.3</v>
      </c>
      <c r="P62" s="37">
        <f>VLOOKUP($A62,'SW620_Transcription factor'!$A$3:$N$227,11,FALSE)</f>
        <v>0</v>
      </c>
      <c r="Q62" s="37">
        <f>VLOOKUP($A62,'SW620_Transcription factor'!$A$3:$N$227,13,FALSE)</f>
        <v>0</v>
      </c>
    </row>
    <row r="63" spans="1:17" ht="15" customHeight="1">
      <c r="A63" s="8" t="str">
        <f>HYPERLINK("http://portal.genego.com/cgi/entity_page.cgi?term=100&amp;id=6101","SMAD5")</f>
        <v>SMAD5</v>
      </c>
      <c r="B63" s="9">
        <v>13</v>
      </c>
      <c r="C63" s="9">
        <v>1317</v>
      </c>
      <c r="D63" s="9">
        <v>78</v>
      </c>
      <c r="E63" s="9">
        <v>26819</v>
      </c>
      <c r="F63" s="9">
        <v>3.83</v>
      </c>
      <c r="G63" s="9">
        <v>3.3940000000000001</v>
      </c>
      <c r="H63" s="9">
        <v>1.021E-4</v>
      </c>
      <c r="I63" s="9">
        <v>4.8120000000000003</v>
      </c>
      <c r="J63" s="10"/>
      <c r="K63" s="14"/>
      <c r="L63" s="12"/>
      <c r="M63" s="14"/>
      <c r="N63" s="12"/>
      <c r="O63" s="36">
        <f>VLOOKUP($A63,'SW620_Transcription factor'!$A$3:$N$227,7,FALSE)</f>
        <v>4.601</v>
      </c>
      <c r="P63" s="37">
        <f>VLOOKUP($A63,'SW620_Transcription factor'!$A$3:$N$227,11,FALSE)</f>
        <v>0</v>
      </c>
      <c r="Q63" s="37">
        <f>VLOOKUP($A63,'SW620_Transcription factor'!$A$3:$N$227,13,FALSE)</f>
        <v>0</v>
      </c>
    </row>
    <row r="64" spans="1:17" ht="15" customHeight="1">
      <c r="A64" s="8" t="str">
        <f>HYPERLINK("http://portal.genego.com/cgi/entity_page.cgi?term=100&amp;id=4517","WT1")</f>
        <v>WT1</v>
      </c>
      <c r="B64" s="9">
        <v>21</v>
      </c>
      <c r="C64" s="9">
        <v>1317</v>
      </c>
      <c r="D64" s="9">
        <v>171</v>
      </c>
      <c r="E64" s="9">
        <v>26819</v>
      </c>
      <c r="F64" s="9">
        <v>8.3970000000000002</v>
      </c>
      <c r="G64" s="9">
        <v>2.5009999999999999</v>
      </c>
      <c r="H64" s="9">
        <v>1.043E-4</v>
      </c>
      <c r="I64" s="9">
        <v>4.4740000000000002</v>
      </c>
      <c r="J64" s="10"/>
      <c r="K64" s="14"/>
      <c r="L64" s="12"/>
      <c r="M64" s="14"/>
      <c r="N64" s="12"/>
      <c r="O64" s="36">
        <f>VLOOKUP($A64,'SW620_Transcription factor'!$A$3:$N$227,7,FALSE)</f>
        <v>2.9820000000000002</v>
      </c>
      <c r="P64" s="37">
        <f>VLOOKUP($A64,'SW620_Transcription factor'!$A$3:$N$227,11,FALSE)</f>
        <v>0</v>
      </c>
      <c r="Q64" s="37">
        <f>VLOOKUP($A64,'SW620_Transcription factor'!$A$3:$N$227,13,FALSE)</f>
        <v>0</v>
      </c>
    </row>
    <row r="65" spans="1:17" ht="15" customHeight="1">
      <c r="A65" s="8" t="str">
        <f>HYPERLINK("http://portal.genego.com/cgi/entity_page.cgi?term=100&amp;id=4361","PU.1")</f>
        <v>PU.1</v>
      </c>
      <c r="B65" s="9">
        <v>37</v>
      </c>
      <c r="C65" s="9">
        <v>1317</v>
      </c>
      <c r="D65" s="9">
        <v>390</v>
      </c>
      <c r="E65" s="9">
        <v>26819</v>
      </c>
      <c r="F65" s="9">
        <v>19.149999999999999</v>
      </c>
      <c r="G65" s="9">
        <v>1.9319999999999999</v>
      </c>
      <c r="H65" s="9">
        <v>1.087E-4</v>
      </c>
      <c r="I65" s="9">
        <v>4.2130000000000001</v>
      </c>
      <c r="J65" s="10"/>
      <c r="K65" s="14"/>
      <c r="L65" s="12"/>
      <c r="M65" s="14"/>
      <c r="N65" s="12"/>
      <c r="O65" s="36">
        <f>VLOOKUP($A65,'SW620_Transcription factor'!$A$3:$N$227,7,FALSE)</f>
        <v>1.6950000000000001</v>
      </c>
      <c r="P65" s="37">
        <f>VLOOKUP($A65,'SW620_Transcription factor'!$A$3:$N$227,11,FALSE)</f>
        <v>0</v>
      </c>
      <c r="Q65" s="37">
        <f>VLOOKUP($A65,'SW620_Transcription factor'!$A$3:$N$227,13,FALSE)</f>
        <v>0</v>
      </c>
    </row>
    <row r="66" spans="1:17" ht="15" customHeight="1">
      <c r="A66" s="8" t="str">
        <f>HYPERLINK("http://portal.genego.com/cgi/entity_page.cgi?term=100&amp;id=611","PPAR-gamma")</f>
        <v>PPAR-gamma</v>
      </c>
      <c r="B66" s="9">
        <v>31</v>
      </c>
      <c r="C66" s="9">
        <v>1317</v>
      </c>
      <c r="D66" s="9">
        <v>305</v>
      </c>
      <c r="E66" s="9">
        <v>26819</v>
      </c>
      <c r="F66" s="9">
        <v>14.98</v>
      </c>
      <c r="G66" s="9">
        <v>2.0699999999999998</v>
      </c>
      <c r="H66" s="9">
        <v>1.115E-4</v>
      </c>
      <c r="I66" s="9">
        <v>4.2699999999999996</v>
      </c>
      <c r="J66" s="10"/>
      <c r="K66" s="14"/>
      <c r="L66" s="12"/>
      <c r="M66" s="14"/>
      <c r="N66" s="12"/>
      <c r="O66" s="36">
        <f>VLOOKUP($A66,'SW620_Transcription factor'!$A$3:$N$227,7,FALSE)</f>
        <v>2.105</v>
      </c>
      <c r="P66" s="37">
        <f>VLOOKUP($A66,'SW620_Transcription factor'!$A$3:$N$227,11,FALSE)</f>
        <v>0</v>
      </c>
      <c r="Q66" s="37">
        <f>VLOOKUP($A66,'SW620_Transcription factor'!$A$3:$N$227,13,FALSE)</f>
        <v>0</v>
      </c>
    </row>
    <row r="67" spans="1:17" ht="15" customHeight="1">
      <c r="A67" s="8" t="str">
        <f>HYPERLINK("http://portal.genego.com/cgi/entity_page.cgi?term=100&amp;id=107","CAR")</f>
        <v>CAR</v>
      </c>
      <c r="B67" s="9">
        <v>7</v>
      </c>
      <c r="C67" s="9">
        <v>1317</v>
      </c>
      <c r="D67" s="9">
        <v>24</v>
      </c>
      <c r="E67" s="9">
        <v>26819</v>
      </c>
      <c r="F67" s="9">
        <v>1.179</v>
      </c>
      <c r="G67" s="9">
        <v>5.9390000000000001</v>
      </c>
      <c r="H67" s="9">
        <v>1.122E-4</v>
      </c>
      <c r="I67" s="9">
        <v>5.5010000000000003</v>
      </c>
      <c r="J67" s="10"/>
      <c r="K67" s="14"/>
      <c r="L67" s="12"/>
      <c r="M67" s="14"/>
      <c r="N67" s="12"/>
      <c r="O67" s="36" t="e">
        <f>VLOOKUP($A67,'SW620_Transcription factor'!$A$3:$N$227,7,FALSE)</f>
        <v>#N/A</v>
      </c>
      <c r="P67" s="37" t="e">
        <f>VLOOKUP($A67,'SW620_Transcription factor'!$A$3:$N$227,11,FALSE)</f>
        <v>#N/A</v>
      </c>
      <c r="Q67" s="37" t="e">
        <f>VLOOKUP($A67,'SW620_Transcription factor'!$A$3:$N$227,13,FALSE)</f>
        <v>#N/A</v>
      </c>
    </row>
    <row r="68" spans="1:17" ht="15" customHeight="1">
      <c r="A68" s="8" t="str">
        <f>HYPERLINK("http://portal.genego.com/cgi/entity_page.cgi?term=100&amp;id=-487577381","FOXP2")</f>
        <v>FOXP2</v>
      </c>
      <c r="B68" s="9">
        <v>23</v>
      </c>
      <c r="C68" s="9">
        <v>1317</v>
      </c>
      <c r="D68" s="9">
        <v>199</v>
      </c>
      <c r="E68" s="9">
        <v>26819</v>
      </c>
      <c r="F68" s="9">
        <v>9.7720000000000002</v>
      </c>
      <c r="G68" s="9">
        <v>2.3540000000000001</v>
      </c>
      <c r="H68" s="9">
        <v>1.273E-4</v>
      </c>
      <c r="I68" s="9">
        <v>4.3550000000000004</v>
      </c>
      <c r="J68" s="10"/>
      <c r="K68" s="14"/>
      <c r="L68" s="12"/>
      <c r="M68" s="14"/>
      <c r="N68" s="12"/>
      <c r="O68" s="36">
        <f>VLOOKUP($A68,'SW620_Transcription factor'!$A$3:$N$227,7,FALSE)</f>
        <v>2.3730000000000002</v>
      </c>
      <c r="P68" s="37">
        <f>VLOOKUP($A68,'SW620_Transcription factor'!$A$3:$N$227,11,FALSE)</f>
        <v>0</v>
      </c>
      <c r="Q68" s="37">
        <f>VLOOKUP($A68,'SW620_Transcription factor'!$A$3:$N$227,13,FALSE)</f>
        <v>0</v>
      </c>
    </row>
    <row r="69" spans="1:17" ht="15" customHeight="1">
      <c r="A69" s="8" t="str">
        <f>HYPERLINK("http://portal.genego.com/cgi/entity_page.cgi?term=100&amp;id=-531883558","E2A")</f>
        <v>E2A</v>
      </c>
      <c r="B69" s="9">
        <v>16</v>
      </c>
      <c r="C69" s="9">
        <v>1317</v>
      </c>
      <c r="D69" s="9">
        <v>113</v>
      </c>
      <c r="E69" s="9">
        <v>26819</v>
      </c>
      <c r="F69" s="9">
        <v>5.5490000000000004</v>
      </c>
      <c r="G69" s="9">
        <v>2.883</v>
      </c>
      <c r="H69" s="9">
        <v>1.2909999999999999E-4</v>
      </c>
      <c r="I69" s="9">
        <v>4.5590000000000002</v>
      </c>
      <c r="J69" s="10"/>
      <c r="K69" s="14"/>
      <c r="L69" s="12"/>
      <c r="M69" s="14"/>
      <c r="N69" s="12"/>
      <c r="O69" s="36" t="e">
        <f>VLOOKUP($A69,'SW620_Transcription factor'!$A$3:$N$227,7,FALSE)</f>
        <v>#N/A</v>
      </c>
      <c r="P69" s="37" t="e">
        <f>VLOOKUP($A69,'SW620_Transcription factor'!$A$3:$N$227,11,FALSE)</f>
        <v>#N/A</v>
      </c>
      <c r="Q69" s="37" t="e">
        <f>VLOOKUP($A69,'SW620_Transcription factor'!$A$3:$N$227,13,FALSE)</f>
        <v>#N/A</v>
      </c>
    </row>
    <row r="70" spans="1:17" ht="15" customHeight="1">
      <c r="A70" s="8" t="str">
        <f>HYPERLINK("http://portal.genego.com/cgi/entity_page.cgi?term=100&amp;id=6409","NRL")</f>
        <v>NRL</v>
      </c>
      <c r="B70" s="9">
        <v>10</v>
      </c>
      <c r="C70" s="9">
        <v>1317</v>
      </c>
      <c r="D70" s="9">
        <v>50</v>
      </c>
      <c r="E70" s="9">
        <v>26819</v>
      </c>
      <c r="F70" s="9">
        <v>2.4550000000000001</v>
      </c>
      <c r="G70" s="9">
        <v>4.0730000000000004</v>
      </c>
      <c r="H70" s="9">
        <v>1.3410000000000001E-4</v>
      </c>
      <c r="I70" s="9">
        <v>4.9420000000000002</v>
      </c>
      <c r="J70" s="10"/>
      <c r="K70" s="14"/>
      <c r="L70" s="12"/>
      <c r="M70" s="14"/>
      <c r="N70" s="12"/>
      <c r="O70" s="36">
        <f>VLOOKUP($A70,'SW620_Transcription factor'!$A$3:$N$227,7,FALSE)</f>
        <v>2.6440000000000001</v>
      </c>
      <c r="P70" s="37">
        <f>VLOOKUP($A70,'SW620_Transcription factor'!$A$3:$N$227,11,FALSE)</f>
        <v>0</v>
      </c>
      <c r="Q70" s="37">
        <f>VLOOKUP($A70,'SW620_Transcription factor'!$A$3:$N$227,13,FALSE)</f>
        <v>0</v>
      </c>
    </row>
    <row r="71" spans="1:17" ht="15" customHeight="1">
      <c r="A71" s="8" t="str">
        <f>HYPERLINK("http://portal.genego.com/cgi/entity_page.cgi?term=100&amp;id=9132","SOX6")</f>
        <v>SOX6</v>
      </c>
      <c r="B71" s="9">
        <v>7</v>
      </c>
      <c r="C71" s="9">
        <v>1317</v>
      </c>
      <c r="D71" s="9">
        <v>25</v>
      </c>
      <c r="E71" s="9">
        <v>26819</v>
      </c>
      <c r="F71" s="9">
        <v>1.228</v>
      </c>
      <c r="G71" s="9">
        <v>5.702</v>
      </c>
      <c r="H71" s="9">
        <v>1.4919999999999999E-4</v>
      </c>
      <c r="I71" s="9">
        <v>5.3449999999999998</v>
      </c>
      <c r="J71" s="10"/>
      <c r="K71" s="14"/>
      <c r="L71" s="12"/>
      <c r="M71" s="14"/>
      <c r="N71" s="12"/>
      <c r="O71" s="36" t="e">
        <f>VLOOKUP($A71,'SW620_Transcription factor'!$A$3:$N$227,7,FALSE)</f>
        <v>#N/A</v>
      </c>
      <c r="P71" s="37" t="e">
        <f>VLOOKUP($A71,'SW620_Transcription factor'!$A$3:$N$227,11,FALSE)</f>
        <v>#N/A</v>
      </c>
      <c r="Q71" s="37" t="e">
        <f>VLOOKUP($A71,'SW620_Transcription factor'!$A$3:$N$227,13,FALSE)</f>
        <v>#N/A</v>
      </c>
    </row>
    <row r="72" spans="1:17" ht="15" customHeight="1">
      <c r="A72" s="8" t="str">
        <f>HYPERLINK("http://portal.genego.com/cgi/entity_page.cgi?term=100&amp;id=-2007163176","KLF4")</f>
        <v>KLF4</v>
      </c>
      <c r="B72" s="9">
        <v>31</v>
      </c>
      <c r="C72" s="9">
        <v>1317</v>
      </c>
      <c r="D72" s="9">
        <v>310</v>
      </c>
      <c r="E72" s="9">
        <v>26819</v>
      </c>
      <c r="F72" s="9">
        <v>15.22</v>
      </c>
      <c r="G72" s="9">
        <v>2.036</v>
      </c>
      <c r="H72" s="9">
        <v>1.4980000000000001E-4</v>
      </c>
      <c r="I72" s="9">
        <v>4.1710000000000003</v>
      </c>
      <c r="J72" s="10"/>
      <c r="K72" s="14"/>
      <c r="L72" s="12"/>
      <c r="M72" s="14"/>
      <c r="N72" s="12"/>
      <c r="O72" s="36">
        <f>VLOOKUP($A72,'SW620_Transcription factor'!$A$3:$N$227,7,FALSE)</f>
        <v>2.62</v>
      </c>
      <c r="P72" s="37">
        <f>VLOOKUP($A72,'SW620_Transcription factor'!$A$3:$N$227,11,FALSE)</f>
        <v>0</v>
      </c>
      <c r="Q72" s="37">
        <f>VLOOKUP($A72,'SW620_Transcription factor'!$A$3:$N$227,13,FALSE)</f>
        <v>0</v>
      </c>
    </row>
    <row r="73" spans="1:17" ht="15" customHeight="1">
      <c r="A73" s="8" t="str">
        <f>HYPERLINK("http://portal.genego.com/cgi/entity_page.cgi?term=100&amp;id=2940","ETS2")</f>
        <v>ETS2</v>
      </c>
      <c r="B73" s="9">
        <v>17</v>
      </c>
      <c r="C73" s="9">
        <v>1317</v>
      </c>
      <c r="D73" s="9">
        <v>127</v>
      </c>
      <c r="E73" s="9">
        <v>26819</v>
      </c>
      <c r="F73" s="9">
        <v>6.2370000000000001</v>
      </c>
      <c r="G73" s="9">
        <v>2.726</v>
      </c>
      <c r="H73" s="9">
        <v>1.627E-4</v>
      </c>
      <c r="I73" s="9">
        <v>4.43</v>
      </c>
      <c r="J73" s="10"/>
      <c r="K73" s="14"/>
      <c r="L73" s="12"/>
      <c r="M73" s="14"/>
      <c r="N73" s="12"/>
      <c r="O73" s="36">
        <f>VLOOKUP($A73,'SW620_Transcription factor'!$A$3:$N$227,7,FALSE)</f>
        <v>3.1230000000000002</v>
      </c>
      <c r="P73" s="37">
        <f>VLOOKUP($A73,'SW620_Transcription factor'!$A$3:$N$227,11,FALSE)</f>
        <v>0</v>
      </c>
      <c r="Q73" s="37">
        <f>VLOOKUP($A73,'SW620_Transcription factor'!$A$3:$N$227,13,FALSE)</f>
        <v>0</v>
      </c>
    </row>
    <row r="74" spans="1:17" ht="15" customHeight="1">
      <c r="A74" s="8" t="str">
        <f>HYPERLINK("http://portal.genego.com/cgi/entity_page.cgi?term=100&amp;id=620","PXR")</f>
        <v>PXR</v>
      </c>
      <c r="B74" s="9">
        <v>9</v>
      </c>
      <c r="C74" s="9">
        <v>1317</v>
      </c>
      <c r="D74" s="9">
        <v>42</v>
      </c>
      <c r="E74" s="9">
        <v>26819</v>
      </c>
      <c r="F74" s="9">
        <v>2.0619999999999998</v>
      </c>
      <c r="G74" s="9">
        <v>4.3639999999999999</v>
      </c>
      <c r="H74" s="9">
        <v>1.6579999999999999E-4</v>
      </c>
      <c r="I74" s="9">
        <v>4.9580000000000002</v>
      </c>
      <c r="J74" s="10"/>
      <c r="K74" s="14"/>
      <c r="L74" s="12"/>
      <c r="M74" s="14"/>
      <c r="N74" s="12"/>
      <c r="O74" s="36">
        <f>VLOOKUP($A74,'SW620_Transcription factor'!$A$3:$N$227,7,FALSE)</f>
        <v>3.1480000000000001</v>
      </c>
      <c r="P74" s="37">
        <f>VLOOKUP($A74,'SW620_Transcription factor'!$A$3:$N$227,11,FALSE)</f>
        <v>0</v>
      </c>
      <c r="Q74" s="37">
        <f>VLOOKUP($A74,'SW620_Transcription factor'!$A$3:$N$227,13,FALSE)</f>
        <v>0</v>
      </c>
    </row>
    <row r="75" spans="1:17" ht="15" customHeight="1">
      <c r="A75" s="8" t="str">
        <f>HYPERLINK("http://portal.genego.com/cgi/entity_page.cgi?term=100&amp;id=2832","NRF2")</f>
        <v>NRF2</v>
      </c>
      <c r="B75" s="9">
        <v>21</v>
      </c>
      <c r="C75" s="9">
        <v>1317</v>
      </c>
      <c r="D75" s="9">
        <v>177</v>
      </c>
      <c r="E75" s="9">
        <v>26819</v>
      </c>
      <c r="F75" s="9">
        <v>8.6920000000000002</v>
      </c>
      <c r="G75" s="9">
        <v>2.4159999999999999</v>
      </c>
      <c r="H75" s="9">
        <v>1.7039999999999999E-4</v>
      </c>
      <c r="I75" s="9">
        <v>4.2949999999999999</v>
      </c>
      <c r="J75" s="10"/>
      <c r="K75" s="14"/>
      <c r="L75" s="12"/>
      <c r="M75" s="14"/>
      <c r="N75" s="12"/>
      <c r="O75" s="36">
        <f>VLOOKUP($A75,'SW620_Transcription factor'!$A$3:$N$227,7,FALSE)</f>
        <v>2.0270000000000001</v>
      </c>
      <c r="P75" s="37">
        <f>VLOOKUP($A75,'SW620_Transcription factor'!$A$3:$N$227,11,FALSE)</f>
        <v>0</v>
      </c>
      <c r="Q75" s="37">
        <f>VLOOKUP($A75,'SW620_Transcription factor'!$A$3:$N$227,13,FALSE)</f>
        <v>0</v>
      </c>
    </row>
    <row r="76" spans="1:17" ht="15" customHeight="1">
      <c r="A76" s="8" t="str">
        <f>HYPERLINK("http://portal.genego.com/cgi/entity_page.cgi?term=100&amp;id=4333","HNF3-beta")</f>
        <v>HNF3-beta</v>
      </c>
      <c r="B76" s="9">
        <v>29</v>
      </c>
      <c r="C76" s="9">
        <v>1317</v>
      </c>
      <c r="D76" s="9">
        <v>288</v>
      </c>
      <c r="E76" s="9">
        <v>26819</v>
      </c>
      <c r="F76" s="9">
        <v>14.14</v>
      </c>
      <c r="G76" s="9">
        <v>2.0510000000000002</v>
      </c>
      <c r="H76" s="9">
        <v>2.143E-4</v>
      </c>
      <c r="I76" s="9">
        <v>4.0730000000000004</v>
      </c>
      <c r="J76" s="10"/>
      <c r="K76" s="14"/>
      <c r="L76" s="12"/>
      <c r="M76" s="14"/>
      <c r="N76" s="12"/>
      <c r="O76" s="36">
        <f>VLOOKUP($A76,'SW620_Transcription factor'!$A$3:$N$227,7,FALSE)</f>
        <v>2.754</v>
      </c>
      <c r="P76" s="37">
        <f>VLOOKUP($A76,'SW620_Transcription factor'!$A$3:$N$227,11,FALSE)</f>
        <v>0</v>
      </c>
      <c r="Q76" s="37">
        <f>VLOOKUP($A76,'SW620_Transcription factor'!$A$3:$N$227,13,FALSE)</f>
        <v>0</v>
      </c>
    </row>
    <row r="77" spans="1:17" ht="15" customHeight="1">
      <c r="A77" s="8" t="str">
        <f>HYPERLINK("http://portal.genego.com/cgi/entity_page.cgi?term=100&amp;id=2846","JunB")</f>
        <v>JunB</v>
      </c>
      <c r="B77" s="9">
        <v>17</v>
      </c>
      <c r="C77" s="9">
        <v>1317</v>
      </c>
      <c r="D77" s="9">
        <v>130</v>
      </c>
      <c r="E77" s="9">
        <v>26819</v>
      </c>
      <c r="F77" s="9">
        <v>6.3840000000000003</v>
      </c>
      <c r="G77" s="9">
        <v>2.6629999999999998</v>
      </c>
      <c r="H77" s="9">
        <v>2.165E-4</v>
      </c>
      <c r="I77" s="9">
        <v>4.319</v>
      </c>
      <c r="J77" s="10"/>
      <c r="K77" s="14"/>
      <c r="L77" s="12"/>
      <c r="M77" s="14"/>
      <c r="N77" s="12"/>
      <c r="O77" s="36">
        <f>VLOOKUP($A77,'SW620_Transcription factor'!$A$3:$N$227,7,FALSE)</f>
        <v>2.0339999999999998</v>
      </c>
      <c r="P77" s="37">
        <f>VLOOKUP($A77,'SW620_Transcription factor'!$A$3:$N$227,11,FALSE)</f>
        <v>0</v>
      </c>
      <c r="Q77" s="37">
        <f>VLOOKUP($A77,'SW620_Transcription factor'!$A$3:$N$227,13,FALSE)</f>
        <v>0</v>
      </c>
    </row>
    <row r="78" spans="1:17" ht="15" customHeight="1">
      <c r="A78" s="8" t="str">
        <f>HYPERLINK("http://portal.genego.com/cgi/entity_page.cgi?term=100&amp;id=4334","ERG")</f>
        <v>ERG</v>
      </c>
      <c r="B78" s="9">
        <v>14</v>
      </c>
      <c r="C78" s="9">
        <v>1317</v>
      </c>
      <c r="D78" s="9">
        <v>97</v>
      </c>
      <c r="E78" s="9">
        <v>26819</v>
      </c>
      <c r="F78" s="9">
        <v>4.7629999999999999</v>
      </c>
      <c r="G78" s="9">
        <v>2.9390000000000001</v>
      </c>
      <c r="H78" s="9">
        <v>2.7240000000000001E-4</v>
      </c>
      <c r="I78" s="9">
        <v>4.3479999999999999</v>
      </c>
      <c r="J78" s="10"/>
      <c r="K78" s="14"/>
      <c r="L78" s="12"/>
      <c r="M78" s="14"/>
      <c r="N78" s="12"/>
      <c r="O78" s="36">
        <f>VLOOKUP($A78,'SW620_Transcription factor'!$A$3:$N$227,7,FALSE)</f>
        <v>3.5049999999999999</v>
      </c>
      <c r="P78" s="37">
        <f>VLOOKUP($A78,'SW620_Transcription factor'!$A$3:$N$227,11,FALSE)</f>
        <v>0</v>
      </c>
      <c r="Q78" s="37">
        <f>VLOOKUP($A78,'SW620_Transcription factor'!$A$3:$N$227,13,FALSE)</f>
        <v>0</v>
      </c>
    </row>
    <row r="79" spans="1:17" ht="15" customHeight="1">
      <c r="A79" s="8" t="str">
        <f>HYPERLINK("http://portal.genego.com/cgi/entity_page.cgi?term=100&amp;id=-689197755","NF-kB1 (p50)")</f>
        <v>NF-kB1 (p50)</v>
      </c>
      <c r="B79" s="9">
        <v>40</v>
      </c>
      <c r="C79" s="9">
        <v>1317</v>
      </c>
      <c r="D79" s="9">
        <v>457</v>
      </c>
      <c r="E79" s="9">
        <v>26819</v>
      </c>
      <c r="F79" s="9">
        <v>22.44</v>
      </c>
      <c r="G79" s="9">
        <v>1.782</v>
      </c>
      <c r="H79" s="9">
        <v>3.2000000000000003E-4</v>
      </c>
      <c r="I79" s="9">
        <v>3.8340000000000001</v>
      </c>
      <c r="J79" s="10"/>
      <c r="K79" s="14"/>
      <c r="L79" s="12"/>
      <c r="M79" s="14"/>
      <c r="N79" s="12"/>
      <c r="O79" s="36">
        <f>VLOOKUP($A79,'SW620_Transcription factor'!$A$3:$N$227,7,FALSE)</f>
        <v>1.901</v>
      </c>
      <c r="P79" s="37">
        <f>VLOOKUP($A79,'SW620_Transcription factor'!$A$3:$N$227,11,FALSE)</f>
        <v>-0.75210730000000003</v>
      </c>
      <c r="Q79" s="37">
        <f>VLOOKUP($A79,'SW620_Transcription factor'!$A$3:$N$227,13,FALSE)</f>
        <v>-1.0414327000000001</v>
      </c>
    </row>
    <row r="80" spans="1:17" ht="15" customHeight="1">
      <c r="A80" s="8" t="str">
        <f>HYPERLINK("http://portal.genego.com/cgi/entity_page.cgi?term=100&amp;id=-1099419423","DBP")</f>
        <v>DBP</v>
      </c>
      <c r="B80" s="9">
        <v>35</v>
      </c>
      <c r="C80" s="9">
        <v>1317</v>
      </c>
      <c r="D80" s="9">
        <v>387</v>
      </c>
      <c r="E80" s="9">
        <v>26819</v>
      </c>
      <c r="F80" s="9">
        <v>19</v>
      </c>
      <c r="G80" s="9">
        <v>1.8420000000000001</v>
      </c>
      <c r="H80" s="9">
        <v>4.059E-4</v>
      </c>
      <c r="I80" s="9">
        <v>3.79</v>
      </c>
      <c r="J80" s="10"/>
      <c r="K80" s="14"/>
      <c r="L80" s="12"/>
      <c r="M80" s="14"/>
      <c r="N80" s="12"/>
      <c r="O80" s="36">
        <f>VLOOKUP($A80,'SW620_Transcription factor'!$A$3:$N$227,7,FALSE)</f>
        <v>1.5129999999999999</v>
      </c>
      <c r="P80" s="37">
        <f>VLOOKUP($A80,'SW620_Transcription factor'!$A$3:$N$227,11,FALSE)</f>
        <v>0</v>
      </c>
      <c r="Q80" s="37">
        <f>VLOOKUP($A80,'SW620_Transcription factor'!$A$3:$N$227,13,FALSE)</f>
        <v>0</v>
      </c>
    </row>
    <row r="81" spans="1:17" ht="15" customHeight="1">
      <c r="A81" s="8" t="str">
        <f>HYPERLINK("http://portal.genego.com/cgi/entity_page.cgi?term=100&amp;id=6018","HNF4-alpha")</f>
        <v>HNF4-alpha</v>
      </c>
      <c r="B81" s="9">
        <v>43</v>
      </c>
      <c r="C81" s="9">
        <v>1317</v>
      </c>
      <c r="D81" s="9">
        <v>510</v>
      </c>
      <c r="E81" s="9">
        <v>26819</v>
      </c>
      <c r="F81" s="9">
        <v>25.04</v>
      </c>
      <c r="G81" s="9">
        <v>1.7170000000000001</v>
      </c>
      <c r="H81" s="9">
        <v>4.306E-4</v>
      </c>
      <c r="I81" s="9">
        <v>3.7149999999999999</v>
      </c>
      <c r="J81" s="10"/>
      <c r="K81" s="14"/>
      <c r="L81" s="12"/>
      <c r="M81" s="14"/>
      <c r="N81" s="12"/>
      <c r="O81" s="36">
        <f>VLOOKUP($A81,'SW620_Transcription factor'!$A$3:$N$227,7,FALSE)</f>
        <v>1.889</v>
      </c>
      <c r="P81" s="37">
        <f>VLOOKUP($A81,'SW620_Transcription factor'!$A$3:$N$227,11,FALSE)</f>
        <v>0</v>
      </c>
      <c r="Q81" s="37">
        <f>VLOOKUP($A81,'SW620_Transcription factor'!$A$3:$N$227,13,FALSE)</f>
        <v>0</v>
      </c>
    </row>
    <row r="82" spans="1:17" ht="15" customHeight="1">
      <c r="A82" s="8" t="str">
        <f>HYPERLINK("http://portal.genego.com/cgi/entity_page.cgi?term=100&amp;id=6047","CDX1")</f>
        <v>CDX1</v>
      </c>
      <c r="B82" s="9">
        <v>8</v>
      </c>
      <c r="C82" s="9">
        <v>1317</v>
      </c>
      <c r="D82" s="9">
        <v>38</v>
      </c>
      <c r="E82" s="9">
        <v>26819</v>
      </c>
      <c r="F82" s="9">
        <v>1.8660000000000001</v>
      </c>
      <c r="G82" s="9">
        <v>4.2869999999999999</v>
      </c>
      <c r="H82" s="9">
        <v>4.3310000000000001E-4</v>
      </c>
      <c r="I82" s="9">
        <v>4.6079999999999997</v>
      </c>
      <c r="J82" s="10" t="s">
        <v>55</v>
      </c>
      <c r="K82" s="38">
        <v>2.0159468999999999</v>
      </c>
      <c r="L82" s="12">
        <v>2.124199E-4</v>
      </c>
      <c r="M82" s="38">
        <v>2.0948148</v>
      </c>
      <c r="N82" s="12">
        <v>2.124199E-4</v>
      </c>
      <c r="O82" s="36">
        <f>VLOOKUP($A82,'SW620_Transcription factor'!$A$3:$N$227,7,FALSE)</f>
        <v>2.9820000000000002</v>
      </c>
      <c r="P82" s="37">
        <f>VLOOKUP($A82,'SW620_Transcription factor'!$A$3:$N$227,11,FALSE)</f>
        <v>0</v>
      </c>
      <c r="Q82" s="37">
        <f>VLOOKUP($A82,'SW620_Transcription factor'!$A$3:$N$227,13,FALSE)</f>
        <v>0</v>
      </c>
    </row>
    <row r="83" spans="1:17" ht="15" customHeight="1">
      <c r="A83" s="8" t="str">
        <f>HYPERLINK("http://portal.genego.com/cgi/entity_page.cgi?term=100&amp;id=4231","RARgamma")</f>
        <v>RARgamma</v>
      </c>
      <c r="B83" s="9">
        <v>11</v>
      </c>
      <c r="C83" s="9">
        <v>1317</v>
      </c>
      <c r="D83" s="9">
        <v>68</v>
      </c>
      <c r="E83" s="9">
        <v>26819</v>
      </c>
      <c r="F83" s="9">
        <v>3.339</v>
      </c>
      <c r="G83" s="9">
        <v>3.294</v>
      </c>
      <c r="H83" s="9">
        <v>4.4739999999999998E-4</v>
      </c>
      <c r="I83" s="9">
        <v>4.3040000000000003</v>
      </c>
      <c r="J83" s="10"/>
      <c r="K83" s="14"/>
      <c r="L83" s="12"/>
      <c r="M83" s="14"/>
      <c r="N83" s="12"/>
      <c r="O83" s="36" t="e">
        <f>VLOOKUP($A83,'SW620_Transcription factor'!$A$3:$N$227,7,FALSE)</f>
        <v>#N/A</v>
      </c>
      <c r="P83" s="37" t="e">
        <f>VLOOKUP($A83,'SW620_Transcription factor'!$A$3:$N$227,11,FALSE)</f>
        <v>#N/A</v>
      </c>
      <c r="Q83" s="37" t="e">
        <f>VLOOKUP($A83,'SW620_Transcription factor'!$A$3:$N$227,13,FALSE)</f>
        <v>#N/A</v>
      </c>
    </row>
    <row r="84" spans="1:17" ht="15" customHeight="1">
      <c r="A84" s="8" t="str">
        <f>HYPERLINK("http://portal.genego.com/cgi/entity_page.cgi?term=100&amp;id=6395","HOXB8")</f>
        <v>HOXB8</v>
      </c>
      <c r="B84" s="9">
        <v>3</v>
      </c>
      <c r="C84" s="9">
        <v>1317</v>
      </c>
      <c r="D84" s="9">
        <v>4</v>
      </c>
      <c r="E84" s="9">
        <v>26819</v>
      </c>
      <c r="F84" s="9">
        <v>0.19639999999999999</v>
      </c>
      <c r="G84" s="9">
        <v>15.27</v>
      </c>
      <c r="H84" s="9">
        <v>4.5530000000000001E-4</v>
      </c>
      <c r="I84" s="9">
        <v>6.4870000000000001</v>
      </c>
      <c r="J84" s="10"/>
      <c r="K84" s="14"/>
      <c r="L84" s="12"/>
      <c r="M84" s="14"/>
      <c r="N84" s="12"/>
      <c r="O84" s="36">
        <f>VLOOKUP($A84,'SW620_Transcription factor'!$A$3:$N$227,7,FALSE)</f>
        <v>14.16</v>
      </c>
      <c r="P84" s="37">
        <f>VLOOKUP($A84,'SW620_Transcription factor'!$A$3:$N$227,11,FALSE)</f>
        <v>0</v>
      </c>
      <c r="Q84" s="37">
        <f>VLOOKUP($A84,'SW620_Transcription factor'!$A$3:$N$227,13,FALSE)</f>
        <v>0</v>
      </c>
    </row>
    <row r="85" spans="1:17" ht="15" customHeight="1">
      <c r="A85" s="8" t="str">
        <f>HYPERLINK("http://portal.genego.com/cgi/entity_page.cgi?term=100&amp;id=-1174093800","Scleraxis")</f>
        <v>Scleraxis</v>
      </c>
      <c r="B85" s="9">
        <v>3</v>
      </c>
      <c r="C85" s="9">
        <v>1317</v>
      </c>
      <c r="D85" s="9">
        <v>4</v>
      </c>
      <c r="E85" s="9">
        <v>26819</v>
      </c>
      <c r="F85" s="9">
        <v>0.19639999999999999</v>
      </c>
      <c r="G85" s="9">
        <v>15.27</v>
      </c>
      <c r="H85" s="9">
        <v>4.5530000000000001E-4</v>
      </c>
      <c r="I85" s="9">
        <v>6.4870000000000001</v>
      </c>
      <c r="J85" s="10"/>
      <c r="K85" s="14"/>
      <c r="L85" s="12"/>
      <c r="M85" s="14"/>
      <c r="N85" s="12"/>
      <c r="O85" s="36">
        <f>VLOOKUP($A85,'SW620_Transcription factor'!$A$3:$N$227,7,FALSE)</f>
        <v>9.4429999999999996</v>
      </c>
      <c r="P85" s="37">
        <f>VLOOKUP($A85,'SW620_Transcription factor'!$A$3:$N$227,11,FALSE)</f>
        <v>0</v>
      </c>
      <c r="Q85" s="37">
        <f>VLOOKUP($A85,'SW620_Transcription factor'!$A$3:$N$227,13,FALSE)</f>
        <v>0</v>
      </c>
    </row>
    <row r="86" spans="1:17" ht="15" customHeight="1">
      <c r="A86" s="8" t="str">
        <f>HYPERLINK("http://portal.genego.com/cgi/entity_page.cgi?term=100&amp;id=-1808558929","TR-beta1")</f>
        <v>TR-beta1</v>
      </c>
      <c r="B86" s="9">
        <v>18</v>
      </c>
      <c r="C86" s="9">
        <v>1317</v>
      </c>
      <c r="D86" s="9">
        <v>151</v>
      </c>
      <c r="E86" s="9">
        <v>26819</v>
      </c>
      <c r="F86" s="9">
        <v>7.415</v>
      </c>
      <c r="G86" s="9">
        <v>2.427</v>
      </c>
      <c r="H86" s="9">
        <v>4.5540000000000001E-4</v>
      </c>
      <c r="I86" s="9">
        <v>3.9969999999999999</v>
      </c>
      <c r="J86" s="10"/>
      <c r="K86" s="14"/>
      <c r="L86" s="12"/>
      <c r="M86" s="14"/>
      <c r="N86" s="12"/>
      <c r="O86" s="36">
        <f>VLOOKUP($A86,'SW620_Transcription factor'!$A$3:$N$227,7,FALSE)</f>
        <v>2.0009999999999999</v>
      </c>
      <c r="P86" s="37">
        <f>VLOOKUP($A86,'SW620_Transcription factor'!$A$3:$N$227,11,FALSE)</f>
        <v>0</v>
      </c>
      <c r="Q86" s="37">
        <f>VLOOKUP($A86,'SW620_Transcription factor'!$A$3:$N$227,13,FALSE)</f>
        <v>0</v>
      </c>
    </row>
    <row r="87" spans="1:17" ht="15" customHeight="1">
      <c r="A87" s="8" t="str">
        <f>HYPERLINK("http://portal.genego.com/cgi/entity_page.cgi?term=100&amp;id=4159","TFII-I")</f>
        <v>TFII-I</v>
      </c>
      <c r="B87" s="9">
        <v>14</v>
      </c>
      <c r="C87" s="9">
        <v>1317</v>
      </c>
      <c r="D87" s="9">
        <v>103</v>
      </c>
      <c r="E87" s="9">
        <v>26819</v>
      </c>
      <c r="F87" s="9">
        <v>5.0579999999999998</v>
      </c>
      <c r="G87" s="9">
        <v>2.7679999999999998</v>
      </c>
      <c r="H87" s="9">
        <v>5.1029999999999999E-4</v>
      </c>
      <c r="I87" s="9">
        <v>4.085</v>
      </c>
      <c r="J87" s="10"/>
      <c r="K87" s="14"/>
      <c r="L87" s="12"/>
      <c r="M87" s="14"/>
      <c r="N87" s="12"/>
      <c r="O87" s="36" t="e">
        <f>VLOOKUP($A87,'SW620_Transcription factor'!$A$3:$N$227,7,FALSE)</f>
        <v>#N/A</v>
      </c>
      <c r="P87" s="37" t="e">
        <f>VLOOKUP($A87,'SW620_Transcription factor'!$A$3:$N$227,11,FALSE)</f>
        <v>#N/A</v>
      </c>
      <c r="Q87" s="37" t="e">
        <f>VLOOKUP($A87,'SW620_Transcription factor'!$A$3:$N$227,13,FALSE)</f>
        <v>#N/A</v>
      </c>
    </row>
    <row r="88" spans="1:17" ht="15" customHeight="1">
      <c r="A88" s="8" t="str">
        <f>HYPERLINK("http://portal.genego.com/cgi/entity_page.cgi?term=100&amp;id=749","TBP")</f>
        <v>TBP</v>
      </c>
      <c r="B88" s="9">
        <v>15</v>
      </c>
      <c r="C88" s="9">
        <v>1317</v>
      </c>
      <c r="D88" s="9">
        <v>115</v>
      </c>
      <c r="E88" s="9">
        <v>26819</v>
      </c>
      <c r="F88" s="9">
        <v>5.6470000000000002</v>
      </c>
      <c r="G88" s="9">
        <v>2.6560000000000001</v>
      </c>
      <c r="H88" s="9">
        <v>5.1159999999999997E-4</v>
      </c>
      <c r="I88" s="9">
        <v>4.0449999999999999</v>
      </c>
      <c r="J88" s="10"/>
      <c r="K88" s="14"/>
      <c r="L88" s="12"/>
      <c r="M88" s="14"/>
      <c r="N88" s="12"/>
      <c r="O88" s="36">
        <f>VLOOKUP($A88,'SW620_Transcription factor'!$A$3:$N$227,7,FALSE)</f>
        <v>2.2989999999999999</v>
      </c>
      <c r="P88" s="37">
        <f>VLOOKUP($A88,'SW620_Transcription factor'!$A$3:$N$227,11,FALSE)</f>
        <v>0</v>
      </c>
      <c r="Q88" s="37">
        <f>VLOOKUP($A88,'SW620_Transcription factor'!$A$3:$N$227,13,FALSE)</f>
        <v>0</v>
      </c>
    </row>
    <row r="89" spans="1:17" ht="15" customHeight="1">
      <c r="A89" s="8" t="str">
        <f>HYPERLINK("http://portal.genego.com/cgi/entity_page.cgi?term=100&amp;id=6283","HEY2")</f>
        <v>HEY2</v>
      </c>
      <c r="B89" s="9">
        <v>6</v>
      </c>
      <c r="C89" s="9">
        <v>1317</v>
      </c>
      <c r="D89" s="9">
        <v>22</v>
      </c>
      <c r="E89" s="9">
        <v>26819</v>
      </c>
      <c r="F89" s="9">
        <v>1.08</v>
      </c>
      <c r="G89" s="9">
        <v>5.5540000000000003</v>
      </c>
      <c r="H89" s="9">
        <v>5.243E-4</v>
      </c>
      <c r="I89" s="9">
        <v>4.8559999999999999</v>
      </c>
      <c r="J89" s="10"/>
      <c r="K89" s="14"/>
      <c r="L89" s="12"/>
      <c r="M89" s="14"/>
      <c r="N89" s="12"/>
      <c r="O89" s="36">
        <f>VLOOKUP($A89,'SW620_Transcription factor'!$A$3:$N$227,7,FALSE)</f>
        <v>5.1509999999999998</v>
      </c>
      <c r="P89" s="37">
        <f>VLOOKUP($A89,'SW620_Transcription factor'!$A$3:$N$227,11,FALSE)</f>
        <v>0</v>
      </c>
      <c r="Q89" s="37">
        <f>VLOOKUP($A89,'SW620_Transcription factor'!$A$3:$N$227,13,FALSE)</f>
        <v>0</v>
      </c>
    </row>
    <row r="90" spans="1:17" ht="15" customHeight="1">
      <c r="A90" s="8" t="str">
        <f>HYPERLINK("http://portal.genego.com/cgi/entity_page.cgi?term=100&amp;id=4325","Oct-1")</f>
        <v>Oct-1</v>
      </c>
      <c r="B90" s="9">
        <v>20</v>
      </c>
      <c r="C90" s="9">
        <v>1317</v>
      </c>
      <c r="D90" s="9">
        <v>180</v>
      </c>
      <c r="E90" s="9">
        <v>26819</v>
      </c>
      <c r="F90" s="9">
        <v>8.8390000000000004</v>
      </c>
      <c r="G90" s="9">
        <v>2.2629999999999999</v>
      </c>
      <c r="H90" s="9">
        <v>5.6930000000000001E-4</v>
      </c>
      <c r="I90" s="9">
        <v>3.863</v>
      </c>
      <c r="J90" s="10"/>
      <c r="K90" s="14"/>
      <c r="L90" s="12"/>
      <c r="M90" s="14"/>
      <c r="N90" s="12"/>
      <c r="O90" s="36">
        <f>VLOOKUP($A90,'SW620_Transcription factor'!$A$3:$N$227,7,FALSE)</f>
        <v>2.2029999999999998</v>
      </c>
      <c r="P90" s="37">
        <f>VLOOKUP($A90,'SW620_Transcription factor'!$A$3:$N$227,11,FALSE)</f>
        <v>0</v>
      </c>
      <c r="Q90" s="37">
        <f>VLOOKUP($A90,'SW620_Transcription factor'!$A$3:$N$227,13,FALSE)</f>
        <v>0</v>
      </c>
    </row>
    <row r="91" spans="1:17" ht="15" customHeight="1">
      <c r="A91" s="8" t="str">
        <f>HYPERLINK("http://portal.genego.com/cgi/entity_page.cgi?term=100&amp;id=-1031526803","cKrox")</f>
        <v>cKrox</v>
      </c>
      <c r="B91" s="9">
        <v>4</v>
      </c>
      <c r="C91" s="9">
        <v>1317</v>
      </c>
      <c r="D91" s="9">
        <v>9</v>
      </c>
      <c r="E91" s="9">
        <v>26819</v>
      </c>
      <c r="F91" s="9">
        <v>0.442</v>
      </c>
      <c r="G91" s="9">
        <v>9.0510000000000002</v>
      </c>
      <c r="H91" s="9">
        <v>5.978E-4</v>
      </c>
      <c r="I91" s="9">
        <v>5.4889999999999999</v>
      </c>
      <c r="J91" s="10"/>
      <c r="K91" s="14"/>
      <c r="L91" s="12"/>
      <c r="M91" s="14"/>
      <c r="N91" s="12"/>
      <c r="O91" s="36">
        <f>VLOOKUP($A91,'SW620_Transcription factor'!$A$3:$N$227,7,FALSE)</f>
        <v>6.2960000000000003</v>
      </c>
      <c r="P91" s="37">
        <f>VLOOKUP($A91,'SW620_Transcription factor'!$A$3:$N$227,11,FALSE)</f>
        <v>0</v>
      </c>
      <c r="Q91" s="37">
        <f>VLOOKUP($A91,'SW620_Transcription factor'!$A$3:$N$227,13,FALSE)</f>
        <v>0</v>
      </c>
    </row>
    <row r="92" spans="1:17" ht="15" customHeight="1">
      <c r="A92" s="8" t="str">
        <f>HYPERLINK("http://portal.genego.com/cgi/entity_page.cgi?term=100&amp;id=2905","ChREBP")</f>
        <v>ChREBP</v>
      </c>
      <c r="B92" s="9">
        <v>11</v>
      </c>
      <c r="C92" s="9">
        <v>1317</v>
      </c>
      <c r="D92" s="9">
        <v>71</v>
      </c>
      <c r="E92" s="9">
        <v>26819</v>
      </c>
      <c r="F92" s="9">
        <v>3.4870000000000001</v>
      </c>
      <c r="G92" s="9">
        <v>3.1549999999999998</v>
      </c>
      <c r="H92" s="9">
        <v>6.535E-4</v>
      </c>
      <c r="I92" s="9">
        <v>4.1319999999999997</v>
      </c>
      <c r="J92" s="10"/>
      <c r="K92" s="14"/>
      <c r="L92" s="12"/>
      <c r="M92" s="14"/>
      <c r="N92" s="12"/>
      <c r="O92" s="36">
        <f>VLOOKUP($A92,'SW620_Transcription factor'!$A$3:$N$227,7,FALSE)</f>
        <v>2.3940000000000001</v>
      </c>
      <c r="P92" s="37">
        <f>VLOOKUP($A92,'SW620_Transcription factor'!$A$3:$N$227,11,FALSE)</f>
        <v>0</v>
      </c>
      <c r="Q92" s="37">
        <f>VLOOKUP($A92,'SW620_Transcription factor'!$A$3:$N$227,13,FALSE)</f>
        <v>0</v>
      </c>
    </row>
    <row r="93" spans="1:17" ht="15" customHeight="1">
      <c r="A93" s="8" t="str">
        <f>HYPERLINK("http://portal.genego.com/cgi/entity_page.cgi?term=100&amp;id=-523566610","KLF6")</f>
        <v>KLF6</v>
      </c>
      <c r="B93" s="9">
        <v>9</v>
      </c>
      <c r="C93" s="9">
        <v>1317</v>
      </c>
      <c r="D93" s="9">
        <v>50</v>
      </c>
      <c r="E93" s="9">
        <v>26819</v>
      </c>
      <c r="F93" s="9">
        <v>2.4550000000000001</v>
      </c>
      <c r="G93" s="9">
        <v>3.665</v>
      </c>
      <c r="H93" s="9">
        <v>6.5479999999999998E-4</v>
      </c>
      <c r="I93" s="9">
        <v>4.2869999999999999</v>
      </c>
      <c r="J93" s="10"/>
      <c r="K93" s="14"/>
      <c r="L93" s="12"/>
      <c r="M93" s="14"/>
      <c r="N93" s="12"/>
      <c r="O93" s="36">
        <f>VLOOKUP($A93,'SW620_Transcription factor'!$A$3:$N$227,7,FALSE)</f>
        <v>3.4</v>
      </c>
      <c r="P93" s="37">
        <f>VLOOKUP($A93,'SW620_Transcription factor'!$A$3:$N$227,11,FALSE)</f>
        <v>1.3463577</v>
      </c>
      <c r="Q93" s="37">
        <f>VLOOKUP($A93,'SW620_Transcription factor'!$A$3:$N$227,13,FALSE)</f>
        <v>1.4527615</v>
      </c>
    </row>
    <row r="94" spans="1:17" ht="15" customHeight="1">
      <c r="A94" s="8" t="str">
        <f>HYPERLINK("http://portal.genego.com/cgi/entity_page.cgi?term=100&amp;id=4319","IRF8")</f>
        <v>IRF8</v>
      </c>
      <c r="B94" s="9">
        <v>25</v>
      </c>
      <c r="C94" s="9">
        <v>1317</v>
      </c>
      <c r="D94" s="9">
        <v>251</v>
      </c>
      <c r="E94" s="9">
        <v>26819</v>
      </c>
      <c r="F94" s="9">
        <v>12.33</v>
      </c>
      <c r="G94" s="9">
        <v>2.028</v>
      </c>
      <c r="H94" s="9">
        <v>6.6330000000000002E-4</v>
      </c>
      <c r="I94" s="9">
        <v>3.7189999999999999</v>
      </c>
      <c r="J94" s="10"/>
      <c r="K94" s="14"/>
      <c r="L94" s="12"/>
      <c r="M94" s="14"/>
      <c r="N94" s="12"/>
      <c r="O94" s="36">
        <f>VLOOKUP($A94,'SW620_Transcription factor'!$A$3:$N$227,7,FALSE)</f>
        <v>2.7090000000000001</v>
      </c>
      <c r="P94" s="37">
        <f>VLOOKUP($A94,'SW620_Transcription factor'!$A$3:$N$227,11,FALSE)</f>
        <v>0</v>
      </c>
      <c r="Q94" s="37">
        <f>VLOOKUP($A94,'SW620_Transcription factor'!$A$3:$N$227,13,FALSE)</f>
        <v>0</v>
      </c>
    </row>
    <row r="95" spans="1:17" ht="15" customHeight="1">
      <c r="A95" s="8" t="str">
        <f>HYPERLINK("http://portal.genego.com/cgi/entity_page.cgi?term=100&amp;id=-703706922","SIP1 (ZFHX1B)")</f>
        <v>SIP1 (ZFHX1B)</v>
      </c>
      <c r="B95" s="9">
        <v>6</v>
      </c>
      <c r="C95" s="9">
        <v>1317</v>
      </c>
      <c r="D95" s="9">
        <v>23</v>
      </c>
      <c r="E95" s="9">
        <v>26819</v>
      </c>
      <c r="F95" s="9">
        <v>1.129</v>
      </c>
      <c r="G95" s="9">
        <v>5.3120000000000003</v>
      </c>
      <c r="H95" s="9">
        <v>6.8000000000000005E-4</v>
      </c>
      <c r="I95" s="9">
        <v>4.702</v>
      </c>
      <c r="J95" s="10"/>
      <c r="K95" s="14"/>
      <c r="L95" s="12"/>
      <c r="M95" s="14"/>
      <c r="N95" s="12"/>
      <c r="O95" s="36">
        <f>VLOOKUP($A95,'SW620_Transcription factor'!$A$3:$N$227,7,FALSE)</f>
        <v>4.1059999999999999</v>
      </c>
      <c r="P95" s="37">
        <f>VLOOKUP($A95,'SW620_Transcription factor'!$A$3:$N$227,11,FALSE)</f>
        <v>1.280368</v>
      </c>
      <c r="Q95" s="37">
        <f>VLOOKUP($A95,'SW620_Transcription factor'!$A$3:$N$227,13,FALSE)</f>
        <v>1.2017275999999999</v>
      </c>
    </row>
    <row r="96" spans="1:17" ht="15" customHeight="1">
      <c r="A96" s="8" t="str">
        <f>HYPERLINK("http://portal.genego.com/cgi/entity_page.cgi?term=100&amp;id=6397","HOXC6")</f>
        <v>HOXC6</v>
      </c>
      <c r="B96" s="9">
        <v>6</v>
      </c>
      <c r="C96" s="9">
        <v>1317</v>
      </c>
      <c r="D96" s="9">
        <v>23</v>
      </c>
      <c r="E96" s="9">
        <v>26819</v>
      </c>
      <c r="F96" s="9">
        <v>1.129</v>
      </c>
      <c r="G96" s="9">
        <v>5.3120000000000003</v>
      </c>
      <c r="H96" s="9">
        <v>6.8000000000000005E-4</v>
      </c>
      <c r="I96" s="9">
        <v>4.702</v>
      </c>
      <c r="J96" s="10"/>
      <c r="K96" s="14"/>
      <c r="L96" s="12"/>
      <c r="M96" s="14"/>
      <c r="N96" s="12"/>
      <c r="O96" s="36">
        <f>VLOOKUP($A96,'SW620_Transcription factor'!$A$3:$N$227,7,FALSE)</f>
        <v>6.569</v>
      </c>
      <c r="P96" s="37">
        <f>VLOOKUP($A96,'SW620_Transcription factor'!$A$3:$N$227,11,FALSE)</f>
        <v>0</v>
      </c>
      <c r="Q96" s="37">
        <f>VLOOKUP($A96,'SW620_Transcription factor'!$A$3:$N$227,13,FALSE)</f>
        <v>0</v>
      </c>
    </row>
    <row r="97" spans="1:17" ht="15" customHeight="1">
      <c r="A97" s="8" t="str">
        <f>HYPERLINK("http://portal.genego.com/cgi/entity_page.cgi?term=100&amp;id=4381","AP-4")</f>
        <v>AP-4</v>
      </c>
      <c r="B97" s="9">
        <v>10</v>
      </c>
      <c r="C97" s="9">
        <v>1317</v>
      </c>
      <c r="D97" s="9">
        <v>61</v>
      </c>
      <c r="E97" s="9">
        <v>26819</v>
      </c>
      <c r="F97" s="9">
        <v>2.996</v>
      </c>
      <c r="G97" s="9">
        <v>3.3380000000000001</v>
      </c>
      <c r="H97" s="9">
        <v>7.2199999999999999E-4</v>
      </c>
      <c r="I97" s="9">
        <v>4.1550000000000002</v>
      </c>
      <c r="J97" s="10"/>
      <c r="K97" s="14"/>
      <c r="L97" s="12"/>
      <c r="M97" s="14"/>
      <c r="N97" s="12"/>
      <c r="O97" s="36">
        <f>VLOOKUP($A97,'SW620_Transcription factor'!$A$3:$N$227,7,FALSE)</f>
        <v>3.7149999999999999</v>
      </c>
      <c r="P97" s="37">
        <f>VLOOKUP($A97,'SW620_Transcription factor'!$A$3:$N$227,11,FALSE)</f>
        <v>-0.15386379</v>
      </c>
      <c r="Q97" s="37">
        <f>VLOOKUP($A97,'SW620_Transcription factor'!$A$3:$N$227,13,FALSE)</f>
        <v>-2.4589055000000002</v>
      </c>
    </row>
    <row r="98" spans="1:17" ht="15" customHeight="1">
      <c r="A98" s="8" t="str">
        <f>HYPERLINK("http://portal.genego.com/cgi/entity_page.cgi?term=100&amp;id=-416745300","GATA-6")</f>
        <v>GATA-6</v>
      </c>
      <c r="B98" s="9">
        <v>15</v>
      </c>
      <c r="C98" s="9">
        <v>1317</v>
      </c>
      <c r="D98" s="9">
        <v>119</v>
      </c>
      <c r="E98" s="9">
        <v>26819</v>
      </c>
      <c r="F98" s="9">
        <v>5.8440000000000003</v>
      </c>
      <c r="G98" s="9">
        <v>2.5670000000000002</v>
      </c>
      <c r="H98" s="9">
        <v>7.3629999999999995E-4</v>
      </c>
      <c r="I98" s="9">
        <v>3.8929999999999998</v>
      </c>
      <c r="J98" s="10"/>
      <c r="K98" s="14"/>
      <c r="L98" s="12"/>
      <c r="M98" s="14"/>
      <c r="N98" s="12"/>
      <c r="O98" s="36">
        <f>VLOOKUP($A98,'SW620_Transcription factor'!$A$3:$N$227,7,FALSE)</f>
        <v>2.8570000000000002</v>
      </c>
      <c r="P98" s="37">
        <f>VLOOKUP($A98,'SW620_Transcription factor'!$A$3:$N$227,11,FALSE)</f>
        <v>-1.2884880000000001</v>
      </c>
      <c r="Q98" s="37">
        <f>VLOOKUP($A98,'SW620_Transcription factor'!$A$3:$N$227,13,FALSE)</f>
        <v>-1.5960905999999999</v>
      </c>
    </row>
    <row r="99" spans="1:17" ht="15" customHeight="1">
      <c r="A99" s="8" t="str">
        <f>HYPERLINK("http://portal.genego.com/cgi/entity_page.cgi?term=100&amp;id=2686","EGR2 (Krox20)")</f>
        <v>EGR2 (Krox20)</v>
      </c>
      <c r="B99" s="9">
        <v>14</v>
      </c>
      <c r="C99" s="9">
        <v>1317</v>
      </c>
      <c r="D99" s="9">
        <v>107</v>
      </c>
      <c r="E99" s="9">
        <v>26819</v>
      </c>
      <c r="F99" s="9">
        <v>5.2539999999999996</v>
      </c>
      <c r="G99" s="9">
        <v>2.6640000000000001</v>
      </c>
      <c r="H99" s="9">
        <v>7.5210000000000001E-4</v>
      </c>
      <c r="I99" s="9">
        <v>3.92</v>
      </c>
      <c r="J99" s="10" t="s">
        <v>13</v>
      </c>
      <c r="K99" s="18">
        <v>-1.1743861</v>
      </c>
      <c r="L99" s="12">
        <v>2.6889560000000001E-6</v>
      </c>
      <c r="M99" s="16">
        <v>-1.6488664</v>
      </c>
      <c r="N99" s="12">
        <v>2.6889560000000001E-6</v>
      </c>
      <c r="O99" s="36">
        <f>VLOOKUP($A99,'SW620_Transcription factor'!$A$3:$N$227,7,FALSE)</f>
        <v>2.8239999999999998</v>
      </c>
      <c r="P99" s="37">
        <f>VLOOKUP($A99,'SW620_Transcription factor'!$A$3:$N$227,11,FALSE)</f>
        <v>2.4529645000000002</v>
      </c>
      <c r="Q99" s="37">
        <f>VLOOKUP($A99,'SW620_Transcription factor'!$A$3:$N$227,13,FALSE)</f>
        <v>1.3492677</v>
      </c>
    </row>
    <row r="100" spans="1:17" ht="15" customHeight="1">
      <c r="A100" s="8" t="str">
        <f>HYPERLINK("http://portal.genego.com/cgi/entity_page.cgi?term=100&amp;id=6098","c-Rel (NF-kB subunit)")</f>
        <v>c-Rel (NF-kB subunit)</v>
      </c>
      <c r="B100" s="9">
        <v>22</v>
      </c>
      <c r="C100" s="9">
        <v>1317</v>
      </c>
      <c r="D100" s="9">
        <v>212</v>
      </c>
      <c r="E100" s="9">
        <v>26819</v>
      </c>
      <c r="F100" s="9">
        <v>10.41</v>
      </c>
      <c r="G100" s="9">
        <v>2.113</v>
      </c>
      <c r="H100" s="9">
        <v>7.9029999999999997E-4</v>
      </c>
      <c r="I100" s="9">
        <v>3.698</v>
      </c>
      <c r="J100" s="10"/>
      <c r="K100" s="14"/>
      <c r="L100" s="12"/>
      <c r="M100" s="14"/>
      <c r="N100" s="12"/>
      <c r="O100" s="36" t="e">
        <f>VLOOKUP($A100,'SW620_Transcription factor'!$A$3:$N$227,7,FALSE)</f>
        <v>#N/A</v>
      </c>
      <c r="P100" s="37" t="e">
        <f>VLOOKUP($A100,'SW620_Transcription factor'!$A$3:$N$227,11,FALSE)</f>
        <v>#N/A</v>
      </c>
      <c r="Q100" s="37" t="e">
        <f>VLOOKUP($A100,'SW620_Transcription factor'!$A$3:$N$227,13,FALSE)</f>
        <v>#N/A</v>
      </c>
    </row>
    <row r="101" spans="1:17" ht="15" customHeight="1">
      <c r="A101" s="8" t="str">
        <f>HYPERLINK("http://portal.genego.com/cgi/entity_page.cgi?term=100&amp;id=2929","IRF9")</f>
        <v>IRF9</v>
      </c>
      <c r="B101" s="9">
        <v>6</v>
      </c>
      <c r="C101" s="9">
        <v>1317</v>
      </c>
      <c r="D101" s="9">
        <v>24</v>
      </c>
      <c r="E101" s="9">
        <v>26819</v>
      </c>
      <c r="F101" s="9">
        <v>1.179</v>
      </c>
      <c r="G101" s="9">
        <v>5.0910000000000002</v>
      </c>
      <c r="H101" s="9">
        <v>8.6930000000000004E-4</v>
      </c>
      <c r="I101" s="9">
        <v>4.556</v>
      </c>
      <c r="J101" s="10"/>
      <c r="K101" s="14"/>
      <c r="L101" s="12"/>
      <c r="M101" s="14"/>
      <c r="N101" s="12"/>
      <c r="O101" s="36" t="e">
        <f>VLOOKUP($A101,'SW620_Transcription factor'!$A$3:$N$227,7,FALSE)</f>
        <v>#N/A</v>
      </c>
      <c r="P101" s="37" t="e">
        <f>VLOOKUP($A101,'SW620_Transcription factor'!$A$3:$N$227,11,FALSE)</f>
        <v>#N/A</v>
      </c>
      <c r="Q101" s="37" t="e">
        <f>VLOOKUP($A101,'SW620_Transcription factor'!$A$3:$N$227,13,FALSE)</f>
        <v>#N/A</v>
      </c>
    </row>
    <row r="102" spans="1:17" ht="15" customHeight="1">
      <c r="A102" s="8" t="str">
        <f>HYPERLINK("http://portal.genego.com/cgi/entity_page.cgi?term=100&amp;id=-1817313197","GFI1B")</f>
        <v>GFI1B</v>
      </c>
      <c r="B102" s="9">
        <v>6</v>
      </c>
      <c r="C102" s="9">
        <v>1317</v>
      </c>
      <c r="D102" s="9">
        <v>24</v>
      </c>
      <c r="E102" s="9">
        <v>26819</v>
      </c>
      <c r="F102" s="9">
        <v>1.179</v>
      </c>
      <c r="G102" s="9">
        <v>5.0910000000000002</v>
      </c>
      <c r="H102" s="9">
        <v>8.6930000000000004E-4</v>
      </c>
      <c r="I102" s="9">
        <v>4.556</v>
      </c>
      <c r="J102" s="10" t="s">
        <v>56</v>
      </c>
      <c r="K102" s="19">
        <v>-1.0566002000000001</v>
      </c>
      <c r="L102" s="12">
        <v>1.292056E-3</v>
      </c>
      <c r="M102" s="19">
        <v>-0.72077559999999996</v>
      </c>
      <c r="N102" s="12">
        <v>1.292056E-3</v>
      </c>
      <c r="O102" s="36" t="e">
        <f>VLOOKUP($A102,'SW620_Transcription factor'!$A$3:$N$227,7,FALSE)</f>
        <v>#N/A</v>
      </c>
      <c r="P102" s="37" t="e">
        <f>VLOOKUP($A102,'SW620_Transcription factor'!$A$3:$N$227,11,FALSE)</f>
        <v>#N/A</v>
      </c>
      <c r="Q102" s="37" t="e">
        <f>VLOOKUP($A102,'SW620_Transcription factor'!$A$3:$N$227,13,FALSE)</f>
        <v>#N/A</v>
      </c>
    </row>
    <row r="103" spans="1:17" ht="15" customHeight="1">
      <c r="A103" s="8" t="str">
        <f>HYPERLINK("http://portal.genego.com/cgi/entity_page.cgi?term=100&amp;id=4399","Oct-2")</f>
        <v>Oct-2</v>
      </c>
      <c r="B103" s="9">
        <v>8</v>
      </c>
      <c r="C103" s="9">
        <v>1317</v>
      </c>
      <c r="D103" s="9">
        <v>42</v>
      </c>
      <c r="E103" s="9">
        <v>26819</v>
      </c>
      <c r="F103" s="9">
        <v>2.0619999999999998</v>
      </c>
      <c r="G103" s="9">
        <v>3.879</v>
      </c>
      <c r="H103" s="9">
        <v>8.7830000000000004E-4</v>
      </c>
      <c r="I103" s="9">
        <v>4.2430000000000003</v>
      </c>
      <c r="J103" s="10"/>
      <c r="K103" s="14"/>
      <c r="L103" s="12"/>
      <c r="M103" s="14"/>
      <c r="N103" s="12"/>
      <c r="O103" s="36" t="e">
        <f>VLOOKUP($A103,'SW620_Transcription factor'!$A$3:$N$227,7,FALSE)</f>
        <v>#N/A</v>
      </c>
      <c r="P103" s="37" t="e">
        <f>VLOOKUP($A103,'SW620_Transcription factor'!$A$3:$N$227,11,FALSE)</f>
        <v>#N/A</v>
      </c>
      <c r="Q103" s="37" t="e">
        <f>VLOOKUP($A103,'SW620_Transcription factor'!$A$3:$N$227,13,FALSE)</f>
        <v>#N/A</v>
      </c>
    </row>
    <row r="104" spans="1:17" ht="15" customHeight="1">
      <c r="A104" s="8" t="str">
        <f>HYPERLINK("http://portal.genego.com/cgi/entity_page.cgi?term=100&amp;id=-1033959994","ELF3")</f>
        <v>ELF3</v>
      </c>
      <c r="B104" s="9">
        <v>7</v>
      </c>
      <c r="C104" s="9">
        <v>1317</v>
      </c>
      <c r="D104" s="9">
        <v>33</v>
      </c>
      <c r="E104" s="9">
        <v>26819</v>
      </c>
      <c r="F104" s="9">
        <v>1.621</v>
      </c>
      <c r="G104" s="9">
        <v>4.32</v>
      </c>
      <c r="H104" s="9">
        <v>9.4019999999999998E-4</v>
      </c>
      <c r="I104" s="9">
        <v>4.3360000000000003</v>
      </c>
      <c r="J104" s="10"/>
      <c r="K104" s="14"/>
      <c r="L104" s="12"/>
      <c r="M104" s="14"/>
      <c r="N104" s="12"/>
      <c r="O104" s="36">
        <f>VLOOKUP($A104,'SW620_Transcription factor'!$A$3:$N$227,7,FALSE)</f>
        <v>5.1509999999999998</v>
      </c>
      <c r="P104" s="37">
        <f>VLOOKUP($A104,'SW620_Transcription factor'!$A$3:$N$227,11,FALSE)</f>
        <v>0</v>
      </c>
      <c r="Q104" s="37">
        <f>VLOOKUP($A104,'SW620_Transcription factor'!$A$3:$N$227,13,FALSE)</f>
        <v>0</v>
      </c>
    </row>
    <row r="105" spans="1:17" ht="15" customHeight="1">
      <c r="A105" s="8" t="str">
        <f>HYPERLINK("http://portal.genego.com/cgi/entity_page.cgi?term=100&amp;id=-1074455434","KLF11 (TIEG2)")</f>
        <v>KLF11 (TIEG2)</v>
      </c>
      <c r="B105" s="9">
        <v>7</v>
      </c>
      <c r="C105" s="9">
        <v>1317</v>
      </c>
      <c r="D105" s="9">
        <v>33</v>
      </c>
      <c r="E105" s="9">
        <v>26819</v>
      </c>
      <c r="F105" s="9">
        <v>1.621</v>
      </c>
      <c r="G105" s="9">
        <v>4.32</v>
      </c>
      <c r="H105" s="9">
        <v>9.4019999999999998E-4</v>
      </c>
      <c r="I105" s="9">
        <v>4.3360000000000003</v>
      </c>
      <c r="J105" s="10"/>
      <c r="K105" s="14"/>
      <c r="L105" s="12"/>
      <c r="M105" s="14"/>
      <c r="N105" s="12"/>
      <c r="O105" s="36">
        <f>VLOOKUP($A105,'SW620_Transcription factor'!$A$3:$N$227,7,FALSE)</f>
        <v>3.4340000000000002</v>
      </c>
      <c r="P105" s="37">
        <f>VLOOKUP($A105,'SW620_Transcription factor'!$A$3:$N$227,11,FALSE)</f>
        <v>0</v>
      </c>
      <c r="Q105" s="37">
        <f>VLOOKUP($A105,'SW620_Transcription factor'!$A$3:$N$227,13,FALSE)</f>
        <v>0</v>
      </c>
    </row>
    <row r="106" spans="1:17" ht="15" customHeight="1">
      <c r="A106" s="8" t="str">
        <f>HYPERLINK("http://portal.genego.com/cgi/entity_page.cgi?term=100&amp;id=-1879593575","Myocardin")</f>
        <v>Myocardin</v>
      </c>
      <c r="B106" s="9">
        <v>3</v>
      </c>
      <c r="C106" s="9">
        <v>1317</v>
      </c>
      <c r="D106" s="9">
        <v>5</v>
      </c>
      <c r="E106" s="9">
        <v>26819</v>
      </c>
      <c r="F106" s="9">
        <v>0.2455</v>
      </c>
      <c r="G106" s="9">
        <v>12.22</v>
      </c>
      <c r="H106" s="9">
        <v>1.096E-3</v>
      </c>
      <c r="I106" s="9">
        <v>5.7009999999999996</v>
      </c>
      <c r="J106" s="10"/>
      <c r="K106" s="14"/>
      <c r="L106" s="12"/>
      <c r="M106" s="14"/>
      <c r="N106" s="12"/>
      <c r="O106" s="36" t="e">
        <f>VLOOKUP($A106,'SW620_Transcription factor'!$A$3:$N$227,7,FALSE)</f>
        <v>#N/A</v>
      </c>
      <c r="P106" s="37" t="e">
        <f>VLOOKUP($A106,'SW620_Transcription factor'!$A$3:$N$227,11,FALSE)</f>
        <v>#N/A</v>
      </c>
      <c r="Q106" s="37" t="e">
        <f>VLOOKUP($A106,'SW620_Transcription factor'!$A$3:$N$227,13,FALSE)</f>
        <v>#N/A</v>
      </c>
    </row>
    <row r="107" spans="1:17" ht="15" customHeight="1">
      <c r="A107" s="8" t="str">
        <f>HYPERLINK("http://portal.genego.com/cgi/entity_page.cgi?term=100&amp;id=6386","FLI1")</f>
        <v>FLI1</v>
      </c>
      <c r="B107" s="9">
        <v>14</v>
      </c>
      <c r="C107" s="9">
        <v>1317</v>
      </c>
      <c r="D107" s="9">
        <v>112</v>
      </c>
      <c r="E107" s="9">
        <v>26819</v>
      </c>
      <c r="F107" s="9">
        <v>5.5</v>
      </c>
      <c r="G107" s="9">
        <v>2.5449999999999999</v>
      </c>
      <c r="H107" s="9">
        <v>1.1839999999999999E-3</v>
      </c>
      <c r="I107" s="9">
        <v>3.7250000000000001</v>
      </c>
      <c r="J107" s="10"/>
      <c r="K107" s="14"/>
      <c r="L107" s="12"/>
      <c r="M107" s="14"/>
      <c r="N107" s="12"/>
      <c r="O107" s="36">
        <f>VLOOKUP($A107,'SW620_Transcription factor'!$A$3:$N$227,7,FALSE)</f>
        <v>3.0350000000000001</v>
      </c>
      <c r="P107" s="37">
        <f>VLOOKUP($A107,'SW620_Transcription factor'!$A$3:$N$227,11,FALSE)</f>
        <v>0</v>
      </c>
      <c r="Q107" s="37">
        <f>VLOOKUP($A107,'SW620_Transcription factor'!$A$3:$N$227,13,FALSE)</f>
        <v>0</v>
      </c>
    </row>
    <row r="108" spans="1:17" ht="15" customHeight="1">
      <c r="A108" s="8" t="str">
        <f>HYPERLINK("http://portal.genego.com/cgi/entity_page.cgi?term=100&amp;id=-1821599095","Pitx2")</f>
        <v>Pitx2</v>
      </c>
      <c r="B108" s="9">
        <v>10</v>
      </c>
      <c r="C108" s="9">
        <v>1317</v>
      </c>
      <c r="D108" s="9">
        <v>65</v>
      </c>
      <c r="E108" s="9">
        <v>26819</v>
      </c>
      <c r="F108" s="9">
        <v>3.1920000000000002</v>
      </c>
      <c r="G108" s="9">
        <v>3.133</v>
      </c>
      <c r="H108" s="9">
        <v>1.201E-3</v>
      </c>
      <c r="I108" s="9">
        <v>3.9119999999999999</v>
      </c>
      <c r="J108" s="10"/>
      <c r="K108" s="14"/>
      <c r="L108" s="12"/>
      <c r="M108" s="14"/>
      <c r="N108" s="12"/>
      <c r="O108" s="36">
        <f>VLOOKUP($A108,'SW620_Transcription factor'!$A$3:$N$227,7,FALSE)</f>
        <v>4.3579999999999997</v>
      </c>
      <c r="P108" s="37">
        <f>VLOOKUP($A108,'SW620_Transcription factor'!$A$3:$N$227,11,FALSE)</f>
        <v>0</v>
      </c>
      <c r="Q108" s="37">
        <f>VLOOKUP($A108,'SW620_Transcription factor'!$A$3:$N$227,13,FALSE)</f>
        <v>0</v>
      </c>
    </row>
    <row r="109" spans="1:17" ht="15" customHeight="1">
      <c r="A109" s="8" t="str">
        <f>HYPERLINK("http://portal.genego.com/cgi/entity_page.cgi?term=100&amp;id=-1859973767","NRSF")</f>
        <v>NRSF</v>
      </c>
      <c r="B109" s="9">
        <v>37</v>
      </c>
      <c r="C109" s="9">
        <v>1317</v>
      </c>
      <c r="D109" s="9">
        <v>444</v>
      </c>
      <c r="E109" s="9">
        <v>26819</v>
      </c>
      <c r="F109" s="9">
        <v>21.8</v>
      </c>
      <c r="G109" s="9">
        <v>1.6970000000000001</v>
      </c>
      <c r="H109" s="9">
        <v>1.2869999999999999E-3</v>
      </c>
      <c r="I109" s="9">
        <v>3.3650000000000002</v>
      </c>
      <c r="J109" s="10"/>
      <c r="K109" s="14"/>
      <c r="L109" s="12"/>
      <c r="M109" s="14"/>
      <c r="N109" s="12"/>
      <c r="O109" s="36">
        <f>VLOOKUP($A109,'SW620_Transcription factor'!$A$3:$N$227,7,FALSE)</f>
        <v>2.0840000000000001</v>
      </c>
      <c r="P109" s="37">
        <f>VLOOKUP($A109,'SW620_Transcription factor'!$A$3:$N$227,11,FALSE)</f>
        <v>0</v>
      </c>
      <c r="Q109" s="37">
        <f>VLOOKUP($A109,'SW620_Transcription factor'!$A$3:$N$227,13,FALSE)</f>
        <v>0</v>
      </c>
    </row>
    <row r="110" spans="1:17" ht="15" customHeight="1">
      <c r="A110" s="8" t="str">
        <f>HYPERLINK("http://portal.genego.com/cgi/entity_page.cgi?term=100&amp;id=6392","EPAS1")</f>
        <v>EPAS1</v>
      </c>
      <c r="B110" s="9">
        <v>19</v>
      </c>
      <c r="C110" s="9">
        <v>1317</v>
      </c>
      <c r="D110" s="9">
        <v>179</v>
      </c>
      <c r="E110" s="9">
        <v>26819</v>
      </c>
      <c r="F110" s="9">
        <v>8.7899999999999991</v>
      </c>
      <c r="G110" s="9">
        <v>2.1619999999999999</v>
      </c>
      <c r="H110" s="9">
        <v>1.3370000000000001E-3</v>
      </c>
      <c r="I110" s="9">
        <v>3.5430000000000001</v>
      </c>
      <c r="J110" s="10"/>
      <c r="K110" s="14"/>
      <c r="L110" s="12"/>
      <c r="M110" s="14"/>
      <c r="N110" s="12"/>
      <c r="O110" s="36">
        <f>VLOOKUP($A110,'SW620_Transcription factor'!$A$3:$N$227,7,FALSE)</f>
        <v>3.165</v>
      </c>
      <c r="P110" s="37">
        <f>VLOOKUP($A110,'SW620_Transcription factor'!$A$3:$N$227,11,FALSE)</f>
        <v>0</v>
      </c>
      <c r="Q110" s="37">
        <f>VLOOKUP($A110,'SW620_Transcription factor'!$A$3:$N$227,13,FALSE)</f>
        <v>0</v>
      </c>
    </row>
    <row r="111" spans="1:17" ht="15" customHeight="1">
      <c r="A111" s="8" t="str">
        <f>HYPERLINK("http://portal.genego.com/cgi/entity_page.cgi?term=100&amp;id=6004","KLF5")</f>
        <v>KLF5</v>
      </c>
      <c r="B111" s="9">
        <v>10</v>
      </c>
      <c r="C111" s="9">
        <v>1317</v>
      </c>
      <c r="D111" s="9">
        <v>66</v>
      </c>
      <c r="E111" s="9">
        <v>26819</v>
      </c>
      <c r="F111" s="9">
        <v>3.2410000000000001</v>
      </c>
      <c r="G111" s="9">
        <v>3.085</v>
      </c>
      <c r="H111" s="9">
        <v>1.354E-3</v>
      </c>
      <c r="I111" s="9">
        <v>3.855</v>
      </c>
      <c r="J111" s="10"/>
      <c r="K111" s="14"/>
      <c r="L111" s="12"/>
      <c r="M111" s="14"/>
      <c r="N111" s="12"/>
      <c r="O111" s="36" t="e">
        <f>VLOOKUP($A111,'SW620_Transcription factor'!$A$3:$N$227,7,FALSE)</f>
        <v>#N/A</v>
      </c>
      <c r="P111" s="37" t="e">
        <f>VLOOKUP($A111,'SW620_Transcription factor'!$A$3:$N$227,11,FALSE)</f>
        <v>#N/A</v>
      </c>
      <c r="Q111" s="37" t="e">
        <f>VLOOKUP($A111,'SW620_Transcription factor'!$A$3:$N$227,13,FALSE)</f>
        <v>#N/A</v>
      </c>
    </row>
    <row r="112" spans="1:17" ht="15" customHeight="1">
      <c r="A112" s="8" t="str">
        <f>HYPERLINK("http://portal.genego.com/cgi/entity_page.cgi?term=100&amp;id=4276","RARbeta")</f>
        <v>RARbeta</v>
      </c>
      <c r="B112" s="9">
        <v>7</v>
      </c>
      <c r="C112" s="9">
        <v>1317</v>
      </c>
      <c r="D112" s="9">
        <v>35</v>
      </c>
      <c r="E112" s="9">
        <v>26819</v>
      </c>
      <c r="F112" s="9">
        <v>1.7190000000000001</v>
      </c>
      <c r="G112" s="9">
        <v>4.0730000000000004</v>
      </c>
      <c r="H112" s="9">
        <v>1.359E-3</v>
      </c>
      <c r="I112" s="9">
        <v>4.1340000000000003</v>
      </c>
      <c r="J112" s="10"/>
      <c r="K112" s="14"/>
      <c r="L112" s="12"/>
      <c r="M112" s="14"/>
      <c r="N112" s="12"/>
      <c r="O112" s="36">
        <f>VLOOKUP($A112,'SW620_Transcription factor'!$A$3:$N$227,7,FALSE)</f>
        <v>4.8570000000000002</v>
      </c>
      <c r="P112" s="37">
        <f>VLOOKUP($A112,'SW620_Transcription factor'!$A$3:$N$227,11,FALSE)</f>
        <v>0</v>
      </c>
      <c r="Q112" s="37">
        <f>VLOOKUP($A112,'SW620_Transcription factor'!$A$3:$N$227,13,FALSE)</f>
        <v>0</v>
      </c>
    </row>
    <row r="113" spans="1:17" ht="15" customHeight="1">
      <c r="A113" s="8" t="str">
        <f>HYPERLINK("http://portal.genego.com/cgi/entity_page.cgi?term=100&amp;id=-779540880","Aiolos")</f>
        <v>Aiolos</v>
      </c>
      <c r="B113" s="9">
        <v>4</v>
      </c>
      <c r="C113" s="9">
        <v>1317</v>
      </c>
      <c r="D113" s="9">
        <v>11</v>
      </c>
      <c r="E113" s="9">
        <v>26819</v>
      </c>
      <c r="F113" s="9">
        <v>0.54020000000000001</v>
      </c>
      <c r="G113" s="9">
        <v>7.4050000000000002</v>
      </c>
      <c r="H113" s="9">
        <v>1.4469999999999999E-3</v>
      </c>
      <c r="I113" s="9">
        <v>4.8280000000000003</v>
      </c>
      <c r="J113" s="10"/>
      <c r="K113" s="14"/>
      <c r="L113" s="12"/>
      <c r="M113" s="14"/>
      <c r="N113" s="12"/>
      <c r="O113" s="36" t="e">
        <f>VLOOKUP($A113,'SW620_Transcription factor'!$A$3:$N$227,7,FALSE)</f>
        <v>#N/A</v>
      </c>
      <c r="P113" s="37" t="e">
        <f>VLOOKUP($A113,'SW620_Transcription factor'!$A$3:$N$227,11,FALSE)</f>
        <v>#N/A</v>
      </c>
      <c r="Q113" s="37" t="e">
        <f>VLOOKUP($A113,'SW620_Transcription factor'!$A$3:$N$227,13,FALSE)</f>
        <v>#N/A</v>
      </c>
    </row>
    <row r="114" spans="1:17" ht="15" customHeight="1">
      <c r="A114" s="8" t="str">
        <f>HYPERLINK("http://portal.genego.com/cgi/entity_page.cgi?term=100&amp;id=4434","Ikaros")</f>
        <v>Ikaros</v>
      </c>
      <c r="B114" s="9">
        <v>10</v>
      </c>
      <c r="C114" s="9">
        <v>1317</v>
      </c>
      <c r="D114" s="9">
        <v>67</v>
      </c>
      <c r="E114" s="9">
        <v>26819</v>
      </c>
      <c r="F114" s="9">
        <v>3.29</v>
      </c>
      <c r="G114" s="9">
        <v>3.0390000000000001</v>
      </c>
      <c r="H114" s="9">
        <v>1.5219999999999999E-3</v>
      </c>
      <c r="I114" s="9">
        <v>3.798</v>
      </c>
      <c r="J114" s="10"/>
      <c r="K114" s="14"/>
      <c r="L114" s="12"/>
      <c r="M114" s="14"/>
      <c r="N114" s="12"/>
      <c r="O114" s="36">
        <f>VLOOKUP($A114,'SW620_Transcription factor'!$A$3:$N$227,7,FALSE)</f>
        <v>2.819</v>
      </c>
      <c r="P114" s="37">
        <f>VLOOKUP($A114,'SW620_Transcription factor'!$A$3:$N$227,11,FALSE)</f>
        <v>0</v>
      </c>
      <c r="Q114" s="37">
        <f>VLOOKUP($A114,'SW620_Transcription factor'!$A$3:$N$227,13,FALSE)</f>
        <v>0</v>
      </c>
    </row>
    <row r="115" spans="1:17" ht="15" customHeight="1">
      <c r="A115" s="8" t="str">
        <f>HYPERLINK("http://portal.genego.com/cgi/entity_page.cgi?term=100&amp;id=4324","PIT1")</f>
        <v>PIT1</v>
      </c>
      <c r="B115" s="9">
        <v>7</v>
      </c>
      <c r="C115" s="9">
        <v>1317</v>
      </c>
      <c r="D115" s="9">
        <v>36</v>
      </c>
      <c r="E115" s="9">
        <v>26819</v>
      </c>
      <c r="F115" s="9">
        <v>1.768</v>
      </c>
      <c r="G115" s="9">
        <v>3.96</v>
      </c>
      <c r="H115" s="9">
        <v>1.616E-3</v>
      </c>
      <c r="I115" s="9">
        <v>4.0380000000000003</v>
      </c>
      <c r="J115" s="10"/>
      <c r="K115" s="14"/>
      <c r="L115" s="12"/>
      <c r="M115" s="14"/>
      <c r="N115" s="12"/>
      <c r="O115" s="36" t="e">
        <f>VLOOKUP($A115,'SW620_Transcription factor'!$A$3:$N$227,7,FALSE)</f>
        <v>#N/A</v>
      </c>
      <c r="P115" s="37" t="e">
        <f>VLOOKUP($A115,'SW620_Transcription factor'!$A$3:$N$227,11,FALSE)</f>
        <v>#N/A</v>
      </c>
      <c r="Q115" s="37" t="e">
        <f>VLOOKUP($A115,'SW620_Transcription factor'!$A$3:$N$227,13,FALSE)</f>
        <v>#N/A</v>
      </c>
    </row>
    <row r="116" spans="1:17" ht="15" customHeight="1">
      <c r="A116" s="8" t="str">
        <f>HYPERLINK("http://portal.genego.com/cgi/entity_page.cgi?term=100&amp;id=6088","RelB (NF-kB subunit)")</f>
        <v>RelB (NF-kB subunit)</v>
      </c>
      <c r="B116" s="9">
        <v>20</v>
      </c>
      <c r="C116" s="9">
        <v>1317</v>
      </c>
      <c r="D116" s="9">
        <v>197</v>
      </c>
      <c r="E116" s="9">
        <v>26819</v>
      </c>
      <c r="F116" s="9">
        <v>9.6739999999999995</v>
      </c>
      <c r="G116" s="9">
        <v>2.0670000000000002</v>
      </c>
      <c r="H116" s="9">
        <v>1.7420000000000001E-3</v>
      </c>
      <c r="I116" s="9">
        <v>3.4169999999999998</v>
      </c>
      <c r="J116" s="10"/>
      <c r="K116" s="14"/>
      <c r="L116" s="12"/>
      <c r="M116" s="14"/>
      <c r="N116" s="12"/>
      <c r="O116" s="36">
        <f>VLOOKUP($A116,'SW620_Transcription factor'!$A$3:$N$227,7,FALSE)</f>
        <v>1.726</v>
      </c>
      <c r="P116" s="37">
        <f>VLOOKUP($A116,'SW620_Transcription factor'!$A$3:$N$227,11,FALSE)</f>
        <v>0</v>
      </c>
      <c r="Q116" s="37">
        <f>VLOOKUP($A116,'SW620_Transcription factor'!$A$3:$N$227,13,FALSE)</f>
        <v>0</v>
      </c>
    </row>
    <row r="117" spans="1:17" ht="15" customHeight="1">
      <c r="A117" s="8" t="str">
        <f>HYPERLINK("http://portal.genego.com/cgi/entity_page.cgi?term=100&amp;id=313","GLI-1")</f>
        <v>GLI-1</v>
      </c>
      <c r="B117" s="9">
        <v>11</v>
      </c>
      <c r="C117" s="9">
        <v>1317</v>
      </c>
      <c r="D117" s="9">
        <v>80</v>
      </c>
      <c r="E117" s="9">
        <v>26819</v>
      </c>
      <c r="F117" s="9">
        <v>3.9289999999999998</v>
      </c>
      <c r="G117" s="9">
        <v>2.8</v>
      </c>
      <c r="H117" s="9">
        <v>1.7899999999999999E-3</v>
      </c>
      <c r="I117" s="9">
        <v>3.6640000000000001</v>
      </c>
      <c r="J117" s="10"/>
      <c r="K117" s="14"/>
      <c r="L117" s="12"/>
      <c r="M117" s="14"/>
      <c r="N117" s="12"/>
      <c r="O117" s="36">
        <f>VLOOKUP($A117,'SW620_Transcription factor'!$A$3:$N$227,7,FALSE)</f>
        <v>3.5409999999999999</v>
      </c>
      <c r="P117" s="37">
        <f>VLOOKUP($A117,'SW620_Transcription factor'!$A$3:$N$227,11,FALSE)</f>
        <v>0</v>
      </c>
      <c r="Q117" s="37">
        <f>VLOOKUP($A117,'SW620_Transcription factor'!$A$3:$N$227,13,FALSE)</f>
        <v>0</v>
      </c>
    </row>
    <row r="118" spans="1:17" ht="15" customHeight="1">
      <c r="A118" s="8" t="str">
        <f>HYPERLINK("http://portal.genego.com/cgi/entity_page.cgi?term=100&amp;id=6007","MITF")</f>
        <v>MITF</v>
      </c>
      <c r="B118" s="9">
        <v>16</v>
      </c>
      <c r="C118" s="9">
        <v>1317</v>
      </c>
      <c r="D118" s="9">
        <v>143</v>
      </c>
      <c r="E118" s="9">
        <v>26819</v>
      </c>
      <c r="F118" s="9">
        <v>7.0220000000000002</v>
      </c>
      <c r="G118" s="9">
        <v>2.278</v>
      </c>
      <c r="H118" s="9">
        <v>1.805E-3</v>
      </c>
      <c r="I118" s="9">
        <v>3.4830000000000001</v>
      </c>
      <c r="J118" s="10"/>
      <c r="K118" s="14"/>
      <c r="L118" s="12"/>
      <c r="M118" s="14"/>
      <c r="N118" s="12"/>
      <c r="O118" s="36">
        <f>VLOOKUP($A118,'SW620_Transcription factor'!$A$3:$N$227,7,FALSE)</f>
        <v>2.5089999999999999</v>
      </c>
      <c r="P118" s="37">
        <f>VLOOKUP($A118,'SW620_Transcription factor'!$A$3:$N$227,11,FALSE)</f>
        <v>0</v>
      </c>
      <c r="Q118" s="37">
        <f>VLOOKUP($A118,'SW620_Transcription factor'!$A$3:$N$227,13,FALSE)</f>
        <v>0</v>
      </c>
    </row>
    <row r="119" spans="1:17" ht="15" customHeight="1">
      <c r="A119" s="8" t="str">
        <f>HYPERLINK("http://portal.genego.com/cgi/entity_page.cgi?term=100&amp;id=-1706186953","ESE3")</f>
        <v>ESE3</v>
      </c>
      <c r="B119" s="9">
        <v>5</v>
      </c>
      <c r="C119" s="9">
        <v>1317</v>
      </c>
      <c r="D119" s="9">
        <v>19</v>
      </c>
      <c r="E119" s="9">
        <v>26819</v>
      </c>
      <c r="F119" s="9">
        <v>0.93300000000000005</v>
      </c>
      <c r="G119" s="9">
        <v>5.359</v>
      </c>
      <c r="H119" s="9">
        <v>1.8489999999999999E-3</v>
      </c>
      <c r="I119" s="9">
        <v>4.319</v>
      </c>
      <c r="J119" s="10"/>
      <c r="K119" s="14"/>
      <c r="L119" s="12"/>
      <c r="M119" s="14"/>
      <c r="N119" s="12"/>
      <c r="O119" s="36" t="e">
        <f>VLOOKUP($A119,'SW620_Transcription factor'!$A$3:$N$227,7,FALSE)</f>
        <v>#N/A</v>
      </c>
      <c r="P119" s="37" t="e">
        <f>VLOOKUP($A119,'SW620_Transcription factor'!$A$3:$N$227,11,FALSE)</f>
        <v>#N/A</v>
      </c>
      <c r="Q119" s="37" t="e">
        <f>VLOOKUP($A119,'SW620_Transcription factor'!$A$3:$N$227,13,FALSE)</f>
        <v>#N/A</v>
      </c>
    </row>
    <row r="120" spans="1:17" ht="15" customHeight="1">
      <c r="A120" s="8" t="str">
        <f>HYPERLINK("http://portal.genego.com/cgi/entity_page.cgi?term=100&amp;id=520","NF-AT4(NFATC3)")</f>
        <v>NF-AT4(NFATC3)</v>
      </c>
      <c r="B120" s="9">
        <v>8</v>
      </c>
      <c r="C120" s="9">
        <v>1317</v>
      </c>
      <c r="D120" s="9">
        <v>47</v>
      </c>
      <c r="E120" s="9">
        <v>26819</v>
      </c>
      <c r="F120" s="9">
        <v>2.3079999999999998</v>
      </c>
      <c r="G120" s="9">
        <v>3.4660000000000002</v>
      </c>
      <c r="H120" s="9">
        <v>1.884E-3</v>
      </c>
      <c r="I120" s="9">
        <v>3.8450000000000002</v>
      </c>
      <c r="J120" s="10"/>
      <c r="K120" s="14"/>
      <c r="L120" s="12"/>
      <c r="M120" s="14"/>
      <c r="N120" s="12"/>
      <c r="O120" s="36">
        <f>VLOOKUP($A120,'SW620_Transcription factor'!$A$3:$N$227,7,FALSE)</f>
        <v>3.2149999999999999</v>
      </c>
      <c r="P120" s="37">
        <f>VLOOKUP($A120,'SW620_Transcription factor'!$A$3:$N$227,11,FALSE)</f>
        <v>0</v>
      </c>
      <c r="Q120" s="37">
        <f>VLOOKUP($A120,'SW620_Transcription factor'!$A$3:$N$227,13,FALSE)</f>
        <v>0</v>
      </c>
    </row>
    <row r="121" spans="1:17" ht="15" customHeight="1">
      <c r="A121" s="8" t="str">
        <f>HYPERLINK("http://portal.genego.com/cgi/entity_page.cgi?term=100&amp;id=-592889684","NANOG")</f>
        <v>NANOG</v>
      </c>
      <c r="B121" s="9">
        <v>53</v>
      </c>
      <c r="C121" s="9">
        <v>1317</v>
      </c>
      <c r="D121" s="9">
        <v>714</v>
      </c>
      <c r="E121" s="9">
        <v>26819</v>
      </c>
      <c r="F121" s="9">
        <v>35.06</v>
      </c>
      <c r="G121" s="9">
        <v>1.512</v>
      </c>
      <c r="H121" s="9">
        <v>1.9319999999999999E-3</v>
      </c>
      <c r="I121" s="9">
        <v>3.149</v>
      </c>
      <c r="J121" s="10"/>
      <c r="K121" s="14"/>
      <c r="L121" s="12"/>
      <c r="M121" s="14"/>
      <c r="N121" s="12"/>
      <c r="O121" s="36">
        <f>VLOOKUP($A121,'SW620_Transcription factor'!$A$3:$N$227,7,FALSE)</f>
        <v>1.825</v>
      </c>
      <c r="P121" s="37">
        <f>VLOOKUP($A121,'SW620_Transcription factor'!$A$3:$N$227,11,FALSE)</f>
        <v>0</v>
      </c>
      <c r="Q121" s="37">
        <f>VLOOKUP($A121,'SW620_Transcription factor'!$A$3:$N$227,13,FALSE)</f>
        <v>0</v>
      </c>
    </row>
    <row r="122" spans="1:17" ht="15" customHeight="1">
      <c r="A122" s="8" t="str">
        <f>HYPERLINK("http://portal.genego.com/cgi/entity_page.cgi?term=100&amp;id=-231509781","KLF8")</f>
        <v>KLF8</v>
      </c>
      <c r="B122" s="9">
        <v>4</v>
      </c>
      <c r="C122" s="9">
        <v>1317</v>
      </c>
      <c r="D122" s="9">
        <v>12</v>
      </c>
      <c r="E122" s="9">
        <v>26819</v>
      </c>
      <c r="F122" s="9">
        <v>0.58930000000000005</v>
      </c>
      <c r="G122" s="9">
        <v>6.7880000000000003</v>
      </c>
      <c r="H122" s="9">
        <v>2.0860000000000002E-3</v>
      </c>
      <c r="I122" s="9">
        <v>4.5570000000000004</v>
      </c>
      <c r="J122" s="10"/>
      <c r="K122" s="14"/>
      <c r="L122" s="12"/>
      <c r="M122" s="14"/>
      <c r="N122" s="12"/>
      <c r="O122" s="36" t="e">
        <f>VLOOKUP($A122,'SW620_Transcription factor'!$A$3:$N$227,7,FALSE)</f>
        <v>#N/A</v>
      </c>
      <c r="P122" s="37" t="e">
        <f>VLOOKUP($A122,'SW620_Transcription factor'!$A$3:$N$227,11,FALSE)</f>
        <v>#N/A</v>
      </c>
      <c r="Q122" s="37" t="e">
        <f>VLOOKUP($A122,'SW620_Transcription factor'!$A$3:$N$227,13,FALSE)</f>
        <v>#N/A</v>
      </c>
    </row>
    <row r="123" spans="1:17" ht="15" customHeight="1">
      <c r="A123" s="8" t="str">
        <f>HYPERLINK("http://portal.genego.com/cgi/entity_page.cgi?term=100&amp;id=-182761901","HLF")</f>
        <v>HLF</v>
      </c>
      <c r="B123" s="9">
        <v>3</v>
      </c>
      <c r="C123" s="9">
        <v>1317</v>
      </c>
      <c r="D123" s="9">
        <v>6</v>
      </c>
      <c r="E123" s="9">
        <v>26819</v>
      </c>
      <c r="F123" s="9">
        <v>0.29459999999999997</v>
      </c>
      <c r="G123" s="9">
        <v>10.18</v>
      </c>
      <c r="H123" s="9">
        <v>2.1129999999999999E-3</v>
      </c>
      <c r="I123" s="9">
        <v>5.1120000000000001</v>
      </c>
      <c r="J123" s="10" t="s">
        <v>57</v>
      </c>
      <c r="K123" s="17">
        <v>-0.6280656</v>
      </c>
      <c r="L123" s="12">
        <v>2.804976E-2</v>
      </c>
      <c r="M123" s="19">
        <v>-1.0282245000000001</v>
      </c>
      <c r="N123" s="12">
        <v>2.804976E-2</v>
      </c>
      <c r="O123" s="36" t="e">
        <f>VLOOKUP($A123,'SW620_Transcription factor'!$A$3:$N$227,7,FALSE)</f>
        <v>#N/A</v>
      </c>
      <c r="P123" s="37" t="e">
        <f>VLOOKUP($A123,'SW620_Transcription factor'!$A$3:$N$227,11,FALSE)</f>
        <v>#N/A</v>
      </c>
      <c r="Q123" s="37" t="e">
        <f>VLOOKUP($A123,'SW620_Transcription factor'!$A$3:$N$227,13,FALSE)</f>
        <v>#N/A</v>
      </c>
    </row>
    <row r="124" spans="1:17" ht="15" customHeight="1">
      <c r="A124" s="8" t="str">
        <f>HYPERLINK("http://portal.genego.com/cgi/entity_page.cgi?term=100&amp;id=-533048414","Rad21")</f>
        <v>Rad21</v>
      </c>
      <c r="B124" s="9">
        <v>3</v>
      </c>
      <c r="C124" s="9">
        <v>1317</v>
      </c>
      <c r="D124" s="9">
        <v>6</v>
      </c>
      <c r="E124" s="9">
        <v>26819</v>
      </c>
      <c r="F124" s="9">
        <v>0.29459999999999997</v>
      </c>
      <c r="G124" s="9">
        <v>10.18</v>
      </c>
      <c r="H124" s="9">
        <v>2.1129999999999999E-3</v>
      </c>
      <c r="I124" s="9">
        <v>5.1120000000000001</v>
      </c>
      <c r="J124" s="10"/>
      <c r="K124" s="14"/>
      <c r="L124" s="12"/>
      <c r="M124" s="14"/>
      <c r="N124" s="12"/>
      <c r="O124" s="36">
        <f>VLOOKUP($A124,'SW620_Transcription factor'!$A$3:$N$227,7,FALSE)</f>
        <v>12.59</v>
      </c>
      <c r="P124" s="37">
        <f>VLOOKUP($A124,'SW620_Transcription factor'!$A$3:$N$227,11,FALSE)</f>
        <v>0</v>
      </c>
      <c r="Q124" s="37">
        <f>VLOOKUP($A124,'SW620_Transcription factor'!$A$3:$N$227,13,FALSE)</f>
        <v>0</v>
      </c>
    </row>
    <row r="125" spans="1:17" ht="15" customHeight="1">
      <c r="A125" s="8" t="str">
        <f>HYPERLINK("http://portal.genego.com/cgi/entity_page.cgi?term=100&amp;id=-659920383","NRF3")</f>
        <v>NRF3</v>
      </c>
      <c r="B125" s="9">
        <v>3</v>
      </c>
      <c r="C125" s="9">
        <v>1317</v>
      </c>
      <c r="D125" s="9">
        <v>6</v>
      </c>
      <c r="E125" s="9">
        <v>26819</v>
      </c>
      <c r="F125" s="9">
        <v>0.29459999999999997</v>
      </c>
      <c r="G125" s="9">
        <v>10.18</v>
      </c>
      <c r="H125" s="9">
        <v>2.1129999999999999E-3</v>
      </c>
      <c r="I125" s="9">
        <v>5.1120000000000001</v>
      </c>
      <c r="J125" s="10"/>
      <c r="K125" s="14"/>
      <c r="L125" s="12"/>
      <c r="M125" s="14"/>
      <c r="N125" s="12"/>
      <c r="O125" s="36" t="e">
        <f>VLOOKUP($A125,'SW620_Transcription factor'!$A$3:$N$227,7,FALSE)</f>
        <v>#N/A</v>
      </c>
      <c r="P125" s="37" t="e">
        <f>VLOOKUP($A125,'SW620_Transcription factor'!$A$3:$N$227,11,FALSE)</f>
        <v>#N/A</v>
      </c>
      <c r="Q125" s="37" t="e">
        <f>VLOOKUP($A125,'SW620_Transcription factor'!$A$3:$N$227,13,FALSE)</f>
        <v>#N/A</v>
      </c>
    </row>
    <row r="126" spans="1:17" ht="15" customHeight="1">
      <c r="A126" s="8" t="str">
        <f>HYPERLINK("http://portal.genego.com/cgi/entity_page.cgi?term=100&amp;id=-1171718846","ROR-alpha")</f>
        <v>ROR-alpha</v>
      </c>
      <c r="B126" s="9">
        <v>11</v>
      </c>
      <c r="C126" s="9">
        <v>1317</v>
      </c>
      <c r="D126" s="9">
        <v>82</v>
      </c>
      <c r="E126" s="9">
        <v>26819</v>
      </c>
      <c r="F126" s="9">
        <v>4.0270000000000001</v>
      </c>
      <c r="G126" s="9">
        <v>2.7320000000000002</v>
      </c>
      <c r="H126" s="9">
        <v>2.189E-3</v>
      </c>
      <c r="I126" s="9">
        <v>3.569</v>
      </c>
      <c r="J126" s="10"/>
      <c r="K126" s="14"/>
      <c r="L126" s="12"/>
      <c r="M126" s="14"/>
      <c r="N126" s="12"/>
      <c r="O126" s="36" t="e">
        <f>VLOOKUP($A126,'SW620_Transcription factor'!$A$3:$N$227,7,FALSE)</f>
        <v>#N/A</v>
      </c>
      <c r="P126" s="37" t="e">
        <f>VLOOKUP($A126,'SW620_Transcription factor'!$A$3:$N$227,11,FALSE)</f>
        <v>#N/A</v>
      </c>
      <c r="Q126" s="37" t="e">
        <f>VLOOKUP($A126,'SW620_Transcription factor'!$A$3:$N$227,13,FALSE)</f>
        <v>#N/A</v>
      </c>
    </row>
    <row r="127" spans="1:17" ht="15" customHeight="1">
      <c r="A127" s="8" t="str">
        <f>HYPERLINK("http://portal.genego.com/cgi/entity_page.cgi?term=100&amp;id=-167905360","TEF-3")</f>
        <v>TEF-3</v>
      </c>
      <c r="B127" s="9">
        <v>10</v>
      </c>
      <c r="C127" s="9">
        <v>1317</v>
      </c>
      <c r="D127" s="9">
        <v>71</v>
      </c>
      <c r="E127" s="9">
        <v>26819</v>
      </c>
      <c r="F127" s="9">
        <v>3.4870000000000001</v>
      </c>
      <c r="G127" s="9">
        <v>2.8679999999999999</v>
      </c>
      <c r="H127" s="9">
        <v>2.3760000000000001E-3</v>
      </c>
      <c r="I127" s="9">
        <v>3.5819999999999999</v>
      </c>
      <c r="J127" s="10"/>
      <c r="K127" s="14"/>
      <c r="L127" s="12"/>
      <c r="M127" s="14"/>
      <c r="N127" s="12"/>
      <c r="O127" s="36">
        <f>VLOOKUP($A127,'SW620_Transcription factor'!$A$3:$N$227,7,FALSE)</f>
        <v>2.66</v>
      </c>
      <c r="P127" s="37">
        <f>VLOOKUP($A127,'SW620_Transcription factor'!$A$3:$N$227,11,FALSE)</f>
        <v>0</v>
      </c>
      <c r="Q127" s="37">
        <f>VLOOKUP($A127,'SW620_Transcription factor'!$A$3:$N$227,13,FALSE)</f>
        <v>0</v>
      </c>
    </row>
    <row r="128" spans="1:17" ht="15" customHeight="1">
      <c r="A128" s="8" t="str">
        <f>HYPERLINK("http://portal.genego.com/cgi/entity_page.cgi?term=100&amp;id=-397654192","TFIIA alpha/beta chains")</f>
        <v>TFIIA alpha/beta chains</v>
      </c>
      <c r="B128" s="9">
        <v>2</v>
      </c>
      <c r="C128" s="9">
        <v>1317</v>
      </c>
      <c r="D128" s="9">
        <v>2</v>
      </c>
      <c r="E128" s="9">
        <v>26819</v>
      </c>
      <c r="F128" s="9">
        <v>9.8210000000000006E-2</v>
      </c>
      <c r="G128" s="9">
        <v>20.36</v>
      </c>
      <c r="H128" s="9">
        <v>2.4099999999999998E-3</v>
      </c>
      <c r="I128" s="9">
        <v>6.2229999999999999</v>
      </c>
      <c r="J128" s="10"/>
      <c r="K128" s="14"/>
      <c r="L128" s="12"/>
      <c r="M128" s="14"/>
      <c r="N128" s="12"/>
      <c r="O128" s="36" t="e">
        <f>VLOOKUP($A128,'SW620_Transcription factor'!$A$3:$N$227,7,FALSE)</f>
        <v>#N/A</v>
      </c>
      <c r="P128" s="37" t="e">
        <f>VLOOKUP($A128,'SW620_Transcription factor'!$A$3:$N$227,11,FALSE)</f>
        <v>#N/A</v>
      </c>
      <c r="Q128" s="37" t="e">
        <f>VLOOKUP($A128,'SW620_Transcription factor'!$A$3:$N$227,13,FALSE)</f>
        <v>#N/A</v>
      </c>
    </row>
    <row r="129" spans="1:17" ht="15" customHeight="1">
      <c r="A129" s="8" t="str">
        <f>HYPERLINK("http://portal.genego.com/cgi/entity_page.cgi?term=100&amp;id=6210","T-bet")</f>
        <v>T-bet</v>
      </c>
      <c r="B129" s="9">
        <v>8</v>
      </c>
      <c r="C129" s="9">
        <v>1317</v>
      </c>
      <c r="D129" s="9">
        <v>49</v>
      </c>
      <c r="E129" s="9">
        <v>26819</v>
      </c>
      <c r="F129" s="9">
        <v>2.4060000000000001</v>
      </c>
      <c r="G129" s="9">
        <v>3.3250000000000002</v>
      </c>
      <c r="H129" s="9">
        <v>2.4780000000000002E-3</v>
      </c>
      <c r="I129" s="9">
        <v>3.7010000000000001</v>
      </c>
      <c r="J129" s="10"/>
      <c r="K129" s="14"/>
      <c r="L129" s="12"/>
      <c r="M129" s="14"/>
      <c r="N129" s="12"/>
      <c r="O129" s="36">
        <f>VLOOKUP($A129,'SW620_Transcription factor'!$A$3:$N$227,7,FALSE)</f>
        <v>2.698</v>
      </c>
      <c r="P129" s="37">
        <f>VLOOKUP($A129,'SW620_Transcription factor'!$A$3:$N$227,11,FALSE)</f>
        <v>0</v>
      </c>
      <c r="Q129" s="37">
        <f>VLOOKUP($A129,'SW620_Transcription factor'!$A$3:$N$227,13,FALSE)</f>
        <v>0</v>
      </c>
    </row>
    <row r="130" spans="1:17" ht="15" customHeight="1">
      <c r="A130" s="8" t="str">
        <f>HYPERLINK("http://portal.genego.com/cgi/entity_page.cgi?term=100&amp;id=-3886333","PAX3")</f>
        <v>PAX3</v>
      </c>
      <c r="B130" s="9">
        <v>7</v>
      </c>
      <c r="C130" s="9">
        <v>1317</v>
      </c>
      <c r="D130" s="9">
        <v>39</v>
      </c>
      <c r="E130" s="9">
        <v>26819</v>
      </c>
      <c r="F130" s="9">
        <v>1.915</v>
      </c>
      <c r="G130" s="9">
        <v>3.6549999999999998</v>
      </c>
      <c r="H130" s="9">
        <v>2.6199999999999999E-3</v>
      </c>
      <c r="I130" s="9">
        <v>3.7709999999999999</v>
      </c>
      <c r="J130" s="10"/>
      <c r="K130" s="14"/>
      <c r="L130" s="12"/>
      <c r="M130" s="14"/>
      <c r="N130" s="12"/>
      <c r="O130" s="36">
        <f>VLOOKUP($A130,'SW620_Transcription factor'!$A$3:$N$227,7,FALSE)</f>
        <v>4.843</v>
      </c>
      <c r="P130" s="37">
        <f>VLOOKUP($A130,'SW620_Transcription factor'!$A$3:$N$227,11,FALSE)</f>
        <v>0</v>
      </c>
      <c r="Q130" s="37">
        <f>VLOOKUP($A130,'SW620_Transcription factor'!$A$3:$N$227,13,FALSE)</f>
        <v>0</v>
      </c>
    </row>
    <row r="131" spans="1:17" ht="15" customHeight="1">
      <c r="A131" s="8" t="str">
        <f>HYPERLINK("http://portal.genego.com/cgi/entity_page.cgi?term=100&amp;id=91","Brca1")</f>
        <v>Brca1</v>
      </c>
      <c r="B131" s="9">
        <v>5</v>
      </c>
      <c r="C131" s="9">
        <v>1317</v>
      </c>
      <c r="D131" s="9">
        <v>21</v>
      </c>
      <c r="E131" s="9">
        <v>26819</v>
      </c>
      <c r="F131" s="9">
        <v>1.0309999999999999</v>
      </c>
      <c r="G131" s="9">
        <v>4.8490000000000002</v>
      </c>
      <c r="H131" s="9">
        <v>2.9819999999999998E-3</v>
      </c>
      <c r="I131" s="9">
        <v>4.0090000000000003</v>
      </c>
      <c r="J131" s="10"/>
      <c r="K131" s="14"/>
      <c r="L131" s="12"/>
      <c r="M131" s="14"/>
      <c r="N131" s="12"/>
      <c r="O131" s="36" t="e">
        <f>VLOOKUP($A131,'SW620_Transcription factor'!$A$3:$N$227,7,FALSE)</f>
        <v>#N/A</v>
      </c>
      <c r="P131" s="37" t="e">
        <f>VLOOKUP($A131,'SW620_Transcription factor'!$A$3:$N$227,11,FALSE)</f>
        <v>#N/A</v>
      </c>
      <c r="Q131" s="37" t="e">
        <f>VLOOKUP($A131,'SW620_Transcription factor'!$A$3:$N$227,13,FALSE)</f>
        <v>#N/A</v>
      </c>
    </row>
    <row r="132" spans="1:17" ht="15" customHeight="1">
      <c r="A132" s="8" t="str">
        <f>HYPERLINK("http://portal.genego.com/cgi/entity_page.cgi?term=100&amp;id=-1746398550","DLX5")</f>
        <v>DLX5</v>
      </c>
      <c r="B132" s="9">
        <v>6</v>
      </c>
      <c r="C132" s="9">
        <v>1317</v>
      </c>
      <c r="D132" s="9">
        <v>30</v>
      </c>
      <c r="E132" s="9">
        <v>26819</v>
      </c>
      <c r="F132" s="9">
        <v>1.4730000000000001</v>
      </c>
      <c r="G132" s="9">
        <v>4.0730000000000004</v>
      </c>
      <c r="H132" s="9">
        <v>2.9819999999999998E-3</v>
      </c>
      <c r="I132" s="9">
        <v>3.827</v>
      </c>
      <c r="J132" s="10" t="s">
        <v>50</v>
      </c>
      <c r="K132" s="25">
        <v>0.79185103999999995</v>
      </c>
      <c r="L132" s="12">
        <v>4.5269659999999998E-4</v>
      </c>
      <c r="M132" s="22">
        <v>2.6905855999999999</v>
      </c>
      <c r="N132" s="12">
        <v>4.5269659999999998E-4</v>
      </c>
      <c r="O132" s="36" t="e">
        <f>VLOOKUP($A132,'SW620_Transcription factor'!$A$3:$N$227,7,FALSE)</f>
        <v>#N/A</v>
      </c>
      <c r="P132" s="37" t="e">
        <f>VLOOKUP($A132,'SW620_Transcription factor'!$A$3:$N$227,11,FALSE)</f>
        <v>#N/A</v>
      </c>
      <c r="Q132" s="37" t="e">
        <f>VLOOKUP($A132,'SW620_Transcription factor'!$A$3:$N$227,13,FALSE)</f>
        <v>#N/A</v>
      </c>
    </row>
    <row r="133" spans="1:17" ht="15" customHeight="1">
      <c r="A133" s="8" t="str">
        <f>HYPERLINK("http://portal.genego.com/cgi/entity_page.cgi?term=100&amp;id=-512403271","FOXP1")</f>
        <v>FOXP1</v>
      </c>
      <c r="B133" s="9">
        <v>7</v>
      </c>
      <c r="C133" s="9">
        <v>1317</v>
      </c>
      <c r="D133" s="9">
        <v>40</v>
      </c>
      <c r="E133" s="9">
        <v>26819</v>
      </c>
      <c r="F133" s="9">
        <v>1.964</v>
      </c>
      <c r="G133" s="9">
        <v>3.5640000000000001</v>
      </c>
      <c r="H133" s="9">
        <v>3.0430000000000001E-3</v>
      </c>
      <c r="I133" s="9">
        <v>3.6869999999999998</v>
      </c>
      <c r="J133" s="10"/>
      <c r="K133" s="14"/>
      <c r="L133" s="12"/>
      <c r="M133" s="14"/>
      <c r="N133" s="12"/>
      <c r="O133" s="36">
        <f>VLOOKUP($A133,'SW620_Transcription factor'!$A$3:$N$227,7,FALSE)</f>
        <v>2.8330000000000002</v>
      </c>
      <c r="P133" s="37">
        <f>VLOOKUP($A133,'SW620_Transcription factor'!$A$3:$N$227,11,FALSE)</f>
        <v>-1.232883</v>
      </c>
      <c r="Q133" s="37">
        <f>VLOOKUP($A133,'SW620_Transcription factor'!$A$3:$N$227,13,FALSE)</f>
        <v>-1.1424894000000001</v>
      </c>
    </row>
    <row r="134" spans="1:17" ht="15" customHeight="1">
      <c r="A134" s="8" t="str">
        <f>HYPERLINK("http://portal.genego.com/cgi/entity_page.cgi?term=100&amp;id=4129","AP-2A")</f>
        <v>AP-2A</v>
      </c>
      <c r="B134" s="9">
        <v>23</v>
      </c>
      <c r="C134" s="9">
        <v>1317</v>
      </c>
      <c r="D134" s="9">
        <v>255</v>
      </c>
      <c r="E134" s="9">
        <v>26819</v>
      </c>
      <c r="F134" s="9">
        <v>12.52</v>
      </c>
      <c r="G134" s="9">
        <v>1.837</v>
      </c>
      <c r="H134" s="9">
        <v>3.8240000000000001E-3</v>
      </c>
      <c r="I134" s="9">
        <v>3.0510000000000002</v>
      </c>
      <c r="J134" s="10"/>
      <c r="K134" s="14"/>
      <c r="L134" s="12"/>
      <c r="M134" s="14"/>
      <c r="N134" s="12"/>
      <c r="O134" s="36">
        <f>VLOOKUP($A134,'SW620_Transcription factor'!$A$3:$N$227,7,FALSE)</f>
        <v>2.2959999999999998</v>
      </c>
      <c r="P134" s="37">
        <f>VLOOKUP($A134,'SW620_Transcription factor'!$A$3:$N$227,11,FALSE)</f>
        <v>0</v>
      </c>
      <c r="Q134" s="37">
        <f>VLOOKUP($A134,'SW620_Transcription factor'!$A$3:$N$227,13,FALSE)</f>
        <v>0</v>
      </c>
    </row>
    <row r="135" spans="1:17" ht="15" customHeight="1">
      <c r="A135" s="8" t="str">
        <f>HYPERLINK("http://portal.genego.com/cgi/entity_page.cgi?term=100&amp;id=2483","Fra-1")</f>
        <v>Fra-1</v>
      </c>
      <c r="B135" s="9">
        <v>11</v>
      </c>
      <c r="C135" s="9">
        <v>1317</v>
      </c>
      <c r="D135" s="9">
        <v>88</v>
      </c>
      <c r="E135" s="9">
        <v>26819</v>
      </c>
      <c r="F135" s="9">
        <v>4.3209999999999997</v>
      </c>
      <c r="G135" s="9">
        <v>2.5449999999999999</v>
      </c>
      <c r="H135" s="9">
        <v>3.8340000000000002E-3</v>
      </c>
      <c r="I135" s="9">
        <v>3.3</v>
      </c>
      <c r="J135" s="10"/>
      <c r="K135" s="14"/>
      <c r="L135" s="12"/>
      <c r="M135" s="14"/>
      <c r="N135" s="12"/>
      <c r="O135" s="36">
        <f>VLOOKUP($A135,'SW620_Transcription factor'!$A$3:$N$227,7,FALSE)</f>
        <v>4.0780000000000003</v>
      </c>
      <c r="P135" s="37">
        <f>VLOOKUP($A135,'SW620_Transcription factor'!$A$3:$N$227,11,FALSE)</f>
        <v>0</v>
      </c>
      <c r="Q135" s="37">
        <f>VLOOKUP($A135,'SW620_Transcription factor'!$A$3:$N$227,13,FALSE)</f>
        <v>0</v>
      </c>
    </row>
    <row r="136" spans="1:17" ht="15" customHeight="1">
      <c r="A136" s="8" t="str">
        <f>HYPERLINK("http://portal.genego.com/cgi/entity_page.cgi?term=100&amp;id=6076","ARNT")</f>
        <v>ARNT</v>
      </c>
      <c r="B136" s="9">
        <v>10</v>
      </c>
      <c r="C136" s="9">
        <v>1317</v>
      </c>
      <c r="D136" s="9">
        <v>76</v>
      </c>
      <c r="E136" s="9">
        <v>26819</v>
      </c>
      <c r="F136" s="9">
        <v>3.7320000000000002</v>
      </c>
      <c r="G136" s="9">
        <v>2.6789999999999998</v>
      </c>
      <c r="H136" s="9">
        <v>3.9410000000000001E-3</v>
      </c>
      <c r="I136" s="9">
        <v>3.3319999999999999</v>
      </c>
      <c r="J136" s="10"/>
      <c r="K136" s="14"/>
      <c r="L136" s="12"/>
      <c r="M136" s="14"/>
      <c r="N136" s="12"/>
      <c r="O136" s="36" t="e">
        <f>VLOOKUP($A136,'SW620_Transcription factor'!$A$3:$N$227,7,FALSE)</f>
        <v>#N/A</v>
      </c>
      <c r="P136" s="37" t="e">
        <f>VLOOKUP($A136,'SW620_Transcription factor'!$A$3:$N$227,11,FALSE)</f>
        <v>#N/A</v>
      </c>
      <c r="Q136" s="37" t="e">
        <f>VLOOKUP($A136,'SW620_Transcription factor'!$A$3:$N$227,13,FALSE)</f>
        <v>#N/A</v>
      </c>
    </row>
    <row r="137" spans="1:17" ht="15" customHeight="1">
      <c r="A137" s="8" t="str">
        <f>HYPERLINK("http://portal.genego.com/cgi/entity_page.cgi?term=100&amp;id=4407","CTCF")</f>
        <v>CTCF</v>
      </c>
      <c r="B137" s="9">
        <v>16</v>
      </c>
      <c r="C137" s="9">
        <v>1317</v>
      </c>
      <c r="D137" s="9">
        <v>156</v>
      </c>
      <c r="E137" s="9">
        <v>26819</v>
      </c>
      <c r="F137" s="9">
        <v>7.6609999999999996</v>
      </c>
      <c r="G137" s="9">
        <v>2.089</v>
      </c>
      <c r="H137" s="9">
        <v>4.3369999999999997E-3</v>
      </c>
      <c r="I137" s="9">
        <v>3.0990000000000002</v>
      </c>
      <c r="J137" s="10"/>
      <c r="K137" s="14"/>
      <c r="L137" s="12"/>
      <c r="M137" s="14"/>
      <c r="N137" s="12"/>
      <c r="O137" s="36">
        <f>VLOOKUP($A137,'SW620_Transcription factor'!$A$3:$N$227,7,FALSE)</f>
        <v>2.7850000000000001</v>
      </c>
      <c r="P137" s="37">
        <f>VLOOKUP($A137,'SW620_Transcription factor'!$A$3:$N$227,11,FALSE)</f>
        <v>0</v>
      </c>
      <c r="Q137" s="37">
        <f>VLOOKUP($A137,'SW620_Transcription factor'!$A$3:$N$227,13,FALSE)</f>
        <v>0</v>
      </c>
    </row>
    <row r="138" spans="1:17" ht="15" customHeight="1">
      <c r="A138" s="8" t="str">
        <f>HYPERLINK("http://portal.genego.com/cgi/entity_page.cgi?term=100&amp;id=6027","USF2")</f>
        <v>USF2</v>
      </c>
      <c r="B138" s="9">
        <v>15</v>
      </c>
      <c r="C138" s="9">
        <v>1317</v>
      </c>
      <c r="D138" s="9">
        <v>144</v>
      </c>
      <c r="E138" s="9">
        <v>26819</v>
      </c>
      <c r="F138" s="9">
        <v>7.0709999999999997</v>
      </c>
      <c r="G138" s="9">
        <v>2.121</v>
      </c>
      <c r="H138" s="9">
        <v>4.8830000000000002E-3</v>
      </c>
      <c r="I138" s="9">
        <v>3.0659999999999998</v>
      </c>
      <c r="J138" s="10"/>
      <c r="K138" s="14"/>
      <c r="L138" s="12"/>
      <c r="M138" s="14"/>
      <c r="N138" s="12"/>
      <c r="O138" s="36" t="e">
        <f>VLOOKUP($A138,'SW620_Transcription factor'!$A$3:$N$227,7,FALSE)</f>
        <v>#N/A</v>
      </c>
      <c r="P138" s="37" t="e">
        <f>VLOOKUP($A138,'SW620_Transcription factor'!$A$3:$N$227,11,FALSE)</f>
        <v>#N/A</v>
      </c>
      <c r="Q138" s="37" t="e">
        <f>VLOOKUP($A138,'SW620_Transcription factor'!$A$3:$N$227,13,FALSE)</f>
        <v>#N/A</v>
      </c>
    </row>
    <row r="139" spans="1:17" ht="15" customHeight="1">
      <c r="A139" s="8" t="str">
        <f>HYPERLINK("http://portal.genego.com/cgi/entity_page.cgi?term=100&amp;id=2790","NFYA")</f>
        <v>NFYA</v>
      </c>
      <c r="B139" s="9">
        <v>16</v>
      </c>
      <c r="C139" s="9">
        <v>1317</v>
      </c>
      <c r="D139" s="9">
        <v>158</v>
      </c>
      <c r="E139" s="9">
        <v>26819</v>
      </c>
      <c r="F139" s="9">
        <v>7.7590000000000003</v>
      </c>
      <c r="G139" s="9">
        <v>2.0619999999999998</v>
      </c>
      <c r="H139" s="9">
        <v>4.9069999999999999E-3</v>
      </c>
      <c r="I139" s="9">
        <v>3.0430000000000001</v>
      </c>
      <c r="J139" s="10"/>
      <c r="K139" s="14"/>
      <c r="L139" s="12"/>
      <c r="M139" s="14"/>
      <c r="N139" s="12"/>
      <c r="O139" s="36" t="e">
        <f>VLOOKUP($A139,'SW620_Transcription factor'!$A$3:$N$227,7,FALSE)</f>
        <v>#N/A</v>
      </c>
      <c r="P139" s="37" t="e">
        <f>VLOOKUP($A139,'SW620_Transcription factor'!$A$3:$N$227,11,FALSE)</f>
        <v>#N/A</v>
      </c>
      <c r="Q139" s="37" t="e">
        <f>VLOOKUP($A139,'SW620_Transcription factor'!$A$3:$N$227,13,FALSE)</f>
        <v>#N/A</v>
      </c>
    </row>
    <row r="140" spans="1:17" ht="15" customHeight="1">
      <c r="A140" s="8" t="str">
        <f>HYPERLINK("http://portal.genego.com/cgi/entity_page.cgi?term=100&amp;id=-2125158999","NELF-A")</f>
        <v>NELF-A</v>
      </c>
      <c r="B140" s="9">
        <v>4</v>
      </c>
      <c r="C140" s="9">
        <v>1317</v>
      </c>
      <c r="D140" s="9">
        <v>15</v>
      </c>
      <c r="E140" s="9">
        <v>26819</v>
      </c>
      <c r="F140" s="9">
        <v>0.73660000000000003</v>
      </c>
      <c r="G140" s="9">
        <v>5.43</v>
      </c>
      <c r="H140" s="9">
        <v>5.1120000000000002E-3</v>
      </c>
      <c r="I140" s="9">
        <v>3.9</v>
      </c>
      <c r="J140" s="10"/>
      <c r="K140" s="14"/>
      <c r="L140" s="12"/>
      <c r="M140" s="14"/>
      <c r="N140" s="12"/>
      <c r="O140" s="36" t="e">
        <f>VLOOKUP($A140,'SW620_Transcription factor'!$A$3:$N$227,7,FALSE)</f>
        <v>#N/A</v>
      </c>
      <c r="P140" s="37" t="e">
        <f>VLOOKUP($A140,'SW620_Transcription factor'!$A$3:$N$227,11,FALSE)</f>
        <v>#N/A</v>
      </c>
      <c r="Q140" s="37" t="e">
        <f>VLOOKUP($A140,'SW620_Transcription factor'!$A$3:$N$227,13,FALSE)</f>
        <v>#N/A</v>
      </c>
    </row>
    <row r="141" spans="1:17" ht="15" customHeight="1">
      <c r="A141" s="8" t="str">
        <f>HYPERLINK("http://portal.genego.com/cgi/entity_page.cgi?term=100&amp;id=4384","TEF-1")</f>
        <v>TEF-1</v>
      </c>
      <c r="B141" s="9">
        <v>9</v>
      </c>
      <c r="C141" s="9">
        <v>1317</v>
      </c>
      <c r="D141" s="9">
        <v>67</v>
      </c>
      <c r="E141" s="9">
        <v>26819</v>
      </c>
      <c r="F141" s="9">
        <v>3.29</v>
      </c>
      <c r="G141" s="9">
        <v>2.7349999999999999</v>
      </c>
      <c r="H141" s="9">
        <v>5.313E-3</v>
      </c>
      <c r="I141" s="9">
        <v>3.2320000000000002</v>
      </c>
      <c r="J141" s="10"/>
      <c r="K141" s="14"/>
      <c r="L141" s="12"/>
      <c r="M141" s="14"/>
      <c r="N141" s="12"/>
      <c r="O141" s="36">
        <f>VLOOKUP($A141,'SW620_Transcription factor'!$A$3:$N$227,7,FALSE)</f>
        <v>2.5369999999999999</v>
      </c>
      <c r="P141" s="37">
        <f>VLOOKUP($A141,'SW620_Transcription factor'!$A$3:$N$227,11,FALSE)</f>
        <v>0</v>
      </c>
      <c r="Q141" s="37">
        <f>VLOOKUP($A141,'SW620_Transcription factor'!$A$3:$N$227,13,FALSE)</f>
        <v>0</v>
      </c>
    </row>
    <row r="142" spans="1:17" ht="15" customHeight="1">
      <c r="A142" s="8" t="str">
        <f>HYPERLINK("http://portal.genego.com/cgi/entity_page.cgi?term=100&amp;id=-1594535737","POU2F3")</f>
        <v>POU2F3</v>
      </c>
      <c r="B142" s="9">
        <v>3</v>
      </c>
      <c r="C142" s="9">
        <v>1317</v>
      </c>
      <c r="D142" s="9">
        <v>8</v>
      </c>
      <c r="E142" s="9">
        <v>26819</v>
      </c>
      <c r="F142" s="9">
        <v>0.39290000000000003</v>
      </c>
      <c r="G142" s="9">
        <v>7.6360000000000001</v>
      </c>
      <c r="H142" s="9">
        <v>5.4929999999999996E-3</v>
      </c>
      <c r="I142" s="9">
        <v>4.266</v>
      </c>
      <c r="J142" s="10" t="s">
        <v>58</v>
      </c>
      <c r="K142" s="39">
        <v>-2.7596544999999999</v>
      </c>
      <c r="L142" s="12">
        <v>2.441618E-7</v>
      </c>
      <c r="M142" s="21">
        <v>-3.0545566000000002</v>
      </c>
      <c r="N142" s="12">
        <v>2.441618E-7</v>
      </c>
      <c r="O142" s="36" t="e">
        <f>VLOOKUP($A142,'SW620_Transcription factor'!$A$3:$N$227,7,FALSE)</f>
        <v>#N/A</v>
      </c>
      <c r="P142" s="37" t="e">
        <f>VLOOKUP($A142,'SW620_Transcription factor'!$A$3:$N$227,11,FALSE)</f>
        <v>#N/A</v>
      </c>
      <c r="Q142" s="37" t="e">
        <f>VLOOKUP($A142,'SW620_Transcription factor'!$A$3:$N$227,13,FALSE)</f>
        <v>#N/A</v>
      </c>
    </row>
    <row r="143" spans="1:17" ht="15" customHeight="1">
      <c r="A143" s="8" t="str">
        <f>HYPERLINK("http://portal.genego.com/cgi/entity_page.cgi?term=100&amp;id=6431","HSF1")</f>
        <v>HSF1</v>
      </c>
      <c r="B143" s="9">
        <v>24</v>
      </c>
      <c r="C143" s="9">
        <v>1317</v>
      </c>
      <c r="D143" s="9">
        <v>279</v>
      </c>
      <c r="E143" s="9">
        <v>26819</v>
      </c>
      <c r="F143" s="9">
        <v>13.7</v>
      </c>
      <c r="G143" s="9">
        <v>1.752</v>
      </c>
      <c r="H143" s="9">
        <v>5.7409999999999996E-3</v>
      </c>
      <c r="I143" s="9">
        <v>2.8679999999999999</v>
      </c>
      <c r="J143" s="10"/>
      <c r="K143" s="14"/>
      <c r="L143" s="12"/>
      <c r="M143" s="14"/>
      <c r="N143" s="12"/>
      <c r="O143" s="36">
        <f>VLOOKUP($A143,'SW620_Transcription factor'!$A$3:$N$227,7,FALSE)</f>
        <v>1.76</v>
      </c>
      <c r="P143" s="37">
        <f>VLOOKUP($A143,'SW620_Transcription factor'!$A$3:$N$227,11,FALSE)</f>
        <v>0</v>
      </c>
      <c r="Q143" s="37">
        <f>VLOOKUP($A143,'SW620_Transcription factor'!$A$3:$N$227,13,FALSE)</f>
        <v>0</v>
      </c>
    </row>
    <row r="144" spans="1:17" ht="15" customHeight="1">
      <c r="A144" s="8" t="str">
        <f>HYPERLINK("http://portal.genego.com/cgi/entity_page.cgi?term=100&amp;id=4431","TITF1")</f>
        <v>TITF1</v>
      </c>
      <c r="B144" s="9">
        <v>11</v>
      </c>
      <c r="C144" s="9">
        <v>1317</v>
      </c>
      <c r="D144" s="9">
        <v>93</v>
      </c>
      <c r="E144" s="9">
        <v>26819</v>
      </c>
      <c r="F144" s="9">
        <v>4.5670000000000002</v>
      </c>
      <c r="G144" s="9">
        <v>2.4089999999999998</v>
      </c>
      <c r="H144" s="9">
        <v>5.8529999999999997E-3</v>
      </c>
      <c r="I144" s="9">
        <v>3.0920000000000001</v>
      </c>
      <c r="J144" s="10"/>
      <c r="K144" s="14"/>
      <c r="L144" s="12"/>
      <c r="M144" s="14"/>
      <c r="N144" s="12"/>
      <c r="O144" s="36" t="e">
        <f>VLOOKUP($A144,'SW620_Transcription factor'!$A$3:$N$227,7,FALSE)</f>
        <v>#N/A</v>
      </c>
      <c r="P144" s="37" t="e">
        <f>VLOOKUP($A144,'SW620_Transcription factor'!$A$3:$N$227,11,FALSE)</f>
        <v>#N/A</v>
      </c>
      <c r="Q144" s="37" t="e">
        <f>VLOOKUP($A144,'SW620_Transcription factor'!$A$3:$N$227,13,FALSE)</f>
        <v>#N/A</v>
      </c>
    </row>
    <row r="145" spans="1:17" ht="15" customHeight="1">
      <c r="A145" s="8" t="str">
        <f>HYPERLINK("http://portal.genego.com/cgi/entity_page.cgi?term=100&amp;id=-115825747","Oct-3/4")</f>
        <v>Oct-3/4</v>
      </c>
      <c r="B145" s="9">
        <v>79</v>
      </c>
      <c r="C145" s="9">
        <v>1317</v>
      </c>
      <c r="D145" s="9">
        <v>1209</v>
      </c>
      <c r="E145" s="9">
        <v>26819</v>
      </c>
      <c r="F145" s="9">
        <v>59.37</v>
      </c>
      <c r="G145" s="9">
        <v>1.331</v>
      </c>
      <c r="H145" s="9">
        <v>6.0130000000000001E-3</v>
      </c>
      <c r="I145" s="9">
        <v>2.673</v>
      </c>
      <c r="J145" s="10"/>
      <c r="K145" s="14"/>
      <c r="L145" s="12"/>
      <c r="M145" s="14"/>
      <c r="N145" s="12"/>
      <c r="O145" s="36">
        <f>VLOOKUP($A145,'SW620_Transcription factor'!$A$3:$N$227,7,FALSE)</f>
        <v>1.7809999999999999</v>
      </c>
      <c r="P145" s="37">
        <f>VLOOKUP($A145,'SW620_Transcription factor'!$A$3:$N$227,11,FALSE)</f>
        <v>0</v>
      </c>
      <c r="Q145" s="37">
        <f>VLOOKUP($A145,'SW620_Transcription factor'!$A$3:$N$227,13,FALSE)</f>
        <v>0</v>
      </c>
    </row>
    <row r="146" spans="1:17" ht="15" customHeight="1">
      <c r="A146" s="8" t="str">
        <f>HYPERLINK("http://portal.genego.com/cgi/entity_page.cgi?term=100&amp;id=151","COUP-TFII")</f>
        <v>COUP-TFII</v>
      </c>
      <c r="B146" s="9">
        <v>11</v>
      </c>
      <c r="C146" s="9">
        <v>1317</v>
      </c>
      <c r="D146" s="9">
        <v>94</v>
      </c>
      <c r="E146" s="9">
        <v>26819</v>
      </c>
      <c r="F146" s="9">
        <v>4.6159999999999997</v>
      </c>
      <c r="G146" s="9">
        <v>2.383</v>
      </c>
      <c r="H146" s="9">
        <v>6.3429999999999997E-3</v>
      </c>
      <c r="I146" s="9">
        <v>3.052</v>
      </c>
      <c r="J146" s="10"/>
      <c r="K146" s="14"/>
      <c r="L146" s="12"/>
      <c r="M146" s="14"/>
      <c r="N146" s="12"/>
      <c r="O146" s="36">
        <f>VLOOKUP($A146,'SW620_Transcription factor'!$A$3:$N$227,7,FALSE)</f>
        <v>2.411</v>
      </c>
      <c r="P146" s="37">
        <f>VLOOKUP($A146,'SW620_Transcription factor'!$A$3:$N$227,11,FALSE)</f>
        <v>0</v>
      </c>
      <c r="Q146" s="37">
        <f>VLOOKUP($A146,'SW620_Transcription factor'!$A$3:$N$227,13,FALSE)</f>
        <v>0</v>
      </c>
    </row>
    <row r="147" spans="1:17" ht="15" customHeight="1">
      <c r="A147" s="8" t="str">
        <f>HYPERLINK("http://portal.genego.com/cgi/entity_page.cgi?term=100&amp;id=503","Max")</f>
        <v>Max</v>
      </c>
      <c r="B147" s="9">
        <v>11</v>
      </c>
      <c r="C147" s="9">
        <v>1317</v>
      </c>
      <c r="D147" s="9">
        <v>94</v>
      </c>
      <c r="E147" s="9">
        <v>26819</v>
      </c>
      <c r="F147" s="9">
        <v>4.6159999999999997</v>
      </c>
      <c r="G147" s="9">
        <v>2.383</v>
      </c>
      <c r="H147" s="9">
        <v>6.3429999999999997E-3</v>
      </c>
      <c r="I147" s="9">
        <v>3.052</v>
      </c>
      <c r="J147" s="10"/>
      <c r="K147" s="14"/>
      <c r="L147" s="12"/>
      <c r="M147" s="14"/>
      <c r="N147" s="12"/>
      <c r="O147" s="36" t="e">
        <f>VLOOKUP($A147,'SW620_Transcription factor'!$A$3:$N$227,7,FALSE)</f>
        <v>#N/A</v>
      </c>
      <c r="P147" s="37" t="e">
        <f>VLOOKUP($A147,'SW620_Transcription factor'!$A$3:$N$227,11,FALSE)</f>
        <v>#N/A</v>
      </c>
      <c r="Q147" s="37" t="e">
        <f>VLOOKUP($A147,'SW620_Transcription factor'!$A$3:$N$227,13,FALSE)</f>
        <v>#N/A</v>
      </c>
    </row>
    <row r="148" spans="1:17" ht="15" customHeight="1">
      <c r="A148" s="8" t="str">
        <f>HYPERLINK("http://portal.genego.com/cgi/entity_page.cgi?term=100&amp;id=2826","TWIST1")</f>
        <v>TWIST1</v>
      </c>
      <c r="B148" s="9">
        <v>13</v>
      </c>
      <c r="C148" s="9">
        <v>1317</v>
      </c>
      <c r="D148" s="9">
        <v>121</v>
      </c>
      <c r="E148" s="9">
        <v>26819</v>
      </c>
      <c r="F148" s="9">
        <v>5.9420000000000002</v>
      </c>
      <c r="G148" s="9">
        <v>2.1880000000000002</v>
      </c>
      <c r="H148" s="9">
        <v>6.5420000000000001E-3</v>
      </c>
      <c r="I148" s="9">
        <v>2.976</v>
      </c>
      <c r="J148" s="10"/>
      <c r="K148" s="14"/>
      <c r="L148" s="12"/>
      <c r="M148" s="14"/>
      <c r="N148" s="12"/>
      <c r="O148" s="36">
        <f>VLOOKUP($A148,'SW620_Transcription factor'!$A$3:$N$227,7,FALSE)</f>
        <v>2.4969999999999999</v>
      </c>
      <c r="P148" s="37">
        <f>VLOOKUP($A148,'SW620_Transcription factor'!$A$3:$N$227,11,FALSE)</f>
        <v>1.2967738</v>
      </c>
      <c r="Q148" s="37">
        <f>VLOOKUP($A148,'SW620_Transcription factor'!$A$3:$N$227,13,FALSE)</f>
        <v>1.3335367</v>
      </c>
    </row>
    <row r="149" spans="1:17" ht="15" customHeight="1">
      <c r="A149" s="8" t="str">
        <f>HYPERLINK("http://portal.genego.com/cgi/entity_page.cgi?term=100&amp;id=-1441476306","HMX1")</f>
        <v>HMX1</v>
      </c>
      <c r="B149" s="9">
        <v>2</v>
      </c>
      <c r="C149" s="9">
        <v>1317</v>
      </c>
      <c r="D149" s="9">
        <v>3</v>
      </c>
      <c r="E149" s="9">
        <v>26819</v>
      </c>
      <c r="F149" s="9">
        <v>0.14729999999999999</v>
      </c>
      <c r="G149" s="9">
        <v>13.58</v>
      </c>
      <c r="H149" s="9">
        <v>6.9930000000000001E-3</v>
      </c>
      <c r="I149" s="9">
        <v>4.95</v>
      </c>
      <c r="J149" s="10"/>
      <c r="K149" s="14"/>
      <c r="L149" s="12"/>
      <c r="M149" s="14"/>
      <c r="N149" s="12"/>
      <c r="O149" s="36" t="e">
        <f>VLOOKUP($A149,'SW620_Transcription factor'!$A$3:$N$227,7,FALSE)</f>
        <v>#N/A</v>
      </c>
      <c r="P149" s="37" t="e">
        <f>VLOOKUP($A149,'SW620_Transcription factor'!$A$3:$N$227,11,FALSE)</f>
        <v>#N/A</v>
      </c>
      <c r="Q149" s="37" t="e">
        <f>VLOOKUP($A149,'SW620_Transcription factor'!$A$3:$N$227,13,FALSE)</f>
        <v>#N/A</v>
      </c>
    </row>
    <row r="150" spans="1:17" ht="15" customHeight="1">
      <c r="A150" s="8" t="str">
        <f>HYPERLINK("http://portal.genego.com/cgi/entity_page.cgi?term=100&amp;id=-395706860","TFIIE, alpha subunit")</f>
        <v>TFIIE, alpha subunit</v>
      </c>
      <c r="B150" s="9">
        <v>2</v>
      </c>
      <c r="C150" s="9">
        <v>1317</v>
      </c>
      <c r="D150" s="9">
        <v>3</v>
      </c>
      <c r="E150" s="9">
        <v>26819</v>
      </c>
      <c r="F150" s="9">
        <v>0.14729999999999999</v>
      </c>
      <c r="G150" s="9">
        <v>13.58</v>
      </c>
      <c r="H150" s="9">
        <v>6.9930000000000001E-3</v>
      </c>
      <c r="I150" s="9">
        <v>4.95</v>
      </c>
      <c r="J150" s="10"/>
      <c r="K150" s="14"/>
      <c r="L150" s="12"/>
      <c r="M150" s="14"/>
      <c r="N150" s="12"/>
      <c r="O150" s="36" t="e">
        <f>VLOOKUP($A150,'SW620_Transcription factor'!$A$3:$N$227,7,FALSE)</f>
        <v>#N/A</v>
      </c>
      <c r="P150" s="37" t="e">
        <f>VLOOKUP($A150,'SW620_Transcription factor'!$A$3:$N$227,11,FALSE)</f>
        <v>#N/A</v>
      </c>
      <c r="Q150" s="37" t="e">
        <f>VLOOKUP($A150,'SW620_Transcription factor'!$A$3:$N$227,13,FALSE)</f>
        <v>#N/A</v>
      </c>
    </row>
    <row r="151" spans="1:17" ht="15" customHeight="1">
      <c r="A151" s="8" t="str">
        <f>HYPERLINK("http://portal.genego.com/cgi/entity_page.cgi?term=100&amp;id=-903555867","GLIS1")</f>
        <v>GLIS1</v>
      </c>
      <c r="B151" s="9">
        <v>2</v>
      </c>
      <c r="C151" s="9">
        <v>1317</v>
      </c>
      <c r="D151" s="9">
        <v>3</v>
      </c>
      <c r="E151" s="9">
        <v>26819</v>
      </c>
      <c r="F151" s="9">
        <v>0.14729999999999999</v>
      </c>
      <c r="G151" s="9">
        <v>13.58</v>
      </c>
      <c r="H151" s="9">
        <v>6.9930000000000001E-3</v>
      </c>
      <c r="I151" s="9">
        <v>4.95</v>
      </c>
      <c r="J151" s="10"/>
      <c r="K151" s="14"/>
      <c r="L151" s="12"/>
      <c r="M151" s="14"/>
      <c r="N151" s="12"/>
      <c r="O151" s="36">
        <f>VLOOKUP($A151,'SW620_Transcription factor'!$A$3:$N$227,7,FALSE)</f>
        <v>12.59</v>
      </c>
      <c r="P151" s="37">
        <f>VLOOKUP($A151,'SW620_Transcription factor'!$A$3:$N$227,11,FALSE)</f>
        <v>0</v>
      </c>
      <c r="Q151" s="37">
        <f>VLOOKUP($A151,'SW620_Transcription factor'!$A$3:$N$227,13,FALSE)</f>
        <v>0</v>
      </c>
    </row>
    <row r="152" spans="1:17" ht="15" customHeight="1">
      <c r="A152" s="8" t="str">
        <f>HYPERLINK("http://portal.genego.com/cgi/entity_page.cgi?term=100&amp;id=-1795949976","TFIIH p62 subunit")</f>
        <v>TFIIH p62 subunit</v>
      </c>
      <c r="B152" s="9">
        <v>2</v>
      </c>
      <c r="C152" s="9">
        <v>1317</v>
      </c>
      <c r="D152" s="9">
        <v>3</v>
      </c>
      <c r="E152" s="9">
        <v>26819</v>
      </c>
      <c r="F152" s="9">
        <v>0.14729999999999999</v>
      </c>
      <c r="G152" s="9">
        <v>13.58</v>
      </c>
      <c r="H152" s="9">
        <v>6.9930000000000001E-3</v>
      </c>
      <c r="I152" s="9">
        <v>4.95</v>
      </c>
      <c r="J152" s="10"/>
      <c r="K152" s="14"/>
      <c r="L152" s="12"/>
      <c r="M152" s="14"/>
      <c r="N152" s="12"/>
      <c r="O152" s="36" t="e">
        <f>VLOOKUP($A152,'SW620_Transcription factor'!$A$3:$N$227,7,FALSE)</f>
        <v>#N/A</v>
      </c>
      <c r="P152" s="37" t="e">
        <f>VLOOKUP($A152,'SW620_Transcription factor'!$A$3:$N$227,11,FALSE)</f>
        <v>#N/A</v>
      </c>
      <c r="Q152" s="37" t="e">
        <f>VLOOKUP($A152,'SW620_Transcription factor'!$A$3:$N$227,13,FALSE)</f>
        <v>#N/A</v>
      </c>
    </row>
    <row r="153" spans="1:17" ht="15" customHeight="1">
      <c r="A153" s="8" t="str">
        <f>HYPERLINK("http://portal.genego.com/cgi/entity_page.cgi?term=100&amp;id=4127","Pdx-1 (IPF1)")</f>
        <v>Pdx-1 (IPF1)</v>
      </c>
      <c r="B153" s="9">
        <v>13</v>
      </c>
      <c r="C153" s="9">
        <v>1317</v>
      </c>
      <c r="D153" s="9">
        <v>122</v>
      </c>
      <c r="E153" s="9">
        <v>26819</v>
      </c>
      <c r="F153" s="9">
        <v>5.9909999999999997</v>
      </c>
      <c r="G153" s="9">
        <v>2.17</v>
      </c>
      <c r="H153" s="9">
        <v>7.0020000000000004E-3</v>
      </c>
      <c r="I153" s="9">
        <v>2.9430000000000001</v>
      </c>
      <c r="J153" s="10"/>
      <c r="K153" s="14"/>
      <c r="L153" s="12"/>
      <c r="M153" s="14"/>
      <c r="N153" s="12"/>
      <c r="O153" s="36" t="e">
        <f>VLOOKUP($A153,'SW620_Transcription factor'!$A$3:$N$227,7,FALSE)</f>
        <v>#N/A</v>
      </c>
      <c r="P153" s="37" t="e">
        <f>VLOOKUP($A153,'SW620_Transcription factor'!$A$3:$N$227,11,FALSE)</f>
        <v>#N/A</v>
      </c>
      <c r="Q153" s="37" t="e">
        <f>VLOOKUP($A153,'SW620_Transcription factor'!$A$3:$N$227,13,FALSE)</f>
        <v>#N/A</v>
      </c>
    </row>
    <row r="154" spans="1:17" ht="15" customHeight="1">
      <c r="A154" s="8" t="str">
        <f>HYPERLINK("http://portal.genego.com/cgi/entity_page.cgi?term=100&amp;id=-589212696","PRDM5")</f>
        <v>PRDM5</v>
      </c>
      <c r="B154" s="9">
        <v>10</v>
      </c>
      <c r="C154" s="9">
        <v>1317</v>
      </c>
      <c r="D154" s="9">
        <v>83</v>
      </c>
      <c r="E154" s="9">
        <v>26819</v>
      </c>
      <c r="F154" s="9">
        <v>4.0759999999999996</v>
      </c>
      <c r="G154" s="9">
        <v>2.4529999999999998</v>
      </c>
      <c r="H154" s="9">
        <v>7.3860000000000002E-3</v>
      </c>
      <c r="I154" s="9">
        <v>3.0139999999999998</v>
      </c>
      <c r="J154" s="10"/>
      <c r="K154" s="14"/>
      <c r="L154" s="12"/>
      <c r="M154" s="14"/>
      <c r="N154" s="12"/>
      <c r="O154" s="36">
        <f>VLOOKUP($A154,'SW620_Transcription factor'!$A$3:$N$227,7,FALSE)</f>
        <v>2.9580000000000002</v>
      </c>
      <c r="P154" s="37">
        <f>VLOOKUP($A154,'SW620_Transcription factor'!$A$3:$N$227,11,FALSE)</f>
        <v>0</v>
      </c>
      <c r="Q154" s="37">
        <f>VLOOKUP($A154,'SW620_Transcription factor'!$A$3:$N$227,13,FALSE)</f>
        <v>0</v>
      </c>
    </row>
    <row r="155" spans="1:17" ht="15" customHeight="1">
      <c r="A155" s="8" t="str">
        <f>HYPERLINK("http://portal.genego.com/cgi/entity_page.cgi?term=100&amp;id=1076","p73")</f>
        <v>p73</v>
      </c>
      <c r="B155" s="9">
        <v>15</v>
      </c>
      <c r="C155" s="9">
        <v>1317</v>
      </c>
      <c r="D155" s="9">
        <v>151</v>
      </c>
      <c r="E155" s="9">
        <v>26819</v>
      </c>
      <c r="F155" s="9">
        <v>7.415</v>
      </c>
      <c r="G155" s="9">
        <v>2.0230000000000001</v>
      </c>
      <c r="H155" s="9">
        <v>7.5240000000000003E-3</v>
      </c>
      <c r="I155" s="9">
        <v>2.8639999999999999</v>
      </c>
      <c r="J155" s="10"/>
      <c r="K155" s="14"/>
      <c r="L155" s="12"/>
      <c r="M155" s="14"/>
      <c r="N155" s="12"/>
      <c r="O155" s="36">
        <f>VLOOKUP($A155,'SW620_Transcription factor'!$A$3:$N$227,7,FALSE)</f>
        <v>2.5019999999999998</v>
      </c>
      <c r="P155" s="37">
        <f>VLOOKUP($A155,'SW620_Transcription factor'!$A$3:$N$227,11,FALSE)</f>
        <v>0</v>
      </c>
      <c r="Q155" s="37">
        <f>VLOOKUP($A155,'SW620_Transcription factor'!$A$3:$N$227,13,FALSE)</f>
        <v>0</v>
      </c>
    </row>
    <row r="156" spans="1:17" ht="15" customHeight="1">
      <c r="A156" s="8" t="str">
        <f>HYPERLINK("http://portal.genego.com/cgi/entity_page.cgi?term=100&amp;id=6351","FOXC2")</f>
        <v>FOXC2</v>
      </c>
      <c r="B156" s="9">
        <v>6</v>
      </c>
      <c r="C156" s="9">
        <v>1317</v>
      </c>
      <c r="D156" s="9">
        <v>36</v>
      </c>
      <c r="E156" s="9">
        <v>26819</v>
      </c>
      <c r="F156" s="9">
        <v>1.768</v>
      </c>
      <c r="G156" s="9">
        <v>3.3940000000000001</v>
      </c>
      <c r="H156" s="9">
        <v>7.6169999999999996E-3</v>
      </c>
      <c r="I156" s="9">
        <v>3.266</v>
      </c>
      <c r="J156" s="10"/>
      <c r="K156" s="14"/>
      <c r="L156" s="12"/>
      <c r="M156" s="14"/>
      <c r="N156" s="12"/>
      <c r="O156" s="36">
        <f>VLOOKUP($A156,'SW620_Transcription factor'!$A$3:$N$227,7,FALSE)</f>
        <v>4.1970000000000001</v>
      </c>
      <c r="P156" s="37">
        <f>VLOOKUP($A156,'SW620_Transcription factor'!$A$3:$N$227,11,FALSE)</f>
        <v>0</v>
      </c>
      <c r="Q156" s="37">
        <f>VLOOKUP($A156,'SW620_Transcription factor'!$A$3:$N$227,13,FALSE)</f>
        <v>0</v>
      </c>
    </row>
    <row r="157" spans="1:17" ht="15" customHeight="1">
      <c r="A157" s="8" t="str">
        <f>HYPERLINK("http://portal.genego.com/cgi/entity_page.cgi?term=100&amp;id=-1239476801","HEY1")</f>
        <v>HEY1</v>
      </c>
      <c r="B157" s="9">
        <v>7</v>
      </c>
      <c r="C157" s="9">
        <v>1317</v>
      </c>
      <c r="D157" s="9">
        <v>47</v>
      </c>
      <c r="E157" s="9">
        <v>26819</v>
      </c>
      <c r="F157" s="9">
        <v>2.3079999999999998</v>
      </c>
      <c r="G157" s="9">
        <v>3.0329999999999999</v>
      </c>
      <c r="H157" s="9">
        <v>7.6270000000000001E-3</v>
      </c>
      <c r="I157" s="9">
        <v>3.17</v>
      </c>
      <c r="J157" s="10" t="s">
        <v>59</v>
      </c>
      <c r="K157" s="16">
        <v>-1.640792</v>
      </c>
      <c r="L157" s="12">
        <v>3.8189820000000002E-9</v>
      </c>
      <c r="M157" s="18">
        <v>-1.3973739000000001</v>
      </c>
      <c r="N157" s="12">
        <v>3.8189820000000002E-9</v>
      </c>
      <c r="O157" s="36">
        <f>VLOOKUP($A157,'SW620_Transcription factor'!$A$3:$N$227,7,FALSE)</f>
        <v>4.42</v>
      </c>
      <c r="P157" s="37">
        <f>VLOOKUP($A157,'SW620_Transcription factor'!$A$3:$N$227,11,FALSE)</f>
        <v>0</v>
      </c>
      <c r="Q157" s="37">
        <f>VLOOKUP($A157,'SW620_Transcription factor'!$A$3:$N$227,13,FALSE)</f>
        <v>0</v>
      </c>
    </row>
    <row r="158" spans="1:17" ht="15" customHeight="1">
      <c r="A158" s="8" t="str">
        <f>HYPERLINK("http://portal.genego.com/cgi/entity_page.cgi?term=100&amp;id=-236360090","MTF-1")</f>
        <v>MTF-1</v>
      </c>
      <c r="B158" s="9">
        <v>5</v>
      </c>
      <c r="C158" s="9">
        <v>1317</v>
      </c>
      <c r="D158" s="9">
        <v>26</v>
      </c>
      <c r="E158" s="9">
        <v>26819</v>
      </c>
      <c r="F158" s="9">
        <v>1.2769999999999999</v>
      </c>
      <c r="G158" s="9">
        <v>3.9159999999999999</v>
      </c>
      <c r="H158" s="9">
        <v>7.868E-3</v>
      </c>
      <c r="I158" s="9">
        <v>3.3809999999999998</v>
      </c>
      <c r="J158" s="10"/>
      <c r="K158" s="14"/>
      <c r="L158" s="12"/>
      <c r="M158" s="14"/>
      <c r="N158" s="12"/>
      <c r="O158" s="36" t="e">
        <f>VLOOKUP($A158,'SW620_Transcription factor'!$A$3:$N$227,7,FALSE)</f>
        <v>#N/A</v>
      </c>
      <c r="P158" s="37" t="e">
        <f>VLOOKUP($A158,'SW620_Transcription factor'!$A$3:$N$227,11,FALSE)</f>
        <v>#N/A</v>
      </c>
      <c r="Q158" s="37" t="e">
        <f>VLOOKUP($A158,'SW620_Transcription factor'!$A$3:$N$227,13,FALSE)</f>
        <v>#N/A</v>
      </c>
    </row>
    <row r="159" spans="1:17" ht="15" customHeight="1">
      <c r="A159" s="8" t="str">
        <f>HYPERLINK("http://portal.genego.com/cgi/entity_page.cgi?term=100&amp;id=-745307947","NFIA")</f>
        <v>NFIA</v>
      </c>
      <c r="B159" s="9">
        <v>8</v>
      </c>
      <c r="C159" s="9">
        <v>1317</v>
      </c>
      <c r="D159" s="9">
        <v>59</v>
      </c>
      <c r="E159" s="9">
        <v>26819</v>
      </c>
      <c r="F159" s="9">
        <v>2.8969999999999998</v>
      </c>
      <c r="G159" s="9">
        <v>2.7610000000000001</v>
      </c>
      <c r="H159" s="9">
        <v>7.9209999999999992E-3</v>
      </c>
      <c r="I159" s="9">
        <v>3.0779999999999998</v>
      </c>
      <c r="J159" s="10" t="s">
        <v>60</v>
      </c>
      <c r="K159" s="11">
        <v>1.6754087</v>
      </c>
      <c r="L159" s="12">
        <v>1.282659E-10</v>
      </c>
      <c r="M159" s="11">
        <v>1.6065978000000001</v>
      </c>
      <c r="N159" s="12">
        <v>1.282659E-10</v>
      </c>
      <c r="O159" s="36">
        <f>VLOOKUP($A159,'SW620_Transcription factor'!$A$3:$N$227,7,FALSE)</f>
        <v>3.5209999999999999</v>
      </c>
      <c r="P159" s="37">
        <f>VLOOKUP($A159,'SW620_Transcription factor'!$A$3:$N$227,11,FALSE)</f>
        <v>0</v>
      </c>
      <c r="Q159" s="37">
        <f>VLOOKUP($A159,'SW620_Transcription factor'!$A$3:$N$227,13,FALSE)</f>
        <v>0</v>
      </c>
    </row>
    <row r="160" spans="1:17" ht="15" customHeight="1">
      <c r="A160" s="8" t="str">
        <f>HYPERLINK("http://portal.genego.com/cgi/entity_page.cgi?term=100&amp;id=-1475233665","HOXB13")</f>
        <v>HOXB13</v>
      </c>
      <c r="B160" s="9">
        <v>3</v>
      </c>
      <c r="C160" s="9">
        <v>1317</v>
      </c>
      <c r="D160" s="9">
        <v>9</v>
      </c>
      <c r="E160" s="9">
        <v>26819</v>
      </c>
      <c r="F160" s="9">
        <v>0.442</v>
      </c>
      <c r="G160" s="9">
        <v>6.7880000000000003</v>
      </c>
      <c r="H160" s="9">
        <v>7.9399999999999991E-3</v>
      </c>
      <c r="I160" s="9">
        <v>3.9470000000000001</v>
      </c>
      <c r="J160" s="10"/>
      <c r="K160" s="14"/>
      <c r="L160" s="12"/>
      <c r="M160" s="14"/>
      <c r="N160" s="12"/>
      <c r="O160" s="36" t="e">
        <f>VLOOKUP($A160,'SW620_Transcription factor'!$A$3:$N$227,7,FALSE)</f>
        <v>#N/A</v>
      </c>
      <c r="P160" s="37" t="e">
        <f>VLOOKUP($A160,'SW620_Transcription factor'!$A$3:$N$227,11,FALSE)</f>
        <v>#N/A</v>
      </c>
      <c r="Q160" s="37" t="e">
        <f>VLOOKUP($A160,'SW620_Transcription factor'!$A$3:$N$227,13,FALSE)</f>
        <v>#N/A</v>
      </c>
    </row>
    <row r="161" spans="1:17" ht="15" customHeight="1">
      <c r="A161" s="8" t="str">
        <f>HYPERLINK("http://portal.genego.com/cgi/entity_page.cgi?term=100&amp;id=-1338495484","HBP1")</f>
        <v>HBP1</v>
      </c>
      <c r="B161" s="9">
        <v>3</v>
      </c>
      <c r="C161" s="9">
        <v>1317</v>
      </c>
      <c r="D161" s="9">
        <v>9</v>
      </c>
      <c r="E161" s="9">
        <v>26819</v>
      </c>
      <c r="F161" s="9">
        <v>0.442</v>
      </c>
      <c r="G161" s="9">
        <v>6.7880000000000003</v>
      </c>
      <c r="H161" s="9">
        <v>7.9399999999999991E-3</v>
      </c>
      <c r="I161" s="9">
        <v>3.9470000000000001</v>
      </c>
      <c r="J161" s="10" t="s">
        <v>61</v>
      </c>
      <c r="K161" s="19">
        <v>-1.0032148000000001</v>
      </c>
      <c r="L161" s="12">
        <v>1.7602709999999999E-8</v>
      </c>
      <c r="M161" s="18">
        <v>-1.1254770999999999</v>
      </c>
      <c r="N161" s="12">
        <v>1.7602709999999999E-8</v>
      </c>
      <c r="O161" s="36" t="e">
        <f>VLOOKUP($A161,'SW620_Transcription factor'!$A$3:$N$227,7,FALSE)</f>
        <v>#N/A</v>
      </c>
      <c r="P161" s="37" t="e">
        <f>VLOOKUP($A161,'SW620_Transcription factor'!$A$3:$N$227,11,FALSE)</f>
        <v>#N/A</v>
      </c>
      <c r="Q161" s="37" t="e">
        <f>VLOOKUP($A161,'SW620_Transcription factor'!$A$3:$N$227,13,FALSE)</f>
        <v>#N/A</v>
      </c>
    </row>
    <row r="162" spans="1:17" ht="15" customHeight="1">
      <c r="A162" s="8" t="str">
        <f>HYPERLINK("http://portal.genego.com/cgi/entity_page.cgi?term=100&amp;id=-519693639","MEIS1")</f>
        <v>MEIS1</v>
      </c>
      <c r="B162" s="9">
        <v>9</v>
      </c>
      <c r="C162" s="9">
        <v>1317</v>
      </c>
      <c r="D162" s="9">
        <v>72</v>
      </c>
      <c r="E162" s="9">
        <v>26819</v>
      </c>
      <c r="F162" s="9">
        <v>3.536</v>
      </c>
      <c r="G162" s="9">
        <v>2.5449999999999999</v>
      </c>
      <c r="H162" s="9">
        <v>8.5120000000000005E-3</v>
      </c>
      <c r="I162" s="9">
        <v>2.984</v>
      </c>
      <c r="J162" s="10"/>
      <c r="K162" s="14"/>
      <c r="L162" s="12"/>
      <c r="M162" s="14"/>
      <c r="N162" s="12"/>
      <c r="O162" s="36" t="e">
        <f>VLOOKUP($A162,'SW620_Transcription factor'!$A$3:$N$227,7,FALSE)</f>
        <v>#N/A</v>
      </c>
      <c r="P162" s="37" t="e">
        <f>VLOOKUP($A162,'SW620_Transcription factor'!$A$3:$N$227,11,FALSE)</f>
        <v>#N/A</v>
      </c>
      <c r="Q162" s="37" t="e">
        <f>VLOOKUP($A162,'SW620_Transcription factor'!$A$3:$N$227,13,FALSE)</f>
        <v>#N/A</v>
      </c>
    </row>
    <row r="163" spans="1:17" ht="15" customHeight="1">
      <c r="A163" s="8" t="str">
        <f>HYPERLINK("http://portal.genego.com/cgi/entity_page.cgi?term=100&amp;id=2210","GATA-4")</f>
        <v>GATA-4</v>
      </c>
      <c r="B163" s="9">
        <v>16</v>
      </c>
      <c r="C163" s="9">
        <v>1317</v>
      </c>
      <c r="D163" s="9">
        <v>168</v>
      </c>
      <c r="E163" s="9">
        <v>26819</v>
      </c>
      <c r="F163" s="9">
        <v>8.25</v>
      </c>
      <c r="G163" s="9">
        <v>1.9390000000000001</v>
      </c>
      <c r="H163" s="9">
        <v>8.7430000000000008E-3</v>
      </c>
      <c r="I163" s="9">
        <v>2.7759999999999998</v>
      </c>
      <c r="J163" s="10"/>
      <c r="K163" s="14"/>
      <c r="L163" s="12"/>
      <c r="M163" s="14"/>
      <c r="N163" s="12"/>
      <c r="O163" s="36">
        <f>VLOOKUP($A163,'SW620_Transcription factor'!$A$3:$N$227,7,FALSE)</f>
        <v>2.5859999999999999</v>
      </c>
      <c r="P163" s="37">
        <f>VLOOKUP($A163,'SW620_Transcription factor'!$A$3:$N$227,11,FALSE)</f>
        <v>0</v>
      </c>
      <c r="Q163" s="37">
        <f>VLOOKUP($A163,'SW620_Transcription factor'!$A$3:$N$227,13,FALSE)</f>
        <v>0</v>
      </c>
    </row>
    <row r="164" spans="1:17" ht="15" customHeight="1">
      <c r="A164" s="8" t="str">
        <f>HYPERLINK("http://portal.genego.com/cgi/entity_page.cgi?term=100&amp;id=4386","TCF8")</f>
        <v>TCF8</v>
      </c>
      <c r="B164" s="9">
        <v>11</v>
      </c>
      <c r="C164" s="9">
        <v>1317</v>
      </c>
      <c r="D164" s="9">
        <v>99</v>
      </c>
      <c r="E164" s="9">
        <v>26819</v>
      </c>
      <c r="F164" s="9">
        <v>4.8620000000000001</v>
      </c>
      <c r="G164" s="9">
        <v>2.2629999999999999</v>
      </c>
      <c r="H164" s="9">
        <v>9.2879999999999994E-3</v>
      </c>
      <c r="I164" s="9">
        <v>2.86</v>
      </c>
      <c r="J164" s="10"/>
      <c r="K164" s="14"/>
      <c r="L164" s="12"/>
      <c r="M164" s="14"/>
      <c r="N164" s="12"/>
      <c r="O164" s="36">
        <f>VLOOKUP($A164,'SW620_Transcription factor'!$A$3:$N$227,7,FALSE)</f>
        <v>2.6709999999999998</v>
      </c>
      <c r="P164" s="37">
        <f>VLOOKUP($A164,'SW620_Transcription factor'!$A$3:$N$227,11,FALSE)</f>
        <v>-1.2985572999999999</v>
      </c>
      <c r="Q164" s="37">
        <f>VLOOKUP($A164,'SW620_Transcription factor'!$A$3:$N$227,13,FALSE)</f>
        <v>-0.44056082000000002</v>
      </c>
    </row>
    <row r="165" spans="1:17" ht="15" customHeight="1">
      <c r="A165" s="8" t="str">
        <f>HYPERLINK("http://portal.genego.com/cgi/entity_page.cgi?term=100&amp;id=6129","SOX17")</f>
        <v>SOX17</v>
      </c>
      <c r="B165" s="9">
        <v>7</v>
      </c>
      <c r="C165" s="9">
        <v>1317</v>
      </c>
      <c r="D165" s="9">
        <v>49</v>
      </c>
      <c r="E165" s="9">
        <v>26819</v>
      </c>
      <c r="F165" s="9">
        <v>2.4060000000000001</v>
      </c>
      <c r="G165" s="9">
        <v>2.9089999999999998</v>
      </c>
      <c r="H165" s="9">
        <v>9.5729999999999999E-3</v>
      </c>
      <c r="I165" s="9">
        <v>3.04</v>
      </c>
      <c r="J165" s="10"/>
      <c r="K165" s="14"/>
      <c r="L165" s="12"/>
      <c r="M165" s="14"/>
      <c r="N165" s="12"/>
      <c r="O165" s="36" t="e">
        <f>VLOOKUP($A165,'SW620_Transcription factor'!$A$3:$N$227,7,FALSE)</f>
        <v>#N/A</v>
      </c>
      <c r="P165" s="37" t="e">
        <f>VLOOKUP($A165,'SW620_Transcription factor'!$A$3:$N$227,11,FALSE)</f>
        <v>#N/A</v>
      </c>
      <c r="Q165" s="37" t="e">
        <f>VLOOKUP($A165,'SW620_Transcription factor'!$A$3:$N$227,13,FALSE)</f>
        <v>#N/A</v>
      </c>
    </row>
    <row r="166" spans="1:17" ht="15" customHeight="1">
      <c r="A166" s="8" t="str">
        <f>HYPERLINK("http://portal.genego.com/cgi/entity_page.cgi?term=100&amp;id=4402","c-Jun/c-Jun")</f>
        <v>c-Jun/c-Jun</v>
      </c>
      <c r="B166" s="9">
        <v>3</v>
      </c>
      <c r="C166" s="9">
        <v>1317</v>
      </c>
      <c r="D166" s="9">
        <v>10</v>
      </c>
      <c r="E166" s="9">
        <v>26819</v>
      </c>
      <c r="F166" s="9">
        <v>0.49109999999999998</v>
      </c>
      <c r="G166" s="9">
        <v>6.109</v>
      </c>
      <c r="H166" s="9">
        <v>1.093E-2</v>
      </c>
      <c r="I166" s="9">
        <v>3.6720000000000002</v>
      </c>
      <c r="J166" s="10" t="s">
        <v>51</v>
      </c>
      <c r="K166" s="18">
        <v>-1.1280958999999999</v>
      </c>
      <c r="L166" s="12">
        <v>5.1060919999999997E-8</v>
      </c>
      <c r="M166" s="19">
        <v>-1.0279853000000001</v>
      </c>
      <c r="N166" s="12">
        <v>5.1060919999999997E-8</v>
      </c>
      <c r="O166" s="36" t="e">
        <f>VLOOKUP($A166,'SW620_Transcription factor'!$A$3:$N$227,7,FALSE)</f>
        <v>#N/A</v>
      </c>
      <c r="P166" s="37" t="e">
        <f>VLOOKUP($A166,'SW620_Transcription factor'!$A$3:$N$227,11,FALSE)</f>
        <v>#N/A</v>
      </c>
      <c r="Q166" s="37" t="e">
        <f>VLOOKUP($A166,'SW620_Transcription factor'!$A$3:$N$227,13,FALSE)</f>
        <v>#N/A</v>
      </c>
    </row>
    <row r="167" spans="1:17" ht="15" customHeight="1">
      <c r="A167" s="8" t="str">
        <f>HYPERLINK("http://portal.genego.com/cgi/entity_page.cgi?term=100&amp;id=2557","IRF3")</f>
        <v>IRF3</v>
      </c>
      <c r="B167" s="9">
        <v>7</v>
      </c>
      <c r="C167" s="9">
        <v>1317</v>
      </c>
      <c r="D167" s="9">
        <v>51</v>
      </c>
      <c r="E167" s="9">
        <v>26819</v>
      </c>
      <c r="F167" s="9">
        <v>2.504</v>
      </c>
      <c r="G167" s="9">
        <v>2.7949999999999999</v>
      </c>
      <c r="H167" s="9">
        <v>1.1860000000000001E-2</v>
      </c>
      <c r="I167" s="9">
        <v>2.9159999999999999</v>
      </c>
      <c r="J167" s="10"/>
      <c r="K167" s="14"/>
      <c r="L167" s="12"/>
      <c r="M167" s="14"/>
      <c r="N167" s="12"/>
      <c r="O167" s="36" t="e">
        <f>VLOOKUP($A167,'SW620_Transcription factor'!$A$3:$N$227,7,FALSE)</f>
        <v>#N/A</v>
      </c>
      <c r="P167" s="37" t="e">
        <f>VLOOKUP($A167,'SW620_Transcription factor'!$A$3:$N$227,11,FALSE)</f>
        <v>#N/A</v>
      </c>
      <c r="Q167" s="37" t="e">
        <f>VLOOKUP($A167,'SW620_Transcription factor'!$A$3:$N$227,13,FALSE)</f>
        <v>#N/A</v>
      </c>
    </row>
    <row r="168" spans="1:17" ht="15" customHeight="1">
      <c r="A168" s="8" t="str">
        <f>HYPERLINK("http://portal.genego.com/cgi/entity_page.cgi?term=100&amp;id=-1482109871","GATA-5")</f>
        <v>GATA-5</v>
      </c>
      <c r="B168" s="9">
        <v>5</v>
      </c>
      <c r="C168" s="9">
        <v>1317</v>
      </c>
      <c r="D168" s="9">
        <v>29</v>
      </c>
      <c r="E168" s="9">
        <v>26819</v>
      </c>
      <c r="F168" s="9">
        <v>1.4239999999999999</v>
      </c>
      <c r="G168" s="9">
        <v>3.5110000000000001</v>
      </c>
      <c r="H168" s="9">
        <v>1.2579999999999999E-2</v>
      </c>
      <c r="I168" s="9">
        <v>3.0750000000000002</v>
      </c>
      <c r="J168" s="10"/>
      <c r="K168" s="14"/>
      <c r="L168" s="12"/>
      <c r="M168" s="14"/>
      <c r="N168" s="12"/>
      <c r="O168" s="36">
        <f>VLOOKUP($A168,'SW620_Transcription factor'!$A$3:$N$227,7,FALSE)</f>
        <v>5.21</v>
      </c>
      <c r="P168" s="37">
        <f>VLOOKUP($A168,'SW620_Transcription factor'!$A$3:$N$227,11,FALSE)</f>
        <v>0</v>
      </c>
      <c r="Q168" s="37">
        <f>VLOOKUP($A168,'SW620_Transcription factor'!$A$3:$N$227,13,FALSE)</f>
        <v>0</v>
      </c>
    </row>
    <row r="169" spans="1:17" ht="15" customHeight="1">
      <c r="A169" s="8" t="str">
        <f>HYPERLINK("http://portal.genego.com/cgi/entity_page.cgi?term=100&amp;id=304","GFI-1")</f>
        <v>GFI-1</v>
      </c>
      <c r="B169" s="9">
        <v>6</v>
      </c>
      <c r="C169" s="9">
        <v>1317</v>
      </c>
      <c r="D169" s="9">
        <v>40</v>
      </c>
      <c r="E169" s="9">
        <v>26819</v>
      </c>
      <c r="F169" s="9">
        <v>1.964</v>
      </c>
      <c r="G169" s="9">
        <v>3.0550000000000002</v>
      </c>
      <c r="H169" s="9">
        <v>1.272E-2</v>
      </c>
      <c r="I169" s="9">
        <v>2.9550000000000001</v>
      </c>
      <c r="J169" s="10"/>
      <c r="K169" s="14"/>
      <c r="L169" s="12"/>
      <c r="M169" s="14"/>
      <c r="N169" s="12"/>
      <c r="O169" s="36">
        <f>VLOOKUP($A169,'SW620_Transcription factor'!$A$3:$N$227,7,FALSE)</f>
        <v>3.7770000000000001</v>
      </c>
      <c r="P169" s="37">
        <f>VLOOKUP($A169,'SW620_Transcription factor'!$A$3:$N$227,11,FALSE)</f>
        <v>0</v>
      </c>
      <c r="Q169" s="37">
        <f>VLOOKUP($A169,'SW620_Transcription factor'!$A$3:$N$227,13,FALSE)</f>
        <v>0</v>
      </c>
    </row>
    <row r="170" spans="1:17" ht="15" customHeight="1">
      <c r="A170" s="8" t="str">
        <f>HYPERLINK("http://portal.genego.com/cgi/entity_page.cgi?term=100&amp;id=9200","RUNX3")</f>
        <v>RUNX3</v>
      </c>
      <c r="B170" s="9">
        <v>7</v>
      </c>
      <c r="C170" s="9">
        <v>1317</v>
      </c>
      <c r="D170" s="9">
        <v>52</v>
      </c>
      <c r="E170" s="9">
        <v>26819</v>
      </c>
      <c r="F170" s="9">
        <v>2.5539999999999998</v>
      </c>
      <c r="G170" s="9">
        <v>2.7410000000000001</v>
      </c>
      <c r="H170" s="9">
        <v>1.3140000000000001E-2</v>
      </c>
      <c r="I170" s="9">
        <v>2.8559999999999999</v>
      </c>
      <c r="J170" s="10"/>
      <c r="K170" s="14"/>
      <c r="L170" s="12"/>
      <c r="M170" s="14"/>
      <c r="N170" s="12"/>
      <c r="O170" s="36">
        <f>VLOOKUP($A170,'SW620_Transcription factor'!$A$3:$N$227,7,FALSE)</f>
        <v>2.9060000000000001</v>
      </c>
      <c r="P170" s="37">
        <f>VLOOKUP($A170,'SW620_Transcription factor'!$A$3:$N$227,11,FALSE)</f>
        <v>0</v>
      </c>
      <c r="Q170" s="37">
        <f>VLOOKUP($A170,'SW620_Transcription factor'!$A$3:$N$227,13,FALSE)</f>
        <v>0</v>
      </c>
    </row>
    <row r="171" spans="1:17" ht="15" customHeight="1">
      <c r="A171" s="8" t="str">
        <f>HYPERLINK("http://portal.genego.com/cgi/entity_page.cgi?term=100&amp;id=160","CREB1")</f>
        <v>CREB1</v>
      </c>
      <c r="B171" s="9">
        <v>282</v>
      </c>
      <c r="C171" s="9">
        <v>1317</v>
      </c>
      <c r="D171" s="9">
        <v>5099</v>
      </c>
      <c r="E171" s="9">
        <v>26819</v>
      </c>
      <c r="F171" s="9">
        <v>250.4</v>
      </c>
      <c r="G171" s="9">
        <v>1.1259999999999999</v>
      </c>
      <c r="H171" s="9">
        <v>1.34E-2</v>
      </c>
      <c r="I171" s="9">
        <v>2.2759999999999998</v>
      </c>
      <c r="J171" s="10"/>
      <c r="K171" s="14"/>
      <c r="L171" s="12"/>
      <c r="M171" s="14"/>
      <c r="N171" s="12"/>
      <c r="O171" s="36">
        <f>VLOOKUP($A171,'SW620_Transcription factor'!$A$3:$N$227,7,FALSE)</f>
        <v>1.226</v>
      </c>
      <c r="P171" s="37">
        <f>VLOOKUP($A171,'SW620_Transcription factor'!$A$3:$N$227,11,FALSE)</f>
        <v>0</v>
      </c>
      <c r="Q171" s="37">
        <f>VLOOKUP($A171,'SW620_Transcription factor'!$A$3:$N$227,13,FALSE)</f>
        <v>0</v>
      </c>
    </row>
    <row r="172" spans="1:17" ht="15" customHeight="1">
      <c r="A172" s="8" t="str">
        <f>HYPERLINK("http://portal.genego.com/cgi/entity_page.cgi?term=100&amp;id=4435","CNBP")</f>
        <v>CNBP</v>
      </c>
      <c r="B172" s="9">
        <v>2</v>
      </c>
      <c r="C172" s="9">
        <v>1317</v>
      </c>
      <c r="D172" s="9">
        <v>4</v>
      </c>
      <c r="E172" s="9">
        <v>26819</v>
      </c>
      <c r="F172" s="9">
        <v>0.19639999999999999</v>
      </c>
      <c r="G172" s="9">
        <v>10.18</v>
      </c>
      <c r="H172" s="9">
        <v>1.353E-2</v>
      </c>
      <c r="I172" s="9">
        <v>4.173</v>
      </c>
      <c r="J172" s="10"/>
      <c r="K172" s="14"/>
      <c r="L172" s="12"/>
      <c r="M172" s="14"/>
      <c r="N172" s="12"/>
      <c r="O172" s="36" t="e">
        <f>VLOOKUP($A172,'SW620_Transcription factor'!$A$3:$N$227,7,FALSE)</f>
        <v>#N/A</v>
      </c>
      <c r="P172" s="37" t="e">
        <f>VLOOKUP($A172,'SW620_Transcription factor'!$A$3:$N$227,11,FALSE)</f>
        <v>#N/A</v>
      </c>
      <c r="Q172" s="37" t="e">
        <f>VLOOKUP($A172,'SW620_Transcription factor'!$A$3:$N$227,13,FALSE)</f>
        <v>#N/A</v>
      </c>
    </row>
    <row r="173" spans="1:17" ht="15" customHeight="1">
      <c r="A173" s="8" t="str">
        <f>HYPERLINK("http://portal.genego.com/cgi/entity_page.cgi?term=100&amp;id=-1340684906","DLX1")</f>
        <v>DLX1</v>
      </c>
      <c r="B173" s="9">
        <v>2</v>
      </c>
      <c r="C173" s="9">
        <v>1317</v>
      </c>
      <c r="D173" s="9">
        <v>4</v>
      </c>
      <c r="E173" s="9">
        <v>26819</v>
      </c>
      <c r="F173" s="9">
        <v>0.19639999999999999</v>
      </c>
      <c r="G173" s="9">
        <v>10.18</v>
      </c>
      <c r="H173" s="9">
        <v>1.353E-2</v>
      </c>
      <c r="I173" s="9">
        <v>4.173</v>
      </c>
      <c r="J173" s="10"/>
      <c r="K173" s="14"/>
      <c r="L173" s="12"/>
      <c r="M173" s="14"/>
      <c r="N173" s="12"/>
      <c r="O173" s="36" t="e">
        <f>VLOOKUP($A173,'SW620_Transcription factor'!$A$3:$N$227,7,FALSE)</f>
        <v>#N/A</v>
      </c>
      <c r="P173" s="37" t="e">
        <f>VLOOKUP($A173,'SW620_Transcription factor'!$A$3:$N$227,11,FALSE)</f>
        <v>#N/A</v>
      </c>
      <c r="Q173" s="37" t="e">
        <f>VLOOKUP($A173,'SW620_Transcription factor'!$A$3:$N$227,13,FALSE)</f>
        <v>#N/A</v>
      </c>
    </row>
    <row r="174" spans="1:17" ht="15" customHeight="1">
      <c r="A174" s="8" t="str">
        <f>HYPERLINK("http://portal.genego.com/cgi/entity_page.cgi?term=100&amp;id=-435347182","JARID2")</f>
        <v>JARID2</v>
      </c>
      <c r="B174" s="9">
        <v>2</v>
      </c>
      <c r="C174" s="9">
        <v>1317</v>
      </c>
      <c r="D174" s="9">
        <v>4</v>
      </c>
      <c r="E174" s="9">
        <v>26819</v>
      </c>
      <c r="F174" s="9">
        <v>0.19639999999999999</v>
      </c>
      <c r="G174" s="9">
        <v>10.18</v>
      </c>
      <c r="H174" s="9">
        <v>1.353E-2</v>
      </c>
      <c r="I174" s="9">
        <v>4.173</v>
      </c>
      <c r="J174" s="10"/>
      <c r="K174" s="14"/>
      <c r="L174" s="12"/>
      <c r="M174" s="14"/>
      <c r="N174" s="12"/>
      <c r="O174" s="36" t="e">
        <f>VLOOKUP($A174,'SW620_Transcription factor'!$A$3:$N$227,7,FALSE)</f>
        <v>#N/A</v>
      </c>
      <c r="P174" s="37" t="e">
        <f>VLOOKUP($A174,'SW620_Transcription factor'!$A$3:$N$227,11,FALSE)</f>
        <v>#N/A</v>
      </c>
      <c r="Q174" s="37" t="e">
        <f>VLOOKUP($A174,'SW620_Transcription factor'!$A$3:$N$227,13,FALSE)</f>
        <v>#N/A</v>
      </c>
    </row>
    <row r="175" spans="1:17" ht="15" customHeight="1">
      <c r="A175" s="8" t="str">
        <f>HYPERLINK("http://portal.genego.com/cgi/entity_page.cgi?term=100&amp;id=-1000524873","FUBP1")</f>
        <v>FUBP1</v>
      </c>
      <c r="B175" s="9">
        <v>2</v>
      </c>
      <c r="C175" s="9">
        <v>1317</v>
      </c>
      <c r="D175" s="9">
        <v>4</v>
      </c>
      <c r="E175" s="9">
        <v>26819</v>
      </c>
      <c r="F175" s="9">
        <v>0.19639999999999999</v>
      </c>
      <c r="G175" s="9">
        <v>10.18</v>
      </c>
      <c r="H175" s="9">
        <v>1.353E-2</v>
      </c>
      <c r="I175" s="9">
        <v>4.173</v>
      </c>
      <c r="J175" s="10"/>
      <c r="K175" s="14"/>
      <c r="L175" s="12"/>
      <c r="M175" s="14"/>
      <c r="N175" s="12"/>
      <c r="O175" s="36" t="e">
        <f>VLOOKUP($A175,'SW620_Transcription factor'!$A$3:$N$227,7,FALSE)</f>
        <v>#N/A</v>
      </c>
      <c r="P175" s="37" t="e">
        <f>VLOOKUP($A175,'SW620_Transcription factor'!$A$3:$N$227,11,FALSE)</f>
        <v>#N/A</v>
      </c>
      <c r="Q175" s="37" t="e">
        <f>VLOOKUP($A175,'SW620_Transcription factor'!$A$3:$N$227,13,FALSE)</f>
        <v>#N/A</v>
      </c>
    </row>
    <row r="176" spans="1:17" ht="15" customHeight="1">
      <c r="A176" s="8" t="str">
        <f>HYPERLINK("http://portal.genego.com/cgi/entity_page.cgi?term=100&amp;id=6068","BARX1")</f>
        <v>BARX1</v>
      </c>
      <c r="B176" s="9">
        <v>2</v>
      </c>
      <c r="C176" s="9">
        <v>1317</v>
      </c>
      <c r="D176" s="9">
        <v>4</v>
      </c>
      <c r="E176" s="9">
        <v>26819</v>
      </c>
      <c r="F176" s="9">
        <v>0.19639999999999999</v>
      </c>
      <c r="G176" s="9">
        <v>10.18</v>
      </c>
      <c r="H176" s="9">
        <v>1.353E-2</v>
      </c>
      <c r="I176" s="9">
        <v>4.173</v>
      </c>
      <c r="J176" s="10"/>
      <c r="K176" s="14"/>
      <c r="L176" s="12"/>
      <c r="M176" s="14"/>
      <c r="N176" s="12"/>
      <c r="O176" s="36">
        <f>VLOOKUP($A176,'SW620_Transcription factor'!$A$3:$N$227,7,FALSE)</f>
        <v>9.4429999999999996</v>
      </c>
      <c r="P176" s="37">
        <f>VLOOKUP($A176,'SW620_Transcription factor'!$A$3:$N$227,11,FALSE)</f>
        <v>0</v>
      </c>
      <c r="Q176" s="37">
        <f>VLOOKUP($A176,'SW620_Transcription factor'!$A$3:$N$227,13,FALSE)</f>
        <v>0</v>
      </c>
    </row>
    <row r="177" spans="1:17" ht="15" customHeight="1">
      <c r="A177" s="8" t="str">
        <f>HYPERLINK("http://portal.genego.com/cgi/entity_page.cgi?term=100&amp;id=-436689410","EBF3")</f>
        <v>EBF3</v>
      </c>
      <c r="B177" s="9">
        <v>2</v>
      </c>
      <c r="C177" s="9">
        <v>1317</v>
      </c>
      <c r="D177" s="9">
        <v>4</v>
      </c>
      <c r="E177" s="9">
        <v>26819</v>
      </c>
      <c r="F177" s="9">
        <v>0.19639999999999999</v>
      </c>
      <c r="G177" s="9">
        <v>10.18</v>
      </c>
      <c r="H177" s="9">
        <v>1.353E-2</v>
      </c>
      <c r="I177" s="9">
        <v>4.173</v>
      </c>
      <c r="J177" s="10"/>
      <c r="K177" s="14"/>
      <c r="L177" s="12"/>
      <c r="M177" s="14"/>
      <c r="N177" s="32"/>
      <c r="O177" s="36" t="e">
        <f>VLOOKUP($A177,'SW620_Transcription factor'!$A$3:$N$227,7,FALSE)</f>
        <v>#N/A</v>
      </c>
      <c r="P177" s="37" t="e">
        <f>VLOOKUP($A177,'SW620_Transcription factor'!$A$3:$N$227,11,FALSE)</f>
        <v>#N/A</v>
      </c>
      <c r="Q177" s="37" t="e">
        <f>VLOOKUP($A177,'SW620_Transcription factor'!$A$3:$N$227,13,FALSE)</f>
        <v>#N/A</v>
      </c>
    </row>
  </sheetData>
  <autoFilter ref="A2:M2"/>
  <mergeCells count="2">
    <mergeCell ref="A1:N1"/>
    <mergeCell ref="O1:Q1"/>
  </mergeCells>
  <conditionalFormatting sqref="P3:Q177">
    <cfRule type="colorScale" priority="3">
      <colorScale>
        <cfvo type="num" val="-3"/>
        <cfvo type="num" val="0"/>
        <cfvo type="num" val="3"/>
        <color rgb="FF0000FF"/>
        <color theme="0"/>
        <color rgb="FFFF0000"/>
      </colorScale>
    </cfRule>
  </conditionalFormatting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="90" workbookViewId="0">
      <pane xSplit="5" ySplit="3" topLeftCell="F4" activePane="bottomRight" state="frozen"/>
      <selection pane="topRight"/>
      <selection pane="bottomLeft"/>
      <selection pane="bottomRight" activeCell="I11" sqref="I11"/>
    </sheetView>
  </sheetViews>
  <sheetFormatPr baseColWidth="10" defaultColWidth="8.83203125" defaultRowHeight="12" x14ac:dyDescent="0"/>
  <cols>
    <col min="1" max="1" width="7.1640625" customWidth="1"/>
    <col min="2" max="2" width="85.83203125" customWidth="1"/>
    <col min="3" max="8" width="11.5" customWidth="1"/>
    <col min="9" max="9" width="70.33203125" customWidth="1"/>
    <col min="10" max="10" width="69.6640625" customWidth="1"/>
    <col min="11" max="11" width="50.33203125" customWidth="1"/>
  </cols>
  <sheetData>
    <row r="1" spans="1:11" ht="20" customHeight="1" thickBot="1">
      <c r="A1" s="40" t="s">
        <v>68</v>
      </c>
    </row>
    <row r="2" spans="1:11" ht="30" customHeight="1" thickBot="1">
      <c r="A2" s="42" t="s">
        <v>69</v>
      </c>
      <c r="F2" s="60" t="s">
        <v>268</v>
      </c>
      <c r="G2" s="61"/>
      <c r="H2" s="61"/>
      <c r="I2" s="61"/>
      <c r="J2" s="58" t="s">
        <v>70</v>
      </c>
    </row>
    <row r="3" spans="1:11" s="41" customFormat="1" ht="30" customHeight="1" thickBot="1">
      <c r="A3" s="45" t="s">
        <v>71</v>
      </c>
      <c r="B3" s="45" t="s">
        <v>72</v>
      </c>
      <c r="C3" s="45" t="s">
        <v>73</v>
      </c>
      <c r="D3" s="45" t="s">
        <v>74</v>
      </c>
      <c r="E3" s="46" t="s">
        <v>75</v>
      </c>
      <c r="F3" s="47" t="s">
        <v>1</v>
      </c>
      <c r="G3" s="47" t="s">
        <v>76</v>
      </c>
      <c r="H3" s="47" t="s">
        <v>77</v>
      </c>
      <c r="I3" s="48" t="s">
        <v>78</v>
      </c>
      <c r="J3" s="48" t="s">
        <v>66</v>
      </c>
      <c r="K3" s="48" t="s">
        <v>67</v>
      </c>
    </row>
    <row r="4" spans="1:11" ht="30" customHeight="1">
      <c r="A4" s="50">
        <v>1</v>
      </c>
      <c r="B4" s="51" t="s">
        <v>181</v>
      </c>
      <c r="C4" s="50">
        <v>53</v>
      </c>
      <c r="D4" s="52">
        <v>2.27692425998175E-7</v>
      </c>
      <c r="E4" s="52">
        <v>1.81264947162208E-4</v>
      </c>
      <c r="F4" s="52">
        <v>2.27692425998175E-7</v>
      </c>
      <c r="G4" s="52">
        <v>1.81264947162208E-4</v>
      </c>
      <c r="H4" s="53">
        <v>13</v>
      </c>
      <c r="I4" s="54" t="s">
        <v>182</v>
      </c>
      <c r="J4" s="54" t="e">
        <f>VLOOKUP(B4,[1]SW620!B:I,8,FALSE)</f>
        <v>#N/A</v>
      </c>
      <c r="K4" s="59" t="e">
        <f>VLOOKUP(B4,[1]Baseline!B4:I54,8,FALSE)</f>
        <v>#N/A</v>
      </c>
    </row>
    <row r="5" spans="1:11" ht="30" customHeight="1">
      <c r="A5" s="50">
        <v>2</v>
      </c>
      <c r="B5" s="51" t="s">
        <v>83</v>
      </c>
      <c r="C5" s="50">
        <v>64</v>
      </c>
      <c r="D5" s="52">
        <v>3.60726263009369E-7</v>
      </c>
      <c r="E5" s="52">
        <v>1.81264947162208E-4</v>
      </c>
      <c r="F5" s="52">
        <v>3.6072626300936996E-7</v>
      </c>
      <c r="G5" s="52">
        <v>1.81264947162208E-4</v>
      </c>
      <c r="H5" s="53">
        <v>14</v>
      </c>
      <c r="I5" s="54" t="s">
        <v>183</v>
      </c>
      <c r="J5" s="54" t="str">
        <f>VLOOKUP(B5,[1]SW620!B:I,8,FALSE)</f>
        <v>Oncostatin M, VE-cadherin, N-cadherin, Occludin, TGF-beta 2, ACTA2, PDGF-R-alpha, TWIST1, Endothelin-1, TCF8, WNT, SLUG, Frizzled, Bcl-2, SIP1 (ZFHX1B)</v>
      </c>
      <c r="K5" s="59" t="e">
        <f>VLOOKUP(B5,[1]Baseline!B5:I55,8,FALSE)</f>
        <v>#N/A</v>
      </c>
    </row>
    <row r="6" spans="1:11" ht="30" customHeight="1">
      <c r="A6" s="50">
        <v>3</v>
      </c>
      <c r="B6" s="51" t="s">
        <v>125</v>
      </c>
      <c r="C6" s="50">
        <v>36</v>
      </c>
      <c r="D6" s="52">
        <v>1.67683994450312E-6</v>
      </c>
      <c r="E6" s="52">
        <v>5.6174138140854596E-4</v>
      </c>
      <c r="F6" s="52">
        <v>1.67683994450312E-6</v>
      </c>
      <c r="G6" s="52">
        <v>5.6174138140854596E-4</v>
      </c>
      <c r="H6" s="53">
        <v>10</v>
      </c>
      <c r="I6" s="54" t="s">
        <v>184</v>
      </c>
      <c r="J6" s="54" t="str">
        <f>VLOOKUP(B6,[1]SW620!B:I,8,FALSE)</f>
        <v>PTHR1, COL1A1, EGR1, PTHrP, COL1A2, PTCH1, VDR, Smoothened</v>
      </c>
      <c r="K6" s="59" t="e">
        <f>VLOOKUP(B6,[1]Baseline!B6:I56,8,FALSE)</f>
        <v>#N/A</v>
      </c>
    </row>
    <row r="7" spans="1:11" ht="30" customHeight="1">
      <c r="A7" s="50">
        <v>4</v>
      </c>
      <c r="B7" s="51" t="s">
        <v>89</v>
      </c>
      <c r="C7" s="50">
        <v>66</v>
      </c>
      <c r="D7" s="52">
        <v>3.3342659917683702E-6</v>
      </c>
      <c r="E7" s="52">
        <v>7.9978618343283904E-4</v>
      </c>
      <c r="F7" s="52">
        <v>3.3342659917683702E-6</v>
      </c>
      <c r="G7" s="52">
        <v>7.9978618343283904E-4</v>
      </c>
      <c r="H7" s="53">
        <v>13</v>
      </c>
      <c r="I7" s="54" t="s">
        <v>185</v>
      </c>
      <c r="J7" s="54" t="str">
        <f>VLOOKUP(B7,[1]SW620!B:I,8,FALSE)</f>
        <v>WNT4, FZD1, iNOS, ENC1, CAS-L, CD44, SFRP2, WNT, SLUG, DACT3, TCF7L2 (TCF4), Frizzled, DKK1, WNT6</v>
      </c>
      <c r="K7" s="59" t="e">
        <f>VLOOKUP(B7,[1]Baseline!B7:I57,8,FALSE)</f>
        <v>#N/A</v>
      </c>
    </row>
    <row r="8" spans="1:11" ht="30" customHeight="1">
      <c r="A8" s="50">
        <v>5</v>
      </c>
      <c r="B8" s="51" t="s">
        <v>169</v>
      </c>
      <c r="C8" s="50">
        <v>67</v>
      </c>
      <c r="D8" s="52">
        <v>3.9790357384718306E-6</v>
      </c>
      <c r="E8" s="52">
        <v>7.9978618343283904E-4</v>
      </c>
      <c r="F8" s="52">
        <v>3.9790357384718399E-6</v>
      </c>
      <c r="G8" s="52">
        <v>7.9978618343283904E-4</v>
      </c>
      <c r="H8" s="53">
        <v>13</v>
      </c>
      <c r="I8" s="54" t="s">
        <v>186</v>
      </c>
      <c r="J8" s="54" t="str">
        <f>VLOOKUP(B8,[1]SW620!B:I,8,FALSE)</f>
        <v>IL-32 (NK4), CCL20, GRO-1, NF-kB, iNOS, IL-8, TLR4, SDF-1, CXCR4, Bcl-2</v>
      </c>
      <c r="K8" s="59" t="e">
        <f>VLOOKUP(B8,[1]Baseline!B8:I58,8,FALSE)</f>
        <v>#N/A</v>
      </c>
    </row>
    <row r="9" spans="1:11" ht="30" customHeight="1">
      <c r="A9" s="50">
        <v>6</v>
      </c>
      <c r="B9" s="51" t="s">
        <v>119</v>
      </c>
      <c r="C9" s="50">
        <v>60</v>
      </c>
      <c r="D9" s="52">
        <v>6.7348640589777203E-6</v>
      </c>
      <c r="E9" s="52">
        <v>9.7978902509032999E-4</v>
      </c>
      <c r="F9" s="52">
        <v>6.7348640589777305E-6</v>
      </c>
      <c r="G9" s="52">
        <v>9.7978902509032999E-4</v>
      </c>
      <c r="H9" s="53">
        <v>12</v>
      </c>
      <c r="I9" s="54" t="s">
        <v>187</v>
      </c>
      <c r="J9" s="54" t="str">
        <f>VLOOKUP(B9,[1]SW620!B:I,8,FALSE)</f>
        <v>COL1A1, HB-EGF, GRO-2, ACTA2, COL1A2, SMAD3, CTGF, PDGF-R-alpha, PDGF receptor, IL-8, Collagen I</v>
      </c>
      <c r="K9" s="59" t="e">
        <f>VLOOKUP(B9,[1]Baseline!B9:I59,8,FALSE)</f>
        <v>#N/A</v>
      </c>
    </row>
    <row r="10" spans="1:11" ht="30" customHeight="1">
      <c r="A10" s="50">
        <v>7</v>
      </c>
      <c r="B10" s="51" t="s">
        <v>188</v>
      </c>
      <c r="C10" s="50">
        <v>42</v>
      </c>
      <c r="D10" s="52">
        <v>7.7116865599200805E-6</v>
      </c>
      <c r="E10" s="52">
        <v>9.7978902509032999E-4</v>
      </c>
      <c r="F10" s="52">
        <v>7.7116865599200991E-6</v>
      </c>
      <c r="G10" s="52">
        <v>9.7978902509032999E-4</v>
      </c>
      <c r="H10" s="53">
        <v>10</v>
      </c>
      <c r="I10" s="54" t="s">
        <v>189</v>
      </c>
      <c r="J10" s="54" t="e">
        <f>VLOOKUP(B10,[1]SW620!B:I,8,FALSE)</f>
        <v>#N/A</v>
      </c>
      <c r="K10" s="59" t="e">
        <f>VLOOKUP(B10,[1]Baseline!B10:I60,8,FALSE)</f>
        <v>#N/A</v>
      </c>
    </row>
    <row r="11" spans="1:11" ht="30" customHeight="1">
      <c r="A11" s="50">
        <v>8</v>
      </c>
      <c r="B11" s="51" t="s">
        <v>190</v>
      </c>
      <c r="C11" s="50">
        <v>71</v>
      </c>
      <c r="D11" s="52">
        <v>7.7993156226096004E-6</v>
      </c>
      <c r="E11" s="52">
        <v>9.7978902509032999E-4</v>
      </c>
      <c r="F11" s="52">
        <v>7.7993156226096004E-6</v>
      </c>
      <c r="G11" s="52">
        <v>9.7978902509032999E-4</v>
      </c>
      <c r="H11" s="53">
        <v>13</v>
      </c>
      <c r="I11" s="54" t="s">
        <v>191</v>
      </c>
      <c r="J11" s="54" t="e">
        <f>VLOOKUP(B11,[1]SW620!B:I,8,FALSE)</f>
        <v>#N/A</v>
      </c>
      <c r="K11" s="59" t="e">
        <f>VLOOKUP(B11,[1]Baseline!B11:I61,8,FALSE)</f>
        <v>#N/A</v>
      </c>
    </row>
    <row r="12" spans="1:11" ht="30" customHeight="1">
      <c r="A12" s="50">
        <v>9</v>
      </c>
      <c r="B12" s="51" t="s">
        <v>192</v>
      </c>
      <c r="C12" s="50">
        <v>43</v>
      </c>
      <c r="D12" s="52">
        <v>9.6708937596656001E-6</v>
      </c>
      <c r="E12" s="52">
        <v>1.07991646982932E-3</v>
      </c>
      <c r="F12" s="52">
        <v>9.6708937596656001E-6</v>
      </c>
      <c r="G12" s="52">
        <v>1.07991646982932E-3</v>
      </c>
      <c r="H12" s="53">
        <v>10</v>
      </c>
      <c r="I12" s="54" t="s">
        <v>193</v>
      </c>
      <c r="J12" s="54" t="e">
        <f>VLOOKUP(B12,[1]SW620!B:I,8,FALSE)</f>
        <v>#N/A</v>
      </c>
      <c r="K12" s="59" t="e">
        <f>VLOOKUP(B12,[1]Baseline!B12:I62,8,FALSE)</f>
        <v>#N/A</v>
      </c>
    </row>
    <row r="13" spans="1:11" ht="30" customHeight="1">
      <c r="A13" s="50">
        <v>10</v>
      </c>
      <c r="B13" s="51" t="s">
        <v>179</v>
      </c>
      <c r="C13" s="50">
        <v>74</v>
      </c>
      <c r="D13" s="52">
        <v>1.25013740634198E-5</v>
      </c>
      <c r="E13" s="52">
        <v>1.2563880933736901E-3</v>
      </c>
      <c r="F13" s="52">
        <v>1.25013740634198E-5</v>
      </c>
      <c r="G13" s="52">
        <v>1.2563880933736901E-3</v>
      </c>
      <c r="H13" s="53">
        <v>13</v>
      </c>
      <c r="I13" s="54" t="s">
        <v>194</v>
      </c>
      <c r="J13" s="54" t="e">
        <f>VLOOKUP(B13,[1]SW620!B:I,8,FALSE)</f>
        <v>#N/A</v>
      </c>
      <c r="K13" s="59" t="e">
        <f>VLOOKUP(B13,[1]Baseline!B13:I63,8,FALSE)</f>
        <v>#N/A</v>
      </c>
    </row>
    <row r="14" spans="1:11" ht="30" customHeight="1">
      <c r="A14" s="50">
        <v>11</v>
      </c>
      <c r="B14" s="51" t="s">
        <v>165</v>
      </c>
      <c r="C14" s="50">
        <v>56</v>
      </c>
      <c r="D14" s="52">
        <v>1.9543166147683E-5</v>
      </c>
      <c r="E14" s="52">
        <v>1.78553472531104E-3</v>
      </c>
      <c r="F14" s="52">
        <v>1.9543166147683E-5</v>
      </c>
      <c r="G14" s="52">
        <v>1.78553472531104E-3</v>
      </c>
      <c r="H14" s="53">
        <v>11</v>
      </c>
      <c r="I14" s="54" t="s">
        <v>195</v>
      </c>
      <c r="J14" s="54" t="str">
        <f>VLOOKUP(B14,[1]SW620!B:I,8,FALSE)</f>
        <v>L-type Ca(II) channel, alpha 1C subunit, GEFT, BDKRB2, Telokin, MyHC, MLCK, MRLC, IP3 receptor, ACM3</v>
      </c>
      <c r="K14" s="59" t="e">
        <f>VLOOKUP(B14,[1]Baseline!B14:I64,8,FALSE)</f>
        <v>#N/A</v>
      </c>
    </row>
    <row r="15" spans="1:11" ht="30" customHeight="1">
      <c r="A15" s="50">
        <v>12</v>
      </c>
      <c r="B15" s="51" t="s">
        <v>196</v>
      </c>
      <c r="C15" s="50">
        <v>38</v>
      </c>
      <c r="D15" s="52">
        <v>2.3161379984281301E-5</v>
      </c>
      <c r="E15" s="52">
        <v>1.9397655736835601E-3</v>
      </c>
      <c r="F15" s="52">
        <v>2.3161379984281403E-5</v>
      </c>
      <c r="G15" s="52">
        <v>1.9397655736835601E-3</v>
      </c>
      <c r="H15" s="53">
        <v>9</v>
      </c>
      <c r="I15" s="54" t="s">
        <v>197</v>
      </c>
      <c r="J15" s="54" t="e">
        <f>VLOOKUP(B15,[1]SW620!B:I,8,FALSE)</f>
        <v>#N/A</v>
      </c>
      <c r="K15" s="59" t="e">
        <f>VLOOKUP(B15,[1]Baseline!B15:I65,8,FALSE)</f>
        <v>#N/A</v>
      </c>
    </row>
    <row r="16" spans="1:11" ht="30" customHeight="1">
      <c r="A16" s="50">
        <v>13</v>
      </c>
      <c r="B16" s="51" t="s">
        <v>143</v>
      </c>
      <c r="C16" s="50">
        <v>49</v>
      </c>
      <c r="D16" s="52">
        <v>3.2946891343907299E-5</v>
      </c>
      <c r="E16" s="52">
        <v>2.5470481385097602E-3</v>
      </c>
      <c r="F16" s="52">
        <v>3.2946891343907401E-5</v>
      </c>
      <c r="G16" s="52">
        <v>2.5470481385097602E-3</v>
      </c>
      <c r="H16" s="53">
        <v>10</v>
      </c>
      <c r="I16" s="54" t="s">
        <v>198</v>
      </c>
      <c r="J16" s="54" t="str">
        <f>VLOOKUP(B16,[1]SW620!B:I,8,FALSE)</f>
        <v>CD44, GCR-alpha, WNT3A, HES1, IL-8, TCF7L2 (TCF4), Frizzled, Bcl-2, MDR1</v>
      </c>
      <c r="K16" s="59" t="e">
        <f>VLOOKUP(B16,[1]Baseline!B16:I66,8,FALSE)</f>
        <v>#N/A</v>
      </c>
    </row>
    <row r="17" spans="1:11" ht="30" customHeight="1">
      <c r="A17" s="50">
        <v>14</v>
      </c>
      <c r="B17" s="51" t="s">
        <v>199</v>
      </c>
      <c r="C17" s="50">
        <v>50</v>
      </c>
      <c r="D17" s="52">
        <v>3.9639222450939103E-5</v>
      </c>
      <c r="E17" s="52">
        <v>2.5951296054238502E-3</v>
      </c>
      <c r="F17" s="52">
        <v>3.9639222450939198E-5</v>
      </c>
      <c r="G17" s="52">
        <v>2.5951296054238502E-3</v>
      </c>
      <c r="H17" s="53">
        <v>10</v>
      </c>
      <c r="I17" s="54" t="s">
        <v>200</v>
      </c>
      <c r="J17" s="54" t="e">
        <f>VLOOKUP(B17,[1]SW620!B:I,8,FALSE)</f>
        <v>#N/A</v>
      </c>
      <c r="K17" s="59" t="e">
        <f>VLOOKUP(B17,[1]Baseline!B17:I67,8,FALSE)</f>
        <v>#N/A</v>
      </c>
    </row>
    <row r="18" spans="1:11" ht="30" customHeight="1">
      <c r="A18" s="50">
        <v>15</v>
      </c>
      <c r="B18" s="51" t="s">
        <v>201</v>
      </c>
      <c r="C18" s="50">
        <v>41</v>
      </c>
      <c r="D18" s="52">
        <v>4.4423175951013103E-5</v>
      </c>
      <c r="E18" s="52">
        <v>2.5951296054238502E-3</v>
      </c>
      <c r="F18" s="52">
        <v>4.4423175951013103E-5</v>
      </c>
      <c r="G18" s="52">
        <v>2.5951296054238502E-3</v>
      </c>
      <c r="H18" s="53">
        <v>9</v>
      </c>
      <c r="I18" s="54" t="s">
        <v>202</v>
      </c>
      <c r="J18" s="54" t="e">
        <f>VLOOKUP(B18,[1]SW620!B:I,8,FALSE)</f>
        <v>#N/A</v>
      </c>
      <c r="K18" s="59" t="e">
        <f>VLOOKUP(B18,[1]Baseline!B18:I68,8,FALSE)</f>
        <v>#N/A</v>
      </c>
    </row>
    <row r="19" spans="1:11" ht="30" customHeight="1">
      <c r="A19" s="50">
        <v>16</v>
      </c>
      <c r="B19" s="51" t="s">
        <v>203</v>
      </c>
      <c r="C19" s="50">
        <v>83</v>
      </c>
      <c r="D19" s="52">
        <v>4.4548728074817803E-5</v>
      </c>
      <c r="E19" s="52">
        <v>2.5951296054238502E-3</v>
      </c>
      <c r="F19" s="52">
        <v>4.4548728074817803E-5</v>
      </c>
      <c r="G19" s="52">
        <v>2.5951296054238502E-3</v>
      </c>
      <c r="H19" s="53">
        <v>13</v>
      </c>
      <c r="I19" s="54" t="s">
        <v>204</v>
      </c>
      <c r="J19" s="54" t="e">
        <f>VLOOKUP(B19,[1]SW620!B:I,8,FALSE)</f>
        <v>#N/A</v>
      </c>
      <c r="K19" s="59" t="e">
        <f>VLOOKUP(B19,[1]Baseline!B19:I69,8,FALSE)</f>
        <v>#N/A</v>
      </c>
    </row>
    <row r="20" spans="1:11" ht="30" customHeight="1">
      <c r="A20" s="50">
        <v>17</v>
      </c>
      <c r="B20" s="51" t="s">
        <v>205</v>
      </c>
      <c r="C20" s="50">
        <v>61</v>
      </c>
      <c r="D20" s="52">
        <v>4.5272690981233904E-5</v>
      </c>
      <c r="E20" s="52">
        <v>2.5951296054238502E-3</v>
      </c>
      <c r="F20" s="52">
        <v>4.5272690981234005E-5</v>
      </c>
      <c r="G20" s="52">
        <v>2.5951296054238502E-3</v>
      </c>
      <c r="H20" s="53">
        <v>11</v>
      </c>
      <c r="I20" s="54" t="s">
        <v>206</v>
      </c>
      <c r="J20" s="54" t="e">
        <f>VLOOKUP(B20,[1]SW620!B:I,8,FALSE)</f>
        <v>#N/A</v>
      </c>
      <c r="K20" s="55" t="e">
        <f>VLOOKUP(B20,[1]Baseline!B20:I70,8,FALSE)</f>
        <v>#N/A</v>
      </c>
    </row>
    <row r="21" spans="1:11" ht="30" customHeight="1">
      <c r="A21" s="50">
        <v>18</v>
      </c>
      <c r="B21" s="51" t="s">
        <v>207</v>
      </c>
      <c r="C21" s="50">
        <v>72</v>
      </c>
      <c r="D21" s="52">
        <v>4.6479933231471904E-5</v>
      </c>
      <c r="E21" s="52">
        <v>2.5951296054238502E-3</v>
      </c>
      <c r="F21" s="52">
        <v>4.6479933231471904E-5</v>
      </c>
      <c r="G21" s="52">
        <v>2.5951296054238502E-3</v>
      </c>
      <c r="H21" s="53">
        <v>12</v>
      </c>
      <c r="I21" s="54" t="s">
        <v>208</v>
      </c>
      <c r="J21" s="54" t="e">
        <f>VLOOKUP(B21,[1]SW620!B:I,8,FALSE)</f>
        <v>#N/A</v>
      </c>
      <c r="K21" s="55" t="e">
        <f>VLOOKUP(B21,[1]Baseline!B21:I71,8,FALSE)</f>
        <v>#N/A</v>
      </c>
    </row>
    <row r="22" spans="1:11" ht="30" customHeight="1">
      <c r="A22" s="50">
        <v>19</v>
      </c>
      <c r="B22" s="51" t="s">
        <v>209</v>
      </c>
      <c r="C22" s="50">
        <v>33</v>
      </c>
      <c r="D22" s="52">
        <v>5.5427095753327403E-5</v>
      </c>
      <c r="E22" s="52">
        <v>2.8419714868364301E-3</v>
      </c>
      <c r="F22" s="52">
        <v>5.5427095753327505E-5</v>
      </c>
      <c r="G22" s="52">
        <v>2.8419714868364301E-3</v>
      </c>
      <c r="H22" s="53">
        <v>8</v>
      </c>
      <c r="I22" s="54" t="s">
        <v>210</v>
      </c>
      <c r="J22" s="54" t="e">
        <f>VLOOKUP(B22,[1]SW620!B:I,8,FALSE)</f>
        <v>#N/A</v>
      </c>
      <c r="K22" s="55" t="e">
        <f>VLOOKUP(B22,[1]Baseline!B22:I72,8,FALSE)</f>
        <v>#N/A</v>
      </c>
    </row>
    <row r="23" spans="1:11" ht="30" customHeight="1">
      <c r="A23" s="50">
        <v>20</v>
      </c>
      <c r="B23" s="51" t="s">
        <v>157</v>
      </c>
      <c r="C23" s="50">
        <v>52</v>
      </c>
      <c r="D23" s="52">
        <v>5.6556646504207399E-5</v>
      </c>
      <c r="E23" s="52">
        <v>2.8419714868364301E-3</v>
      </c>
      <c r="F23" s="52">
        <v>5.6556646504207501E-5</v>
      </c>
      <c r="G23" s="52">
        <v>2.8419714868364301E-3</v>
      </c>
      <c r="H23" s="53">
        <v>10</v>
      </c>
      <c r="I23" s="54" t="s">
        <v>211</v>
      </c>
      <c r="J23" s="54" t="str">
        <f>VLOOKUP(B23,[1]SW620!B:I,8,FALSE)</f>
        <v>HB-EGF, PLAUR (uPAR), Collagen IV, CD44, Kallikrein 1, IL-8, IGF-2, Collagen I, Versican</v>
      </c>
      <c r="K23" s="55" t="str">
        <f>VLOOKUP(B23,[1]Baseline!B23:I73,8,FALSE)</f>
        <v>Laminin 5, CD44, SERPINE2, MMP-1, IL-8, EGFR, Laminin 1, Versican, IBP4, IL8RA, Nidogen, PLAU (UPA), Kallikrein 3 (PSA), Vitronectin, PLAT (TPA), MSN (moesin), MMP-15, MMP-14, PLAUR (uPAR), Collagen II, Collagen IV, TIMP2, IGF-1, Kallikrein 1, PAI1</v>
      </c>
    </row>
    <row r="24" spans="1:11" ht="30" customHeight="1">
      <c r="A24" s="50">
        <v>21</v>
      </c>
      <c r="B24" s="51" t="s">
        <v>212</v>
      </c>
      <c r="C24" s="50">
        <v>53</v>
      </c>
      <c r="D24" s="52">
        <v>6.7097854121656307E-5</v>
      </c>
      <c r="E24" s="52">
        <v>3.1781780820954301E-3</v>
      </c>
      <c r="F24" s="52">
        <v>6.7097854121656402E-5</v>
      </c>
      <c r="G24" s="52">
        <v>3.1781780820954301E-3</v>
      </c>
      <c r="H24" s="53">
        <v>10</v>
      </c>
      <c r="I24" s="54" t="s">
        <v>213</v>
      </c>
      <c r="J24" s="54" t="e">
        <f>VLOOKUP(B24,[1]SW620!B:I,8,FALSE)</f>
        <v>#N/A</v>
      </c>
      <c r="K24" s="55" t="e">
        <f>VLOOKUP(B24,[1]Baseline!B24:I74,8,FALSE)</f>
        <v>#N/A</v>
      </c>
    </row>
    <row r="25" spans="1:11" ht="30" customHeight="1">
      <c r="A25" s="50">
        <v>22</v>
      </c>
      <c r="B25" s="51" t="s">
        <v>214</v>
      </c>
      <c r="C25" s="50">
        <v>111</v>
      </c>
      <c r="D25" s="52">
        <v>6.9572057518506997E-5</v>
      </c>
      <c r="E25" s="52">
        <v>3.1781780820954301E-3</v>
      </c>
      <c r="F25" s="52">
        <v>6.9572057518507105E-5</v>
      </c>
      <c r="G25" s="52">
        <v>3.1781780820954301E-3</v>
      </c>
      <c r="H25" s="53">
        <v>15</v>
      </c>
      <c r="I25" s="54" t="s">
        <v>215</v>
      </c>
      <c r="J25" s="54" t="e">
        <f>VLOOKUP(B25,[1]SW620!B:I,8,FALSE)</f>
        <v>#N/A</v>
      </c>
      <c r="K25" s="55" t="e">
        <f>VLOOKUP(B25,[1]Baseline!B25:I75,8,FALSE)</f>
        <v>#N/A</v>
      </c>
    </row>
    <row r="26" spans="1:11" ht="30" customHeight="1">
      <c r="A26" s="50">
        <v>23</v>
      </c>
      <c r="B26" s="51" t="s">
        <v>216</v>
      </c>
      <c r="C26" s="50">
        <v>76</v>
      </c>
      <c r="D26" s="52">
        <v>8.0422217523700207E-5</v>
      </c>
      <c r="E26" s="52">
        <v>3.5141012439703799E-3</v>
      </c>
      <c r="F26" s="52">
        <v>8.0422217523700207E-5</v>
      </c>
      <c r="G26" s="52">
        <v>3.5141012439703799E-3</v>
      </c>
      <c r="H26" s="53">
        <v>12</v>
      </c>
      <c r="I26" s="54" t="s">
        <v>217</v>
      </c>
      <c r="J26" s="54" t="e">
        <f>VLOOKUP(B26,[1]SW620!B:I,8,FALSE)</f>
        <v>#N/A</v>
      </c>
      <c r="K26" s="55" t="e">
        <f>VLOOKUP(B26,[1]Baseline!B26:I76,8,FALSE)</f>
        <v>#N/A</v>
      </c>
    </row>
    <row r="27" spans="1:11" ht="30" customHeight="1">
      <c r="A27" s="50">
        <v>24</v>
      </c>
      <c r="B27" s="51" t="s">
        <v>91</v>
      </c>
      <c r="C27" s="50">
        <v>35</v>
      </c>
      <c r="D27" s="52">
        <v>8.7165974424397111E-5</v>
      </c>
      <c r="E27" s="52">
        <v>3.65007517902163E-3</v>
      </c>
      <c r="F27" s="52">
        <v>8.7165974424397206E-5</v>
      </c>
      <c r="G27" s="52">
        <v>3.65007517902163E-3</v>
      </c>
      <c r="H27" s="53">
        <v>8</v>
      </c>
      <c r="I27" s="54" t="s">
        <v>218</v>
      </c>
      <c r="J27" s="54" t="str">
        <f>VLOOKUP(B27,[1]SW620!B:I,8,FALSE)</f>
        <v>Apo-2L(TNFSF10), Osteoprotegerin, WNT3A, SFRP2, WNT, BMP2, Frizzled, Collagen I, FasR(CD95), DKK1</v>
      </c>
      <c r="K27" s="55" t="e">
        <f>VLOOKUP(B27,[1]Baseline!B27:I77,8,FALSE)</f>
        <v>#N/A</v>
      </c>
    </row>
    <row r="28" spans="1:11" ht="30" customHeight="1">
      <c r="A28" s="50">
        <v>25</v>
      </c>
      <c r="B28" s="51" t="s">
        <v>129</v>
      </c>
      <c r="C28" s="50">
        <v>77</v>
      </c>
      <c r="D28" s="52">
        <v>9.1663143768418902E-5</v>
      </c>
      <c r="E28" s="52">
        <v>3.68485837949044E-3</v>
      </c>
      <c r="F28" s="52">
        <v>9.1663143768419011E-5</v>
      </c>
      <c r="G28" s="52">
        <v>3.68485837949044E-3</v>
      </c>
      <c r="H28" s="53">
        <v>12</v>
      </c>
      <c r="I28" s="54" t="s">
        <v>219</v>
      </c>
      <c r="J28" s="54" t="str">
        <f>VLOOKUP(B28,[1]SW620!B:I,8,FALSE)</f>
        <v>WNT4, FZD1, Sirtuin1, iNOS, WNT3A, DKK3, Tcf(Lef), SFRP2, WNT, TCF7L2 (TCF4), Frizzled, DKK1</v>
      </c>
      <c r="K28" s="55" t="str">
        <f>VLOOKUP(B28,[1]Baseline!B28:I78,8,FALSE)</f>
        <v>WNT4, E-cadherin, iNOS, RUNX3, FZD6, NKD1, Tcf(Lef), Krm1, Porcn, Lef-1, DKK1, WNT3, FZD3, p21, Dsh, JNK1(MAPK8), SFRP5, Sirtuin1, Survivin, WNT, FZD5, LRP6, FZD1, Cyclin D1, FZD9, HOXB9, c-Myc, FZD7, DVL-2, p38 MAPK, Axin, CD147, Frizzled, NOTCH3</v>
      </c>
    </row>
    <row r="29" spans="1:11" ht="30" customHeight="1">
      <c r="A29" s="50">
        <v>26</v>
      </c>
      <c r="B29" s="51" t="s">
        <v>95</v>
      </c>
      <c r="C29" s="50">
        <v>36</v>
      </c>
      <c r="D29" s="52">
        <v>1.0794715923557599E-4</v>
      </c>
      <c r="E29" s="52">
        <v>4.0180331493242204E-3</v>
      </c>
      <c r="F29" s="52">
        <v>1.0794715923557599E-4</v>
      </c>
      <c r="G29" s="52">
        <v>4.0180331493242204E-3</v>
      </c>
      <c r="H29" s="53">
        <v>8</v>
      </c>
      <c r="I29" s="54" t="s">
        <v>220</v>
      </c>
      <c r="J29" s="54" t="str">
        <f>VLOOKUP(B29,[1]SW620!B:I,8,FALSE)</f>
        <v>PLAUR (uPAR), CD44, Progastrin, IL-8, NRCAM, CD44 soluble, TCF7L2 (TCF4), MDR1, L1CAM, CD44 (EXT)</v>
      </c>
      <c r="K29" s="55" t="e">
        <f>VLOOKUP(B29,[1]Baseline!B29:I79,8,FALSE)</f>
        <v>#N/A</v>
      </c>
    </row>
    <row r="30" spans="1:11" ht="30" customHeight="1">
      <c r="A30" s="50">
        <v>27</v>
      </c>
      <c r="B30" s="51" t="s">
        <v>107</v>
      </c>
      <c r="C30" s="50">
        <v>36</v>
      </c>
      <c r="D30" s="52">
        <v>1.0794715923557599E-4</v>
      </c>
      <c r="E30" s="52">
        <v>4.0180331493242204E-3</v>
      </c>
      <c r="F30" s="52">
        <v>1.0794715923557599E-4</v>
      </c>
      <c r="G30" s="52">
        <v>4.0180331493242204E-3</v>
      </c>
      <c r="H30" s="53">
        <v>8</v>
      </c>
      <c r="I30" s="54" t="s">
        <v>221</v>
      </c>
      <c r="J30" s="54" t="str">
        <f>VLOOKUP(B30,[1]SW620!B:I,8,FALSE)</f>
        <v>CD44, WNT3A, DKK3, Tcf(Lef), WNT7A, SFRP2, WNT, TCF7L2 (TCF4), Frizzled</v>
      </c>
      <c r="K30" s="55" t="e">
        <f>VLOOKUP(B30,[1]Baseline!B30:I80,8,FALSE)</f>
        <v>#N/A</v>
      </c>
    </row>
    <row r="31" spans="1:11" ht="30" customHeight="1">
      <c r="A31" s="50">
        <v>28</v>
      </c>
      <c r="B31" s="51" t="s">
        <v>222</v>
      </c>
      <c r="C31" s="50">
        <v>46</v>
      </c>
      <c r="D31" s="52">
        <v>1.1559397818879899E-4</v>
      </c>
      <c r="E31" s="52">
        <v>4.1489981457051E-3</v>
      </c>
      <c r="F31" s="52">
        <v>1.1559397818879899E-4</v>
      </c>
      <c r="G31" s="52">
        <v>4.1489981457051E-3</v>
      </c>
      <c r="H31" s="53">
        <v>9</v>
      </c>
      <c r="I31" s="54" t="s">
        <v>223</v>
      </c>
      <c r="J31" s="54" t="e">
        <f>VLOOKUP(B31,[1]SW620!B:I,8,FALSE)</f>
        <v>#N/A</v>
      </c>
      <c r="K31" s="55" t="e">
        <f>VLOOKUP(B31,[1]Baseline!B31:I81,8,FALSE)</f>
        <v>#N/A</v>
      </c>
    </row>
    <row r="32" spans="1:11" ht="30" customHeight="1">
      <c r="A32" s="50">
        <v>29</v>
      </c>
      <c r="B32" s="51" t="s">
        <v>224</v>
      </c>
      <c r="C32" s="50">
        <v>37</v>
      </c>
      <c r="D32" s="52">
        <v>1.3266090471243799E-4</v>
      </c>
      <c r="E32" s="52">
        <v>4.5544687449130998E-3</v>
      </c>
      <c r="F32" s="52">
        <v>1.3266090471243799E-4</v>
      </c>
      <c r="G32" s="52">
        <v>4.5544687449130998E-3</v>
      </c>
      <c r="H32" s="53">
        <v>8</v>
      </c>
      <c r="I32" s="54" t="s">
        <v>225</v>
      </c>
      <c r="J32" s="54" t="e">
        <f>VLOOKUP(B32,[1]SW620!B:I,8,FALSE)</f>
        <v>#N/A</v>
      </c>
      <c r="K32" s="55" t="e">
        <f>VLOOKUP(B32,[1]Baseline!B32:I82,8,FALSE)</f>
        <v>#N/A</v>
      </c>
    </row>
    <row r="33" spans="1:11" ht="30" customHeight="1">
      <c r="A33" s="50">
        <v>30</v>
      </c>
      <c r="B33" s="51" t="s">
        <v>226</v>
      </c>
      <c r="C33" s="50">
        <v>69</v>
      </c>
      <c r="D33" s="52">
        <v>1.4525880966885399E-4</v>
      </c>
      <c r="E33" s="52">
        <v>4.5544687449130998E-3</v>
      </c>
      <c r="F33" s="52">
        <v>1.4525880966885399E-4</v>
      </c>
      <c r="G33" s="52">
        <v>4.5544687449130998E-3</v>
      </c>
      <c r="H33" s="53">
        <v>11</v>
      </c>
      <c r="I33" s="54" t="s">
        <v>227</v>
      </c>
      <c r="J33" s="54" t="e">
        <f>VLOOKUP(B33,[1]SW620!B:I,8,FALSE)</f>
        <v>#N/A</v>
      </c>
      <c r="K33" s="55" t="e">
        <f>VLOOKUP(B33,[1]Baseline!B33:I83,8,FALSE)</f>
        <v>#N/A</v>
      </c>
    </row>
    <row r="34" spans="1:11" ht="30" customHeight="1">
      <c r="A34" s="50">
        <v>31</v>
      </c>
      <c r="B34" s="51" t="s">
        <v>113</v>
      </c>
      <c r="C34" s="50">
        <v>58</v>
      </c>
      <c r="D34" s="52">
        <v>1.48377598880227E-4</v>
      </c>
      <c r="E34" s="52">
        <v>4.5544687449130998E-3</v>
      </c>
      <c r="F34" s="52">
        <v>1.4837759888022801E-4</v>
      </c>
      <c r="G34" s="52">
        <v>4.5544687449130998E-3</v>
      </c>
      <c r="H34" s="53">
        <v>10</v>
      </c>
      <c r="I34" s="54" t="s">
        <v>228</v>
      </c>
      <c r="J34" s="54" t="str">
        <f>VLOOKUP(B34,[1]SW620!B:I,8,FALSE)</f>
        <v>Tubulin beta, Tubulin alpha, MAP-1B, NCAM1, MAP4, PDGF-R-alpha, Gelsolin, MAP2, MRLC, L1CAM, Tubulin (in microtubules)</v>
      </c>
      <c r="K34" s="55" t="e">
        <f>VLOOKUP(B34,[1]Baseline!B34:I84,8,FALSE)</f>
        <v>#N/A</v>
      </c>
    </row>
    <row r="35" spans="1:11" ht="30" customHeight="1">
      <c r="A35" s="50">
        <v>32</v>
      </c>
      <c r="B35" s="51" t="s">
        <v>131</v>
      </c>
      <c r="C35" s="50">
        <v>38</v>
      </c>
      <c r="D35" s="52">
        <v>1.6186077797328001E-4</v>
      </c>
      <c r="E35" s="52">
        <v>4.5544687449130998E-3</v>
      </c>
      <c r="F35" s="52">
        <v>1.6186077797328001E-4</v>
      </c>
      <c r="G35" s="52">
        <v>4.5544687449130998E-3</v>
      </c>
      <c r="H35" s="53">
        <v>8</v>
      </c>
      <c r="I35" s="54" t="s">
        <v>229</v>
      </c>
      <c r="J35" s="54" t="str">
        <f>VLOOKUP(B35,[1]SW620!B:I,8,FALSE)</f>
        <v>WNT7B, WNT3A, DKK3, WNT, NRCAM, Frizzled, DKK1, DACT1</v>
      </c>
      <c r="K35" s="55" t="e">
        <f>VLOOKUP(B35,[1]Baseline!B35:I85,8,FALSE)</f>
        <v>#N/A</v>
      </c>
    </row>
    <row r="36" spans="1:11" ht="30" customHeight="1">
      <c r="A36" s="50">
        <v>33</v>
      </c>
      <c r="B36" s="51" t="s">
        <v>230</v>
      </c>
      <c r="C36" s="50">
        <v>38</v>
      </c>
      <c r="D36" s="52">
        <v>1.6186077797328001E-4</v>
      </c>
      <c r="E36" s="52">
        <v>4.5544687449130998E-3</v>
      </c>
      <c r="F36" s="52">
        <v>1.6186077797328001E-4</v>
      </c>
      <c r="G36" s="52">
        <v>4.5544687449130998E-3</v>
      </c>
      <c r="H36" s="53">
        <v>8</v>
      </c>
      <c r="I36" s="54" t="s">
        <v>231</v>
      </c>
      <c r="J36" s="54" t="e">
        <f>VLOOKUP(B36,[1]SW620!B:I,8,FALSE)</f>
        <v>#N/A</v>
      </c>
      <c r="K36" s="55" t="e">
        <f>VLOOKUP(B36,[1]Baseline!B36:I86,8,FALSE)</f>
        <v>#N/A</v>
      </c>
    </row>
    <row r="37" spans="1:11" ht="30" customHeight="1">
      <c r="A37" s="50">
        <v>34</v>
      </c>
      <c r="B37" s="51" t="s">
        <v>232</v>
      </c>
      <c r="C37" s="50">
        <v>38</v>
      </c>
      <c r="D37" s="52">
        <v>1.6186077797328001E-4</v>
      </c>
      <c r="E37" s="52">
        <v>4.5544687449130998E-3</v>
      </c>
      <c r="F37" s="52">
        <v>1.6186077797328001E-4</v>
      </c>
      <c r="G37" s="52">
        <v>4.5544687449130998E-3</v>
      </c>
      <c r="H37" s="53">
        <v>8</v>
      </c>
      <c r="I37" s="54" t="s">
        <v>233</v>
      </c>
      <c r="J37" s="54" t="e">
        <f>VLOOKUP(B37,[1]SW620!B:I,8,FALSE)</f>
        <v>#N/A</v>
      </c>
      <c r="K37" s="55" t="e">
        <f>VLOOKUP(B37,[1]Baseline!B37:I87,8,FALSE)</f>
        <v>#N/A</v>
      </c>
    </row>
    <row r="38" spans="1:11" ht="30" customHeight="1">
      <c r="A38" s="50">
        <v>35</v>
      </c>
      <c r="B38" s="51" t="s">
        <v>234</v>
      </c>
      <c r="C38" s="50">
        <v>38</v>
      </c>
      <c r="D38" s="52">
        <v>1.6186077797328001E-4</v>
      </c>
      <c r="E38" s="52">
        <v>4.5544687449130998E-3</v>
      </c>
      <c r="F38" s="52">
        <v>1.6186077797328001E-4</v>
      </c>
      <c r="G38" s="52">
        <v>4.5544687449130998E-3</v>
      </c>
      <c r="H38" s="53">
        <v>8</v>
      </c>
      <c r="I38" s="54" t="s">
        <v>235</v>
      </c>
      <c r="J38" s="54" t="e">
        <f>VLOOKUP(B38,[1]SW620!B:I,8,FALSE)</f>
        <v>#N/A</v>
      </c>
      <c r="K38" s="55" t="e">
        <f>VLOOKUP(B38,[1]Baseline!B38:I88,8,FALSE)</f>
        <v>#N/A</v>
      </c>
    </row>
    <row r="39" spans="1:11" ht="30" customHeight="1">
      <c r="A39" s="50">
        <v>36</v>
      </c>
      <c r="B39" s="51" t="s">
        <v>236</v>
      </c>
      <c r="C39" s="50">
        <v>48</v>
      </c>
      <c r="D39" s="52">
        <v>1.6314514907151399E-4</v>
      </c>
      <c r="E39" s="52">
        <v>4.5544687449130998E-3</v>
      </c>
      <c r="F39" s="52">
        <v>1.6314514907151399E-4</v>
      </c>
      <c r="G39" s="52">
        <v>4.5544687449130998E-3</v>
      </c>
      <c r="H39" s="53">
        <v>9</v>
      </c>
      <c r="I39" s="54" t="s">
        <v>237</v>
      </c>
      <c r="J39" s="54" t="e">
        <f>VLOOKUP(B39,[1]SW620!B:I,8,FALSE)</f>
        <v>#N/A</v>
      </c>
      <c r="K39" s="55" t="e">
        <f>VLOOKUP(B39,[1]Baseline!B39:I89,8,FALSE)</f>
        <v>#N/A</v>
      </c>
    </row>
    <row r="40" spans="1:11" ht="30" customHeight="1">
      <c r="A40" s="50">
        <v>37</v>
      </c>
      <c r="B40" s="51" t="s">
        <v>238</v>
      </c>
      <c r="C40" s="50">
        <v>60</v>
      </c>
      <c r="D40" s="52">
        <v>1.98662817901687E-4</v>
      </c>
      <c r="E40" s="52">
        <v>5.3961116754377104E-3</v>
      </c>
      <c r="F40" s="52">
        <v>1.98662817901687E-4</v>
      </c>
      <c r="G40" s="52">
        <v>5.3961116754377104E-3</v>
      </c>
      <c r="H40" s="53">
        <v>10</v>
      </c>
      <c r="I40" s="54" t="s">
        <v>239</v>
      </c>
      <c r="J40" s="54" t="e">
        <f>VLOOKUP(B40,[1]SW620!B:I,8,FALSE)</f>
        <v>#N/A</v>
      </c>
      <c r="K40" s="55" t="e">
        <f>VLOOKUP(B40,[1]Baseline!B40:I90,8,FALSE)</f>
        <v>#N/A</v>
      </c>
    </row>
    <row r="41" spans="1:11" ht="30" customHeight="1">
      <c r="A41" s="50">
        <v>38</v>
      </c>
      <c r="B41" s="51" t="s">
        <v>240</v>
      </c>
      <c r="C41" s="50">
        <v>50</v>
      </c>
      <c r="D41" s="52">
        <v>2.2598133782811701E-4</v>
      </c>
      <c r="E41" s="52">
        <v>5.7894141146728802E-3</v>
      </c>
      <c r="F41" s="52">
        <v>2.2598133782811801E-4</v>
      </c>
      <c r="G41" s="52">
        <v>5.7894141146728802E-3</v>
      </c>
      <c r="H41" s="53">
        <v>9</v>
      </c>
      <c r="I41" s="54" t="s">
        <v>241</v>
      </c>
      <c r="J41" s="54" t="e">
        <f>VLOOKUP(B41,[1]SW620!B:I,8,FALSE)</f>
        <v>#N/A</v>
      </c>
      <c r="K41" s="55" t="e">
        <f>VLOOKUP(B41,[1]Baseline!B41:I91,8,FALSE)</f>
        <v>#N/A</v>
      </c>
    </row>
    <row r="42" spans="1:11" ht="30" customHeight="1">
      <c r="A42" s="50">
        <v>39</v>
      </c>
      <c r="B42" s="51" t="s">
        <v>87</v>
      </c>
      <c r="C42" s="50">
        <v>40</v>
      </c>
      <c r="D42" s="52">
        <v>2.3618505343441599E-4</v>
      </c>
      <c r="E42" s="52">
        <v>5.7894141146728802E-3</v>
      </c>
      <c r="F42" s="52">
        <v>2.3618505343441599E-4</v>
      </c>
      <c r="G42" s="52">
        <v>5.7894141146728802E-3</v>
      </c>
      <c r="H42" s="53">
        <v>8</v>
      </c>
      <c r="I42" s="54" t="s">
        <v>242</v>
      </c>
      <c r="J42" s="54" t="str">
        <f>VLOOKUP(B42,[1]SW620!B:I,8,FALSE)</f>
        <v>WNT4, LGR5, WNT7B, WNT3A, Tcf(Lef), SFRP2, WNT, TCF7L2 (TCF4), Frizzled, DKK1, DACT1</v>
      </c>
      <c r="K42" s="55" t="e">
        <f>VLOOKUP(B42,[1]Baseline!B42:I92,8,FALSE)</f>
        <v>#N/A</v>
      </c>
    </row>
    <row r="43" spans="1:11" ht="30" customHeight="1">
      <c r="A43" s="50">
        <v>40</v>
      </c>
      <c r="B43" s="51" t="s">
        <v>243</v>
      </c>
      <c r="C43" s="50">
        <v>40</v>
      </c>
      <c r="D43" s="52">
        <v>2.3618505343441599E-4</v>
      </c>
      <c r="E43" s="52">
        <v>5.7894141146728802E-3</v>
      </c>
      <c r="F43" s="52">
        <v>2.3618505343441599E-4</v>
      </c>
      <c r="G43" s="52">
        <v>5.7894141146728802E-3</v>
      </c>
      <c r="H43" s="53">
        <v>8</v>
      </c>
      <c r="I43" s="54" t="s">
        <v>244</v>
      </c>
      <c r="J43" s="54" t="e">
        <f>VLOOKUP(B43,[1]SW620!B:I,8,FALSE)</f>
        <v>#N/A</v>
      </c>
      <c r="K43" s="55" t="e">
        <f>VLOOKUP(B43,[1]Baseline!B43:I93,8,FALSE)</f>
        <v>#N/A</v>
      </c>
    </row>
    <row r="44" spans="1:11" ht="30" customHeight="1">
      <c r="A44" s="50">
        <v>41</v>
      </c>
      <c r="B44" s="51" t="s">
        <v>245</v>
      </c>
      <c r="C44" s="50">
        <v>40</v>
      </c>
      <c r="D44" s="52">
        <v>2.3618505343441599E-4</v>
      </c>
      <c r="E44" s="52">
        <v>5.7894141146728802E-3</v>
      </c>
      <c r="F44" s="52">
        <v>2.3618505343441599E-4</v>
      </c>
      <c r="G44" s="52">
        <v>5.7894141146728802E-3</v>
      </c>
      <c r="H44" s="53">
        <v>8</v>
      </c>
      <c r="I44" s="54" t="s">
        <v>246</v>
      </c>
      <c r="J44" s="54" t="e">
        <f>VLOOKUP(B44,[1]SW620!B:I,8,FALSE)</f>
        <v>#N/A</v>
      </c>
      <c r="K44" s="55" t="e">
        <f>VLOOKUP(B44,[1]Baseline!B44:I94,8,FALSE)</f>
        <v>#N/A</v>
      </c>
    </row>
    <row r="45" spans="1:11" ht="30" customHeight="1">
      <c r="A45" s="50">
        <v>42</v>
      </c>
      <c r="B45" s="51" t="s">
        <v>247</v>
      </c>
      <c r="C45" s="50">
        <v>52</v>
      </c>
      <c r="D45" s="52">
        <v>3.0770394707257801E-4</v>
      </c>
      <c r="E45" s="52">
        <v>7.2465382451016797E-3</v>
      </c>
      <c r="F45" s="52">
        <v>3.0770394707257801E-4</v>
      </c>
      <c r="G45" s="52">
        <v>7.2465382451016797E-3</v>
      </c>
      <c r="H45" s="53">
        <v>9</v>
      </c>
      <c r="I45" s="54" t="s">
        <v>248</v>
      </c>
      <c r="J45" s="54" t="e">
        <f>VLOOKUP(B45,[1]SW620!B:I,8,FALSE)</f>
        <v>#N/A</v>
      </c>
      <c r="K45" s="55" t="e">
        <f>VLOOKUP(B45,[1]Baseline!B45:I95,8,FALSE)</f>
        <v>#N/A</v>
      </c>
    </row>
    <row r="46" spans="1:11" ht="30" customHeight="1">
      <c r="A46" s="50">
        <v>43</v>
      </c>
      <c r="B46" s="51" t="s">
        <v>249</v>
      </c>
      <c r="C46" s="50">
        <v>100</v>
      </c>
      <c r="D46" s="52">
        <v>3.1005089008892702E-4</v>
      </c>
      <c r="E46" s="52">
        <v>7.2465382451016797E-3</v>
      </c>
      <c r="F46" s="52">
        <v>3.1005089008892799E-4</v>
      </c>
      <c r="G46" s="52">
        <v>7.2465382451016797E-3</v>
      </c>
      <c r="H46" s="53">
        <v>13</v>
      </c>
      <c r="I46" s="54" t="s">
        <v>250</v>
      </c>
      <c r="J46" s="54" t="e">
        <f>VLOOKUP(B46,[1]SW620!B:I,8,FALSE)</f>
        <v>#N/A</v>
      </c>
      <c r="K46" s="55" t="e">
        <f>VLOOKUP(B46,[1]Baseline!B46:I96,8,FALSE)</f>
        <v>#N/A</v>
      </c>
    </row>
    <row r="47" spans="1:11" ht="30" customHeight="1">
      <c r="A47" s="50">
        <v>44</v>
      </c>
      <c r="B47" s="51" t="s">
        <v>180</v>
      </c>
      <c r="C47" s="50">
        <v>42</v>
      </c>
      <c r="D47" s="52">
        <v>3.3637569448065699E-4</v>
      </c>
      <c r="E47" s="52">
        <v>7.5123905100680198E-3</v>
      </c>
      <c r="F47" s="52">
        <v>3.3637569448065802E-4</v>
      </c>
      <c r="G47" s="52">
        <v>7.5123905100680198E-3</v>
      </c>
      <c r="H47" s="53">
        <v>8</v>
      </c>
      <c r="I47" s="54" t="s">
        <v>251</v>
      </c>
      <c r="J47" s="54" t="e">
        <f>VLOOKUP(B47,[1]SW620!B:I,8,FALSE)</f>
        <v>#N/A</v>
      </c>
      <c r="K47" s="55" t="e">
        <f>VLOOKUP(B47,[1]Baseline!B47:I97,8,FALSE)</f>
        <v>#N/A</v>
      </c>
    </row>
    <row r="48" spans="1:11" ht="30" customHeight="1">
      <c r="A48" s="50">
        <v>45</v>
      </c>
      <c r="B48" s="51" t="s">
        <v>252</v>
      </c>
      <c r="C48" s="50">
        <v>42</v>
      </c>
      <c r="D48" s="52">
        <v>3.3637569448065699E-4</v>
      </c>
      <c r="E48" s="52">
        <v>7.5123905100680198E-3</v>
      </c>
      <c r="F48" s="52">
        <v>3.3637569448065802E-4</v>
      </c>
      <c r="G48" s="52">
        <v>7.5123905100680198E-3</v>
      </c>
      <c r="H48" s="53">
        <v>8</v>
      </c>
      <c r="I48" s="54" t="s">
        <v>231</v>
      </c>
      <c r="J48" s="54" t="e">
        <f>VLOOKUP(B48,[1]SW620!B:I,8,FALSE)</f>
        <v>#N/A</v>
      </c>
      <c r="K48" s="55" t="e">
        <f>VLOOKUP(B48,[1]Baseline!B48:I98,8,FALSE)</f>
        <v>#N/A</v>
      </c>
    </row>
    <row r="49" spans="1:11" ht="30" customHeight="1">
      <c r="A49" s="50">
        <v>46</v>
      </c>
      <c r="B49" s="51" t="s">
        <v>253</v>
      </c>
      <c r="C49" s="50">
        <v>102</v>
      </c>
      <c r="D49" s="52">
        <v>3.7750470027097399E-4</v>
      </c>
      <c r="E49" s="52">
        <v>7.98397151166645E-3</v>
      </c>
      <c r="F49" s="52">
        <v>3.7750470027097399E-4</v>
      </c>
      <c r="G49" s="52">
        <v>7.98397151166645E-3</v>
      </c>
      <c r="H49" s="53">
        <v>13</v>
      </c>
      <c r="I49" s="54" t="s">
        <v>254</v>
      </c>
      <c r="J49" s="54" t="e">
        <f>VLOOKUP(B49,[1]SW620!B:I,8,FALSE)</f>
        <v>#N/A</v>
      </c>
      <c r="K49" s="55" t="e">
        <f>VLOOKUP(B49,[1]Baseline!B49:I99,8,FALSE)</f>
        <v>#N/A</v>
      </c>
    </row>
    <row r="50" spans="1:11" ht="30" customHeight="1">
      <c r="A50" s="50">
        <v>47</v>
      </c>
      <c r="B50" s="51" t="s">
        <v>255</v>
      </c>
      <c r="C50" s="50">
        <v>33</v>
      </c>
      <c r="D50" s="52">
        <v>3.9721251301823199E-4</v>
      </c>
      <c r="E50" s="52">
        <v>7.98397151166645E-3</v>
      </c>
      <c r="F50" s="52">
        <v>3.9721251301823199E-4</v>
      </c>
      <c r="G50" s="52">
        <v>7.98397151166645E-3</v>
      </c>
      <c r="H50" s="53">
        <v>7</v>
      </c>
      <c r="I50" s="54" t="s">
        <v>256</v>
      </c>
      <c r="J50" s="54" t="e">
        <f>VLOOKUP(B50,[1]SW620!B:I,8,FALSE)</f>
        <v>#N/A</v>
      </c>
      <c r="K50" s="55" t="e">
        <f>VLOOKUP(B50,[1]Baseline!B50:I100,8,FALSE)</f>
        <v>#N/A</v>
      </c>
    </row>
    <row r="51" spans="1:11" ht="30" customHeight="1">
      <c r="A51" s="50">
        <v>48</v>
      </c>
      <c r="B51" s="51" t="s">
        <v>257</v>
      </c>
      <c r="C51" s="50">
        <v>33</v>
      </c>
      <c r="D51" s="52">
        <v>3.9721251301823199E-4</v>
      </c>
      <c r="E51" s="52">
        <v>7.98397151166645E-3</v>
      </c>
      <c r="F51" s="52">
        <v>3.9721251301823199E-4</v>
      </c>
      <c r="G51" s="52">
        <v>7.98397151166645E-3</v>
      </c>
      <c r="H51" s="53">
        <v>7</v>
      </c>
      <c r="I51" s="54" t="s">
        <v>258</v>
      </c>
      <c r="J51" s="54" t="e">
        <f>VLOOKUP(B51,[1]SW620!B:I,8,FALSE)</f>
        <v>#N/A</v>
      </c>
      <c r="K51" s="55" t="e">
        <f>VLOOKUP(B51,[1]Baseline!B51:I101,8,FALSE)</f>
        <v>#N/A</v>
      </c>
    </row>
    <row r="52" spans="1:11" ht="30" customHeight="1">
      <c r="A52" s="50">
        <v>49</v>
      </c>
      <c r="B52" s="51" t="s">
        <v>259</v>
      </c>
      <c r="C52" s="50">
        <v>33</v>
      </c>
      <c r="D52" s="52">
        <v>3.9721251301823199E-4</v>
      </c>
      <c r="E52" s="52">
        <v>7.98397151166645E-3</v>
      </c>
      <c r="F52" s="52">
        <v>3.9721251301823199E-4</v>
      </c>
      <c r="G52" s="52">
        <v>7.98397151166645E-3</v>
      </c>
      <c r="H52" s="53">
        <v>7</v>
      </c>
      <c r="I52" s="54" t="s">
        <v>260</v>
      </c>
      <c r="J52" s="54" t="e">
        <f>VLOOKUP(B52,[1]SW620!B:I,8,FALSE)</f>
        <v>#N/A</v>
      </c>
      <c r="K52" s="55" t="e">
        <f>VLOOKUP(B52,[1]Baseline!B52:I102,8,FALSE)</f>
        <v>#N/A</v>
      </c>
    </row>
    <row r="53" spans="1:11" ht="30" customHeight="1" thickBot="1">
      <c r="A53" s="50">
        <v>50</v>
      </c>
      <c r="B53" s="51" t="s">
        <v>261</v>
      </c>
      <c r="C53" s="50">
        <v>33</v>
      </c>
      <c r="D53" s="52">
        <v>3.9721251301823199E-4</v>
      </c>
      <c r="E53" s="52">
        <v>7.98397151166645E-3</v>
      </c>
      <c r="F53" s="52">
        <v>3.9721251301823199E-4</v>
      </c>
      <c r="G53" s="52">
        <v>7.98397151166645E-3</v>
      </c>
      <c r="H53" s="53">
        <v>7</v>
      </c>
      <c r="I53" s="54" t="s">
        <v>262</v>
      </c>
      <c r="J53" s="54" t="e">
        <f>VLOOKUP(B53,[1]SW620!B:I,8,FALSE)</f>
        <v>#N/A</v>
      </c>
      <c r="K53" s="55" t="e">
        <f>VLOOKUP(B53,[1]Baseline!B53:I103,8,FALSE)</f>
        <v>#N/A</v>
      </c>
    </row>
    <row r="54" spans="1:11" ht="15">
      <c r="A54" s="56" t="s">
        <v>70</v>
      </c>
      <c r="B54" s="56" t="s">
        <v>70</v>
      </c>
      <c r="C54" s="56" t="s">
        <v>70</v>
      </c>
      <c r="D54" s="56" t="s">
        <v>70</v>
      </c>
      <c r="E54" s="56" t="s">
        <v>70</v>
      </c>
      <c r="F54" s="56" t="s">
        <v>70</v>
      </c>
      <c r="G54" s="56" t="s">
        <v>70</v>
      </c>
      <c r="H54" s="56" t="s">
        <v>70</v>
      </c>
      <c r="I54" s="57" t="s">
        <v>70</v>
      </c>
      <c r="J54" s="54" t="str">
        <f>VLOOKUP(B54,[1]SW620!B:I,8,FALSE)</f>
        <v/>
      </c>
      <c r="K54" s="55" t="str">
        <f>VLOOKUP(B54,[1]Baseline!B54:I104,8,FALSE)</f>
        <v/>
      </c>
    </row>
  </sheetData>
  <autoFilter ref="A3:I13"/>
  <hyperlinks>
    <hyperlink ref="B4" r:id="rId1" display="http://portal.genego.com/cgi/imagemap.cgi?id=6473"/>
    <hyperlink ref="B5" r:id="rId2" display="http://portal.genego.com/cgi/imagemap.cgi?id=3018"/>
    <hyperlink ref="B6" r:id="rId3" display="http://portal.genego.com/cgi/imagemap.cgi?id=553"/>
    <hyperlink ref="B7" r:id="rId4" display="http://portal.genego.com/cgi/imagemap.cgi?id=6301"/>
    <hyperlink ref="B8" r:id="rId5" display="http://portal.genego.com/cgi/imagemap.cgi?id=4516"/>
    <hyperlink ref="B9" r:id="rId6" display="http://portal.genego.com/cgi/imagemap.cgi?id=3294"/>
    <hyperlink ref="B10" r:id="rId7" display="http://portal.genego.com/cgi/imagemap.cgi?id=6508"/>
    <hyperlink ref="B11" r:id="rId8" display="http://portal.genego.com/cgi/imagemap.cgi?id=6446"/>
    <hyperlink ref="B12" r:id="rId9" display="http://portal.genego.com/cgi/imagemap.cgi?id=6686"/>
    <hyperlink ref="B13" r:id="rId10" display="http://portal.genego.com/cgi/imagemap.cgi?id=6201"/>
    <hyperlink ref="B14" r:id="rId11" display="http://portal.genego.com/cgi/imagemap.cgi?id=3216"/>
    <hyperlink ref="B15" r:id="rId12" display="http://portal.genego.com/cgi/imagemap.cgi?id=434"/>
    <hyperlink ref="B16" r:id="rId13" display="http://portal.genego.com/cgi/imagemap.cgi?id=5468"/>
    <hyperlink ref="B17" r:id="rId14" display="http://portal.genego.com/cgi/imagemap.cgi?id=6453"/>
    <hyperlink ref="B18" r:id="rId15" display="http://portal.genego.com/cgi/imagemap.cgi?id=445"/>
    <hyperlink ref="B19" r:id="rId16" display="http://portal.genego.com/cgi/imagemap.cgi?id=2393"/>
    <hyperlink ref="B20" r:id="rId17" display="http://portal.genego.com/cgi/imagemap.cgi?id=669"/>
    <hyperlink ref="B21" r:id="rId18" display="http://portal.genego.com/cgi/imagemap.cgi?id=3137"/>
    <hyperlink ref="B22" r:id="rId19" display="http://portal.genego.com/cgi/imagemap.cgi?id=2991"/>
    <hyperlink ref="B23" r:id="rId20" display="http://portal.genego.com/cgi/imagemap.cgi?id=717"/>
    <hyperlink ref="B24" r:id="rId21" display="http://portal.genego.com/cgi/imagemap.cgi?id=6406"/>
    <hyperlink ref="B25" r:id="rId22" display="http://portal.genego.com/cgi/imagemap.cgi?id=715"/>
    <hyperlink ref="B26" r:id="rId23" display="http://portal.genego.com/cgi/imagemap.cgi?id=7076"/>
    <hyperlink ref="B27" r:id="rId24" display="http://portal.genego.com/cgi/imagemap.cgi?id=5148"/>
    <hyperlink ref="B28" r:id="rId25" display="http://portal.genego.com/cgi/imagemap.cgi?id=6026"/>
    <hyperlink ref="B29" r:id="rId26" display="http://portal.genego.com/cgi/imagemap.cgi?id=6459"/>
    <hyperlink ref="B30" r:id="rId27" display="http://portal.genego.com/cgi/imagemap.cgi?id=3159"/>
    <hyperlink ref="B31" r:id="rId28" display="http://portal.genego.com/cgi/imagemap.cgi?id=518"/>
    <hyperlink ref="B32" r:id="rId29" display="http://portal.genego.com/cgi/imagemap.cgi?id=6489"/>
    <hyperlink ref="B33" r:id="rId30" display="http://portal.genego.com/cgi/imagemap.cgi?id=2654"/>
    <hyperlink ref="B34" r:id="rId31" display="http://portal.genego.com/cgi/imagemap.cgi?id=4890"/>
    <hyperlink ref="B35" r:id="rId32" display="http://portal.genego.com/cgi/imagemap.cgi?id=6447"/>
    <hyperlink ref="B36" r:id="rId33" display="http://portal.genego.com/cgi/imagemap.cgi?id=2250"/>
    <hyperlink ref="B37" r:id="rId34" display="http://portal.genego.com/cgi/imagemap.cgi?id=741"/>
    <hyperlink ref="B38" r:id="rId35" display="http://portal.genego.com/cgi/imagemap.cgi?id=6633"/>
    <hyperlink ref="B39" r:id="rId36" display="http://portal.genego.com/cgi/imagemap.cgi?id=450"/>
    <hyperlink ref="B40" r:id="rId37" display="http://portal.genego.com/cgi/imagemap.cgi?id=6610"/>
    <hyperlink ref="B41" r:id="rId38" display="http://portal.genego.com/cgi/imagemap.cgi?id=6011"/>
    <hyperlink ref="B42" r:id="rId39" display="http://portal.genego.com/cgi/imagemap.cgi?id=3163"/>
    <hyperlink ref="B43" r:id="rId40" display="http://portal.genego.com/cgi/imagemap.cgi?id=2482"/>
    <hyperlink ref="B44" r:id="rId41" display="http://portal.genego.com/cgi/imagemap.cgi?id=6597"/>
    <hyperlink ref="B45" r:id="rId42" display="http://portal.genego.com/cgi/imagemap.cgi?id=5011"/>
    <hyperlink ref="B46" r:id="rId43" display="http://portal.genego.com/cgi/imagemap.cgi?id=716"/>
    <hyperlink ref="B47" r:id="rId44" display="http://portal.genego.com/cgi/imagemap.cgi?id=3204"/>
    <hyperlink ref="B48" r:id="rId45" display="http://portal.genego.com/cgi/imagemap.cgi?id=2251"/>
    <hyperlink ref="B49" r:id="rId46" display="http://portal.genego.com/cgi/imagemap.cgi?id=714"/>
    <hyperlink ref="B50" r:id="rId47" display="http://portal.genego.com/cgi/imagemap.cgi?id=389"/>
    <hyperlink ref="B51" r:id="rId48" display="http://portal.genego.com/cgi/imagemap.cgi?id=3239"/>
    <hyperlink ref="B52" r:id="rId49" display="http://portal.genego.com/cgi/imagemap.cgi?id=3152"/>
    <hyperlink ref="B53" r:id="rId50" display="http://portal.genego.com/cgi/imagemap.cgi?id=7043"/>
  </hyperlinks>
  <printOptions gridLines="1" gridLinesSet="0"/>
  <pageMargins left="0.75" right="0.75" top="1" bottom="1" header="0.5" footer="0.5"/>
  <pageSetup paperSize="9" fitToWidth="0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zoomScale="90" workbookViewId="0">
      <pane xSplit="10" ySplit="2" topLeftCell="K3" activePane="bottomRight" state="frozen"/>
      <selection pane="topRight"/>
      <selection pane="bottomLeft"/>
      <selection pane="bottomRight" activeCell="K2" sqref="K2"/>
    </sheetView>
  </sheetViews>
  <sheetFormatPr baseColWidth="10" defaultColWidth="8.83203125" defaultRowHeight="12" x14ac:dyDescent="0"/>
  <cols>
    <col min="1" max="1" width="14" customWidth="1"/>
    <col min="2" max="9" width="10" customWidth="1"/>
    <col min="10" max="10" width="17" customWidth="1"/>
    <col min="11" max="12" width="10" customWidth="1"/>
  </cols>
  <sheetData>
    <row r="1" spans="1:12" ht="30" customHeight="1" thickBot="1">
      <c r="A1" s="26" t="s">
        <v>29</v>
      </c>
      <c r="K1" s="78" t="s">
        <v>456</v>
      </c>
      <c r="L1" s="78"/>
    </row>
    <row r="2" spans="1:12" ht="30" customHeight="1">
      <c r="A2" s="27" t="s">
        <v>31</v>
      </c>
      <c r="B2" s="27" t="s">
        <v>32</v>
      </c>
      <c r="C2" s="27" t="s">
        <v>33</v>
      </c>
      <c r="D2" s="27" t="s">
        <v>34</v>
      </c>
      <c r="E2" s="27" t="s">
        <v>35</v>
      </c>
      <c r="F2" s="27" t="s">
        <v>36</v>
      </c>
      <c r="G2" s="27" t="s">
        <v>37</v>
      </c>
      <c r="H2" s="27" t="s">
        <v>1</v>
      </c>
      <c r="I2" s="27" t="s">
        <v>38</v>
      </c>
      <c r="J2" s="27" t="s">
        <v>30</v>
      </c>
      <c r="K2" s="4" t="s">
        <v>0</v>
      </c>
      <c r="L2" s="5" t="s">
        <v>1</v>
      </c>
    </row>
    <row r="3" spans="1:12" ht="15" customHeight="1">
      <c r="A3" s="2" t="str">
        <f>HYPERLINK("http://portal.genego.com/cgi/entity_page.cgi?term=100&amp;id=-1501760143","BTG2")</f>
        <v>BTG2</v>
      </c>
      <c r="B3" s="28">
        <v>2</v>
      </c>
      <c r="C3" s="28">
        <v>352</v>
      </c>
      <c r="D3" s="28">
        <v>2</v>
      </c>
      <c r="E3" s="28">
        <v>26819</v>
      </c>
      <c r="F3" s="28">
        <v>2.6249999999999999E-2</v>
      </c>
      <c r="G3" s="28">
        <v>76.19</v>
      </c>
      <c r="H3" s="28">
        <v>1.718E-4</v>
      </c>
      <c r="I3" s="28">
        <v>12.26</v>
      </c>
      <c r="J3" s="29"/>
      <c r="K3" s="30"/>
      <c r="L3" s="31"/>
    </row>
    <row r="4" spans="1:12" ht="15" customHeight="1">
      <c r="A4" s="2" t="str">
        <f>HYPERLINK("http://portal.genego.com/cgi/entity_page.cgi?term=100&amp;id=-2072149544","TCEAL7")</f>
        <v>TCEAL7</v>
      </c>
      <c r="B4" s="28">
        <v>1</v>
      </c>
      <c r="C4" s="28">
        <v>352</v>
      </c>
      <c r="D4" s="28">
        <v>1</v>
      </c>
      <c r="E4" s="28">
        <v>26819</v>
      </c>
      <c r="F4" s="28">
        <v>1.3129999999999999E-2</v>
      </c>
      <c r="G4" s="28">
        <v>76.19</v>
      </c>
      <c r="H4" s="28">
        <v>1.3129999999999999E-2</v>
      </c>
      <c r="I4" s="28">
        <v>8.6709999999999994</v>
      </c>
      <c r="J4" s="29"/>
      <c r="K4" s="30"/>
      <c r="L4" s="31"/>
    </row>
    <row r="5" spans="1:12" ht="15" customHeight="1">
      <c r="A5" s="2" t="str">
        <f>HYPERLINK("http://portal.genego.com/cgi/entity_page.cgi?term=100&amp;id=-1524576532","KLP1")</f>
        <v>KLP1</v>
      </c>
      <c r="B5" s="28">
        <v>1</v>
      </c>
      <c r="C5" s="28">
        <v>352</v>
      </c>
      <c r="D5" s="28">
        <v>1</v>
      </c>
      <c r="E5" s="28">
        <v>26819</v>
      </c>
      <c r="F5" s="28">
        <v>1.3129999999999999E-2</v>
      </c>
      <c r="G5" s="28">
        <v>76.19</v>
      </c>
      <c r="H5" s="28">
        <v>1.3129999999999999E-2</v>
      </c>
      <c r="I5" s="28">
        <v>8.6709999999999994</v>
      </c>
      <c r="J5" s="29"/>
      <c r="K5" s="30"/>
      <c r="L5" s="31"/>
    </row>
    <row r="6" spans="1:12" ht="15" customHeight="1">
      <c r="A6" s="2" t="str">
        <f>HYPERLINK("http://portal.genego.com/cgi/entity_page.cgi?term=100&amp;id=-270892794","XPD")</f>
        <v>XPD</v>
      </c>
      <c r="B6" s="28">
        <v>1</v>
      </c>
      <c r="C6" s="28">
        <v>352</v>
      </c>
      <c r="D6" s="28">
        <v>1</v>
      </c>
      <c r="E6" s="28">
        <v>26819</v>
      </c>
      <c r="F6" s="28">
        <v>1.3129999999999999E-2</v>
      </c>
      <c r="G6" s="28">
        <v>76.19</v>
      </c>
      <c r="H6" s="28">
        <v>1.3129999999999999E-2</v>
      </c>
      <c r="I6" s="28">
        <v>8.6709999999999994</v>
      </c>
      <c r="J6" s="29"/>
      <c r="K6" s="30"/>
      <c r="L6" s="31"/>
    </row>
    <row r="7" spans="1:12" ht="15" customHeight="1">
      <c r="A7" s="2" t="str">
        <f>HYPERLINK("http://portal.genego.com/cgi/entity_page.cgi?term=100&amp;id=-45259528","BAF60c")</f>
        <v>BAF60c</v>
      </c>
      <c r="B7" s="28">
        <v>1</v>
      </c>
      <c r="C7" s="28">
        <v>352</v>
      </c>
      <c r="D7" s="28">
        <v>1</v>
      </c>
      <c r="E7" s="28">
        <v>26819</v>
      </c>
      <c r="F7" s="28">
        <v>1.3129999999999999E-2</v>
      </c>
      <c r="G7" s="28">
        <v>76.19</v>
      </c>
      <c r="H7" s="28">
        <v>1.3129999999999999E-2</v>
      </c>
      <c r="I7" s="28">
        <v>8.6709999999999994</v>
      </c>
      <c r="J7" s="29"/>
      <c r="K7" s="30"/>
      <c r="L7" s="31"/>
    </row>
    <row r="8" spans="1:12" ht="15" customHeight="1">
      <c r="A8" s="2" t="str">
        <f>HYPERLINK("http://portal.genego.com/cgi/entity_page.cgi?term=100&amp;id=6067","MAD4")</f>
        <v>MAD4</v>
      </c>
      <c r="B8" s="28">
        <v>1</v>
      </c>
      <c r="C8" s="28">
        <v>352</v>
      </c>
      <c r="D8" s="28">
        <v>1</v>
      </c>
      <c r="E8" s="28">
        <v>26819</v>
      </c>
      <c r="F8" s="28">
        <v>1.3129999999999999E-2</v>
      </c>
      <c r="G8" s="28">
        <v>76.19</v>
      </c>
      <c r="H8" s="28">
        <v>1.3129999999999999E-2</v>
      </c>
      <c r="I8" s="28">
        <v>8.6709999999999994</v>
      </c>
      <c r="J8" s="29"/>
      <c r="K8" s="30"/>
      <c r="L8" s="31"/>
    </row>
    <row r="9" spans="1:12" ht="15" customHeight="1">
      <c r="A9" s="2" t="str">
        <f>HYPERLINK("http://portal.genego.com/cgi/entity_page.cgi?term=100&amp;id=-1306749583","NPAS3")</f>
        <v>NPAS3</v>
      </c>
      <c r="B9" s="28">
        <v>1</v>
      </c>
      <c r="C9" s="28">
        <v>352</v>
      </c>
      <c r="D9" s="28">
        <v>1</v>
      </c>
      <c r="E9" s="28">
        <v>26819</v>
      </c>
      <c r="F9" s="28">
        <v>1.3129999999999999E-2</v>
      </c>
      <c r="G9" s="28">
        <v>76.19</v>
      </c>
      <c r="H9" s="28">
        <v>1.3129999999999999E-2</v>
      </c>
      <c r="I9" s="28">
        <v>8.6709999999999994</v>
      </c>
      <c r="J9" s="29"/>
      <c r="K9" s="30"/>
      <c r="L9" s="31"/>
    </row>
    <row r="10" spans="1:12" ht="15" customHeight="1">
      <c r="A10" s="2" t="str">
        <f>HYPERLINK("http://portal.genego.com/cgi/entity_page.cgi?term=100&amp;id=-1318505516","STRA13")</f>
        <v>STRA13</v>
      </c>
      <c r="B10" s="28">
        <v>1</v>
      </c>
      <c r="C10" s="28">
        <v>352</v>
      </c>
      <c r="D10" s="28">
        <v>1</v>
      </c>
      <c r="E10" s="28">
        <v>26819</v>
      </c>
      <c r="F10" s="28">
        <v>1.3129999999999999E-2</v>
      </c>
      <c r="G10" s="28">
        <v>76.19</v>
      </c>
      <c r="H10" s="28">
        <v>1.3129999999999999E-2</v>
      </c>
      <c r="I10" s="28">
        <v>8.6709999999999994</v>
      </c>
      <c r="J10" s="29"/>
      <c r="K10" s="30"/>
      <c r="L10" s="31"/>
    </row>
    <row r="11" spans="1:12" ht="15" customHeight="1">
      <c r="A11" s="2" t="str">
        <f>HYPERLINK("http://portal.genego.com/cgi/entity_page.cgi?term=100&amp;id=-715308842","BRM")</f>
        <v>BRM</v>
      </c>
      <c r="B11" s="28">
        <v>1</v>
      </c>
      <c r="C11" s="28">
        <v>352</v>
      </c>
      <c r="D11" s="28">
        <v>1</v>
      </c>
      <c r="E11" s="28">
        <v>26819</v>
      </c>
      <c r="F11" s="28">
        <v>1.3129999999999999E-2</v>
      </c>
      <c r="G11" s="28">
        <v>76.19</v>
      </c>
      <c r="H11" s="28">
        <v>1.3129999999999999E-2</v>
      </c>
      <c r="I11" s="28">
        <v>8.6709999999999994</v>
      </c>
      <c r="J11" s="29"/>
      <c r="K11" s="30"/>
      <c r="L11" s="31"/>
    </row>
    <row r="12" spans="1:12" ht="15" customHeight="1">
      <c r="A12" s="2" t="str">
        <f>HYPERLINK("http://portal.genego.com/cgi/entity_page.cgi?term=100&amp;id=-114669043","MAT1")</f>
        <v>MAT1</v>
      </c>
      <c r="B12" s="28">
        <v>1</v>
      </c>
      <c r="C12" s="28">
        <v>352</v>
      </c>
      <c r="D12" s="28">
        <v>1</v>
      </c>
      <c r="E12" s="28">
        <v>26819</v>
      </c>
      <c r="F12" s="28">
        <v>1.3129999999999999E-2</v>
      </c>
      <c r="G12" s="28">
        <v>76.19</v>
      </c>
      <c r="H12" s="28">
        <v>1.3129999999999999E-2</v>
      </c>
      <c r="I12" s="28">
        <v>8.6709999999999994</v>
      </c>
      <c r="J12" s="29"/>
      <c r="K12" s="30"/>
      <c r="L12" s="31"/>
    </row>
    <row r="13" spans="1:12" ht="15" customHeight="1">
      <c r="A13" s="2" t="str">
        <f>HYPERLINK("http://portal.genego.com/cgi/entity_page.cgi?term=100&amp;id=2401","TERT")</f>
        <v>TERT</v>
      </c>
      <c r="B13" s="28">
        <v>1</v>
      </c>
      <c r="C13" s="28">
        <v>352</v>
      </c>
      <c r="D13" s="28">
        <v>1</v>
      </c>
      <c r="E13" s="28">
        <v>26819</v>
      </c>
      <c r="F13" s="28">
        <v>1.3129999999999999E-2</v>
      </c>
      <c r="G13" s="28">
        <v>76.19</v>
      </c>
      <c r="H13" s="28">
        <v>1.3129999999999999E-2</v>
      </c>
      <c r="I13" s="28">
        <v>8.6709999999999994</v>
      </c>
      <c r="J13" s="29"/>
      <c r="K13" s="30"/>
      <c r="L13" s="31"/>
    </row>
    <row r="14" spans="1:12" ht="15" customHeight="1">
      <c r="A14" s="2" t="str">
        <f>HYPERLINK("http://portal.genego.com/cgi/entity_page.cgi?term=100&amp;id=-886033300","ZNF238")</f>
        <v>ZNF238</v>
      </c>
      <c r="B14" s="28">
        <v>4</v>
      </c>
      <c r="C14" s="28">
        <v>352</v>
      </c>
      <c r="D14" s="28">
        <v>8</v>
      </c>
      <c r="E14" s="28">
        <v>26819</v>
      </c>
      <c r="F14" s="28">
        <v>0.105</v>
      </c>
      <c r="G14" s="28">
        <v>38.1</v>
      </c>
      <c r="H14" s="28">
        <v>1.9589999999999998E-6</v>
      </c>
      <c r="I14" s="28">
        <v>12.1</v>
      </c>
      <c r="J14" s="29"/>
      <c r="K14" s="30"/>
      <c r="L14" s="31"/>
    </row>
    <row r="15" spans="1:12" ht="15" customHeight="1">
      <c r="A15" s="2" t="str">
        <f>HYPERLINK("http://portal.genego.com/cgi/entity_page.cgi?term=100&amp;id=-1607776283","OVOL1")</f>
        <v>OVOL1</v>
      </c>
      <c r="B15" s="28">
        <v>2</v>
      </c>
      <c r="C15" s="28">
        <v>352</v>
      </c>
      <c r="D15" s="28">
        <v>4</v>
      </c>
      <c r="E15" s="28">
        <v>26819</v>
      </c>
      <c r="F15" s="28">
        <v>5.2499999999999998E-2</v>
      </c>
      <c r="G15" s="28">
        <v>38.1</v>
      </c>
      <c r="H15" s="28">
        <v>1.013E-3</v>
      </c>
      <c r="I15" s="28">
        <v>8.5559999999999992</v>
      </c>
      <c r="J15" s="29"/>
      <c r="K15" s="30"/>
      <c r="L15" s="31"/>
    </row>
    <row r="16" spans="1:12" ht="15" customHeight="1">
      <c r="A16" s="2" t="str">
        <f>HYPERLINK("http://portal.genego.com/cgi/entity_page.cgi?term=100&amp;id=6321","ERF")</f>
        <v>ERF</v>
      </c>
      <c r="B16" s="28">
        <v>2</v>
      </c>
      <c r="C16" s="28">
        <v>352</v>
      </c>
      <c r="D16" s="28">
        <v>5</v>
      </c>
      <c r="E16" s="28">
        <v>26819</v>
      </c>
      <c r="F16" s="28">
        <v>6.5629999999999994E-2</v>
      </c>
      <c r="G16" s="28">
        <v>30.48</v>
      </c>
      <c r="H16" s="28">
        <v>1.673E-3</v>
      </c>
      <c r="I16" s="28">
        <v>7.6020000000000003</v>
      </c>
      <c r="J16" s="29"/>
      <c r="K16" s="30"/>
      <c r="L16" s="31"/>
    </row>
    <row r="17" spans="1:12" ht="15" customHeight="1">
      <c r="A17" s="2" t="str">
        <f>HYPERLINK("http://portal.genego.com/cgi/entity_page.cgi?term=100&amp;id=-766060094","ASH2L")</f>
        <v>ASH2L</v>
      </c>
      <c r="B17" s="28">
        <v>3</v>
      </c>
      <c r="C17" s="28">
        <v>352</v>
      </c>
      <c r="D17" s="28">
        <v>9</v>
      </c>
      <c r="E17" s="28">
        <v>26819</v>
      </c>
      <c r="F17" s="28">
        <v>0.1181</v>
      </c>
      <c r="G17" s="28">
        <v>25.4</v>
      </c>
      <c r="H17" s="28">
        <v>1.7760000000000001E-4</v>
      </c>
      <c r="I17" s="28">
        <v>8.4420000000000002</v>
      </c>
      <c r="J17" s="29"/>
      <c r="K17" s="30"/>
      <c r="L17" s="31"/>
    </row>
    <row r="18" spans="1:12" ht="15" customHeight="1">
      <c r="A18" s="2" t="str">
        <f>HYPERLINK("http://portal.genego.com/cgi/entity_page.cgi?term=100&amp;id=-1944005913","UBF")</f>
        <v>UBF</v>
      </c>
      <c r="B18" s="28">
        <v>2</v>
      </c>
      <c r="C18" s="28">
        <v>352</v>
      </c>
      <c r="D18" s="28">
        <v>6</v>
      </c>
      <c r="E18" s="28">
        <v>26819</v>
      </c>
      <c r="F18" s="28">
        <v>7.8750000000000001E-2</v>
      </c>
      <c r="G18" s="28">
        <v>25.4</v>
      </c>
      <c r="H18" s="28">
        <v>2.4880000000000002E-3</v>
      </c>
      <c r="I18" s="28">
        <v>6.8920000000000003</v>
      </c>
      <c r="J18" s="29"/>
      <c r="K18" s="30"/>
      <c r="L18" s="31"/>
    </row>
    <row r="19" spans="1:12" ht="15" customHeight="1">
      <c r="A19" s="2" t="str">
        <f>HYPERLINK("http://portal.genego.com/cgi/entity_page.cgi?term=100&amp;id=-482120580","HOXB9")</f>
        <v>HOXB9</v>
      </c>
      <c r="B19" s="28">
        <v>2</v>
      </c>
      <c r="C19" s="28">
        <v>352</v>
      </c>
      <c r="D19" s="28">
        <v>7</v>
      </c>
      <c r="E19" s="28">
        <v>26819</v>
      </c>
      <c r="F19" s="28">
        <v>9.1880000000000003E-2</v>
      </c>
      <c r="G19" s="28">
        <v>21.77</v>
      </c>
      <c r="H19" s="28">
        <v>3.454E-3</v>
      </c>
      <c r="I19" s="28">
        <v>6.3380000000000001</v>
      </c>
      <c r="J19" s="29"/>
      <c r="K19" s="30"/>
      <c r="L19" s="31"/>
    </row>
    <row r="20" spans="1:12" ht="15" customHeight="1">
      <c r="A20" s="2" t="str">
        <f>HYPERLINK("http://portal.genego.com/cgi/entity_page.cgi?term=100&amp;id=81","BOB1")</f>
        <v>BOB1</v>
      </c>
      <c r="B20" s="28">
        <v>3</v>
      </c>
      <c r="C20" s="28">
        <v>352</v>
      </c>
      <c r="D20" s="28">
        <v>11</v>
      </c>
      <c r="E20" s="28">
        <v>26819</v>
      </c>
      <c r="F20" s="28">
        <v>0.1444</v>
      </c>
      <c r="G20" s="28">
        <v>20.78</v>
      </c>
      <c r="H20" s="28">
        <v>3.4210000000000002E-4</v>
      </c>
      <c r="I20" s="28">
        <v>7.5670000000000002</v>
      </c>
      <c r="J20" s="29"/>
      <c r="K20" s="30"/>
      <c r="L20" s="31"/>
    </row>
    <row r="21" spans="1:12" ht="15" customHeight="1">
      <c r="A21" s="2" t="str">
        <f>HYPERLINK("http://portal.genego.com/cgi/entity_page.cgi?term=100&amp;id=2368","Elk-3")</f>
        <v>Elk-3</v>
      </c>
      <c r="B21" s="28">
        <v>4</v>
      </c>
      <c r="C21" s="28">
        <v>352</v>
      </c>
      <c r="D21" s="28">
        <v>16</v>
      </c>
      <c r="E21" s="28">
        <v>26819</v>
      </c>
      <c r="F21" s="28">
        <v>0.21</v>
      </c>
      <c r="G21" s="28">
        <v>19.05</v>
      </c>
      <c r="H21" s="28">
        <v>4.6869999999999997E-5</v>
      </c>
      <c r="I21" s="28">
        <v>8.3279999999999994</v>
      </c>
      <c r="J21" s="29"/>
      <c r="K21" s="30"/>
      <c r="L21" s="31"/>
    </row>
    <row r="22" spans="1:12" ht="15" customHeight="1">
      <c r="A22" s="2" t="str">
        <f>HYPERLINK("http://portal.genego.com/cgi/entity_page.cgi?term=100&amp;id=-2081472371","DMTF1")</f>
        <v>DMTF1</v>
      </c>
      <c r="B22" s="28">
        <v>2</v>
      </c>
      <c r="C22" s="28">
        <v>352</v>
      </c>
      <c r="D22" s="28">
        <v>8</v>
      </c>
      <c r="E22" s="28">
        <v>26819</v>
      </c>
      <c r="F22" s="28">
        <v>0.105</v>
      </c>
      <c r="G22" s="28">
        <v>19.05</v>
      </c>
      <c r="H22" s="28">
        <v>4.5649999999999996E-3</v>
      </c>
      <c r="I22" s="28">
        <v>5.8879999999999999</v>
      </c>
      <c r="J22" s="29"/>
      <c r="K22" s="30"/>
      <c r="L22" s="31"/>
    </row>
    <row r="23" spans="1:12" ht="15" customHeight="1">
      <c r="A23" s="2" t="str">
        <f>HYPERLINK("http://portal.genego.com/cgi/entity_page.cgi?term=100&amp;id=-823978950","SOX1")</f>
        <v>SOX1</v>
      </c>
      <c r="B23" s="28">
        <v>2</v>
      </c>
      <c r="C23" s="28">
        <v>352</v>
      </c>
      <c r="D23" s="28">
        <v>9</v>
      </c>
      <c r="E23" s="28">
        <v>26819</v>
      </c>
      <c r="F23" s="28">
        <v>0.1181</v>
      </c>
      <c r="G23" s="28">
        <v>16.93</v>
      </c>
      <c r="H23" s="28">
        <v>5.8180000000000003E-3</v>
      </c>
      <c r="I23" s="28">
        <v>5.5129999999999999</v>
      </c>
      <c r="J23" s="29"/>
      <c r="K23" s="30"/>
      <c r="L23" s="31"/>
    </row>
    <row r="24" spans="1:12" ht="15" customHeight="1">
      <c r="A24" s="2" t="str">
        <f>HYPERLINK("http://portal.genego.com/cgi/entity_page.cgi?term=100&amp;id=-746270596","TLX3")</f>
        <v>TLX3</v>
      </c>
      <c r="B24" s="28">
        <v>2</v>
      </c>
      <c r="C24" s="28">
        <v>352</v>
      </c>
      <c r="D24" s="28">
        <v>9</v>
      </c>
      <c r="E24" s="28">
        <v>26819</v>
      </c>
      <c r="F24" s="28">
        <v>0.1181</v>
      </c>
      <c r="G24" s="28">
        <v>16.93</v>
      </c>
      <c r="H24" s="28">
        <v>5.8180000000000003E-3</v>
      </c>
      <c r="I24" s="28">
        <v>5.5129999999999999</v>
      </c>
      <c r="J24" s="29"/>
      <c r="K24" s="30"/>
      <c r="L24" s="31"/>
    </row>
    <row r="25" spans="1:12" ht="15" customHeight="1">
      <c r="A25" s="2" t="str">
        <f>HYPERLINK("http://portal.genego.com/cgi/entity_page.cgi?term=100&amp;id=-1338495484","HBP1")</f>
        <v>HBP1</v>
      </c>
      <c r="B25" s="28">
        <v>2</v>
      </c>
      <c r="C25" s="28">
        <v>352</v>
      </c>
      <c r="D25" s="28">
        <v>9</v>
      </c>
      <c r="E25" s="28">
        <v>26819</v>
      </c>
      <c r="F25" s="28">
        <v>0.1181</v>
      </c>
      <c r="G25" s="28">
        <v>16.93</v>
      </c>
      <c r="H25" s="28">
        <v>5.8180000000000003E-3</v>
      </c>
      <c r="I25" s="28">
        <v>5.5129999999999999</v>
      </c>
      <c r="J25" s="29"/>
      <c r="K25" s="30"/>
      <c r="L25" s="31"/>
    </row>
    <row r="26" spans="1:12" ht="15" customHeight="1">
      <c r="A26" s="2" t="str">
        <f>HYPERLINK("http://portal.genego.com/cgi/entity_page.cgi?term=100&amp;id=6107","MSX1")</f>
        <v>MSX1</v>
      </c>
      <c r="B26" s="28">
        <v>5</v>
      </c>
      <c r="C26" s="28">
        <v>352</v>
      </c>
      <c r="D26" s="28">
        <v>25</v>
      </c>
      <c r="E26" s="28">
        <v>26819</v>
      </c>
      <c r="F26" s="28">
        <v>0.3281</v>
      </c>
      <c r="G26" s="28">
        <v>15.24</v>
      </c>
      <c r="H26" s="28">
        <v>1.6209999999999999E-5</v>
      </c>
      <c r="I26" s="28">
        <v>8.2140000000000004</v>
      </c>
      <c r="J26" s="29"/>
      <c r="K26" s="30"/>
      <c r="L26" s="31"/>
    </row>
    <row r="27" spans="1:12" ht="15" customHeight="1">
      <c r="A27" s="2" t="str">
        <f>HYPERLINK("http://portal.genego.com/cgi/entity_page.cgi?term=100&amp;id=9132","SOX6")</f>
        <v>SOX6</v>
      </c>
      <c r="B27" s="28">
        <v>5</v>
      </c>
      <c r="C27" s="28">
        <v>352</v>
      </c>
      <c r="D27" s="28">
        <v>25</v>
      </c>
      <c r="E27" s="28">
        <v>26819</v>
      </c>
      <c r="F27" s="28">
        <v>0.3281</v>
      </c>
      <c r="G27" s="28">
        <v>15.24</v>
      </c>
      <c r="H27" s="28">
        <v>1.6209999999999999E-5</v>
      </c>
      <c r="I27" s="28">
        <v>8.2140000000000004</v>
      </c>
      <c r="J27" s="29"/>
      <c r="K27" s="30"/>
      <c r="L27" s="31"/>
    </row>
    <row r="28" spans="1:12" ht="15" customHeight="1">
      <c r="A28" s="2" t="str">
        <f>HYPERLINK("http://portal.genego.com/cgi/entity_page.cgi?term=100&amp;id=-130907773","DEC2")</f>
        <v>DEC2</v>
      </c>
      <c r="B28" s="28">
        <v>3</v>
      </c>
      <c r="C28" s="28">
        <v>352</v>
      </c>
      <c r="D28" s="28">
        <v>15</v>
      </c>
      <c r="E28" s="28">
        <v>26819</v>
      </c>
      <c r="F28" s="28">
        <v>0.19689999999999999</v>
      </c>
      <c r="G28" s="28">
        <v>15.24</v>
      </c>
      <c r="H28" s="28">
        <v>9.0720000000000004E-4</v>
      </c>
      <c r="I28" s="28">
        <v>6.3609999999999998</v>
      </c>
      <c r="J28" s="29"/>
      <c r="K28" s="30"/>
      <c r="L28" s="31"/>
    </row>
    <row r="29" spans="1:12" ht="15" customHeight="1">
      <c r="A29" s="2" t="str">
        <f>HYPERLINK("http://portal.genego.com/cgi/entity_page.cgi?term=100&amp;id=-267278514","PAX4")</f>
        <v>PAX4</v>
      </c>
      <c r="B29" s="28">
        <v>2</v>
      </c>
      <c r="C29" s="28">
        <v>352</v>
      </c>
      <c r="D29" s="28">
        <v>10</v>
      </c>
      <c r="E29" s="28">
        <v>26819</v>
      </c>
      <c r="F29" s="28">
        <v>0.1313</v>
      </c>
      <c r="G29" s="28">
        <v>15.24</v>
      </c>
      <c r="H29" s="28">
        <v>7.2100000000000003E-3</v>
      </c>
      <c r="I29" s="28">
        <v>5.1929999999999996</v>
      </c>
      <c r="J29" s="29"/>
      <c r="K29" s="30"/>
      <c r="L29" s="31"/>
    </row>
    <row r="30" spans="1:12" ht="15" customHeight="1">
      <c r="A30" s="2" t="str">
        <f>HYPERLINK("http://portal.genego.com/cgi/entity_page.cgi?term=100&amp;id=-703706922","SIP1 (ZFHX1B)")</f>
        <v>SIP1 (ZFHX1B)</v>
      </c>
      <c r="B30" s="28">
        <v>4</v>
      </c>
      <c r="C30" s="28">
        <v>352</v>
      </c>
      <c r="D30" s="28">
        <v>23</v>
      </c>
      <c r="E30" s="28">
        <v>26819</v>
      </c>
      <c r="F30" s="28">
        <v>0.3019</v>
      </c>
      <c r="G30" s="28">
        <v>13.25</v>
      </c>
      <c r="H30" s="28">
        <v>2.1210000000000001E-4</v>
      </c>
      <c r="I30" s="28">
        <v>6.7779999999999996</v>
      </c>
      <c r="J30" s="29"/>
      <c r="K30" s="30"/>
      <c r="L30" s="31"/>
    </row>
    <row r="31" spans="1:12" ht="15" customHeight="1">
      <c r="A31" s="2" t="str">
        <f>HYPERLINK("http://portal.genego.com/cgi/entity_page.cgi?term=100&amp;id=547","NOTCH1 precursor")</f>
        <v>NOTCH1 precursor</v>
      </c>
      <c r="B31" s="28">
        <v>2</v>
      </c>
      <c r="C31" s="28">
        <v>352</v>
      </c>
      <c r="D31" s="28">
        <v>12</v>
      </c>
      <c r="E31" s="28">
        <v>26819</v>
      </c>
      <c r="F31" s="28">
        <v>0.1575</v>
      </c>
      <c r="G31" s="28">
        <v>12.7</v>
      </c>
      <c r="H31" s="28">
        <v>1.039E-2</v>
      </c>
      <c r="I31" s="28">
        <v>4.6740000000000004</v>
      </c>
      <c r="J31" s="29"/>
      <c r="K31" s="30"/>
      <c r="L31" s="31"/>
    </row>
    <row r="32" spans="1:12" ht="15" customHeight="1">
      <c r="A32" s="2" t="str">
        <f>HYPERLINK("http://portal.genego.com/cgi/entity_page.cgi?term=100&amp;id=-231509781","KLF8")</f>
        <v>KLF8</v>
      </c>
      <c r="B32" s="28">
        <v>2</v>
      </c>
      <c r="C32" s="28">
        <v>352</v>
      </c>
      <c r="D32" s="28">
        <v>12</v>
      </c>
      <c r="E32" s="28">
        <v>26819</v>
      </c>
      <c r="F32" s="28">
        <v>0.1575</v>
      </c>
      <c r="G32" s="28">
        <v>12.7</v>
      </c>
      <c r="H32" s="28">
        <v>1.039E-2</v>
      </c>
      <c r="I32" s="28">
        <v>4.6740000000000004</v>
      </c>
      <c r="J32" s="29"/>
      <c r="K32" s="30"/>
      <c r="L32" s="31"/>
    </row>
    <row r="33" spans="1:12" ht="15" customHeight="1">
      <c r="A33" s="2" t="str">
        <f>HYPERLINK("http://portal.genego.com/cgi/entity_page.cgi?term=100&amp;id=-1399672965","Bcl-3")</f>
        <v>Bcl-3</v>
      </c>
      <c r="B33" s="28">
        <v>2</v>
      </c>
      <c r="C33" s="28">
        <v>352</v>
      </c>
      <c r="D33" s="28">
        <v>12</v>
      </c>
      <c r="E33" s="28">
        <v>26819</v>
      </c>
      <c r="F33" s="28">
        <v>0.1575</v>
      </c>
      <c r="G33" s="28">
        <v>12.7</v>
      </c>
      <c r="H33" s="28">
        <v>1.039E-2</v>
      </c>
      <c r="I33" s="28">
        <v>4.6740000000000004</v>
      </c>
      <c r="J33" s="29"/>
      <c r="K33" s="30"/>
      <c r="L33" s="31"/>
    </row>
    <row r="34" spans="1:12" ht="15" customHeight="1">
      <c r="A34" s="2" t="str">
        <f>HYPERLINK("http://portal.genego.com/cgi/entity_page.cgi?term=100&amp;id=-756102571","YAP1 (YAp65)")</f>
        <v>YAP1 (YAp65)</v>
      </c>
      <c r="B34" s="28">
        <v>2</v>
      </c>
      <c r="C34" s="28">
        <v>352</v>
      </c>
      <c r="D34" s="28">
        <v>13</v>
      </c>
      <c r="E34" s="28">
        <v>26819</v>
      </c>
      <c r="F34" s="28">
        <v>0.1706</v>
      </c>
      <c r="G34" s="28">
        <v>11.72</v>
      </c>
      <c r="H34" s="28">
        <v>1.218E-2</v>
      </c>
      <c r="I34" s="28">
        <v>4.4589999999999996</v>
      </c>
      <c r="J34" s="29"/>
      <c r="K34" s="30"/>
      <c r="L34" s="31"/>
    </row>
    <row r="35" spans="1:12" ht="15" customHeight="1">
      <c r="A35" s="2" t="str">
        <f>HYPERLINK("http://portal.genego.com/cgi/entity_page.cgi?term=100&amp;id=1059","NF-kB2 (p100)")</f>
        <v>NF-kB2 (p100)</v>
      </c>
      <c r="B35" s="28">
        <v>2</v>
      </c>
      <c r="C35" s="28">
        <v>352</v>
      </c>
      <c r="D35" s="28">
        <v>13</v>
      </c>
      <c r="E35" s="28">
        <v>26819</v>
      </c>
      <c r="F35" s="28">
        <v>0.1706</v>
      </c>
      <c r="G35" s="28">
        <v>11.72</v>
      </c>
      <c r="H35" s="28">
        <v>1.218E-2</v>
      </c>
      <c r="I35" s="28">
        <v>4.4589999999999996</v>
      </c>
      <c r="J35" s="29"/>
      <c r="K35" s="30"/>
      <c r="L35" s="31"/>
    </row>
    <row r="36" spans="1:12" ht="15" customHeight="1">
      <c r="A36" s="2" t="str">
        <f>HYPERLINK("http://portal.genego.com/cgi/entity_page.cgi?term=100&amp;id=-227412585","LXR-beta")</f>
        <v>LXR-beta</v>
      </c>
      <c r="B36" s="28">
        <v>6</v>
      </c>
      <c r="C36" s="28">
        <v>352</v>
      </c>
      <c r="D36" s="28">
        <v>40</v>
      </c>
      <c r="E36" s="28">
        <v>26819</v>
      </c>
      <c r="F36" s="28">
        <v>0.52500000000000002</v>
      </c>
      <c r="G36" s="28">
        <v>11.43</v>
      </c>
      <c r="H36" s="28">
        <v>1.29E-5</v>
      </c>
      <c r="I36" s="28">
        <v>7.6120000000000001</v>
      </c>
      <c r="J36" s="29"/>
      <c r="K36" s="30"/>
      <c r="L36" s="31"/>
    </row>
    <row r="37" spans="1:12" ht="15" customHeight="1">
      <c r="A37" s="2" t="str">
        <f>HYPERLINK("http://portal.genego.com/cgi/entity_page.cgi?term=100&amp;id=2495","ZNF145")</f>
        <v>ZNF145</v>
      </c>
      <c r="B37" s="28">
        <v>6</v>
      </c>
      <c r="C37" s="28">
        <v>352</v>
      </c>
      <c r="D37" s="28">
        <v>40</v>
      </c>
      <c r="E37" s="28">
        <v>26819</v>
      </c>
      <c r="F37" s="28">
        <v>0.52500000000000002</v>
      </c>
      <c r="G37" s="28">
        <v>11.43</v>
      </c>
      <c r="H37" s="28">
        <v>1.29E-5</v>
      </c>
      <c r="I37" s="28">
        <v>7.6120000000000001</v>
      </c>
      <c r="J37" s="29"/>
      <c r="K37" s="30"/>
      <c r="L37" s="31"/>
    </row>
    <row r="38" spans="1:12" ht="15" customHeight="1">
      <c r="A38" s="2" t="str">
        <f>HYPERLINK("http://portal.genego.com/cgi/entity_page.cgi?term=100&amp;id=4362","MCR")</f>
        <v>MCR</v>
      </c>
      <c r="B38" s="28">
        <v>3</v>
      </c>
      <c r="C38" s="28">
        <v>352</v>
      </c>
      <c r="D38" s="28">
        <v>20</v>
      </c>
      <c r="E38" s="28">
        <v>26819</v>
      </c>
      <c r="F38" s="28">
        <v>0.26250000000000001</v>
      </c>
      <c r="G38" s="28">
        <v>11.43</v>
      </c>
      <c r="H38" s="28">
        <v>2.1649999999999998E-3</v>
      </c>
      <c r="I38" s="28">
        <v>5.38</v>
      </c>
      <c r="J38" s="29"/>
      <c r="K38" s="30"/>
      <c r="L38" s="31"/>
    </row>
    <row r="39" spans="1:12" ht="15" customHeight="1">
      <c r="A39" s="2" t="str">
        <f>HYPERLINK("http://portal.genego.com/cgi/entity_page.cgi?term=100&amp;id=-938837405","ITF2")</f>
        <v>ITF2</v>
      </c>
      <c r="B39" s="28">
        <v>4</v>
      </c>
      <c r="C39" s="28">
        <v>352</v>
      </c>
      <c r="D39" s="28">
        <v>27</v>
      </c>
      <c r="E39" s="28">
        <v>26819</v>
      </c>
      <c r="F39" s="28">
        <v>0.35439999999999999</v>
      </c>
      <c r="G39" s="28">
        <v>11.29</v>
      </c>
      <c r="H39" s="28">
        <v>4.0329999999999999E-4</v>
      </c>
      <c r="I39" s="28">
        <v>6.1680000000000001</v>
      </c>
      <c r="J39" s="29"/>
      <c r="K39" s="30"/>
      <c r="L39" s="31"/>
    </row>
    <row r="40" spans="1:12" ht="15" customHeight="1">
      <c r="A40" s="2" t="str">
        <f>HYPERLINK("http://portal.genego.com/cgi/entity_page.cgi?term=100&amp;id=-21101829","LYL1")</f>
        <v>LYL1</v>
      </c>
      <c r="B40" s="28">
        <v>2</v>
      </c>
      <c r="C40" s="28">
        <v>352</v>
      </c>
      <c r="D40" s="28">
        <v>14</v>
      </c>
      <c r="E40" s="28">
        <v>26819</v>
      </c>
      <c r="F40" s="28">
        <v>0.18379999999999999</v>
      </c>
      <c r="G40" s="28">
        <v>10.88</v>
      </c>
      <c r="H40" s="28">
        <v>1.4080000000000001E-2</v>
      </c>
      <c r="I40" s="28">
        <v>4.266</v>
      </c>
      <c r="J40" s="29"/>
      <c r="K40" s="30"/>
      <c r="L40" s="31"/>
    </row>
    <row r="41" spans="1:12" ht="15" customHeight="1">
      <c r="A41" s="2" t="str">
        <f>HYPERLINK("http://portal.genego.com/cgi/entity_page.cgi?term=100&amp;id=-1094019229","LMO2")</f>
        <v>LMO2</v>
      </c>
      <c r="B41" s="28">
        <v>2</v>
      </c>
      <c r="C41" s="28">
        <v>352</v>
      </c>
      <c r="D41" s="28">
        <v>14</v>
      </c>
      <c r="E41" s="28">
        <v>26819</v>
      </c>
      <c r="F41" s="28">
        <v>0.18379999999999999</v>
      </c>
      <c r="G41" s="28">
        <v>10.88</v>
      </c>
      <c r="H41" s="28">
        <v>1.4080000000000001E-2</v>
      </c>
      <c r="I41" s="28">
        <v>4.266</v>
      </c>
      <c r="J41" s="29"/>
      <c r="K41" s="30"/>
      <c r="L41" s="31"/>
    </row>
    <row r="42" spans="1:12" ht="15" customHeight="1">
      <c r="A42" s="2" t="str">
        <f>HYPERLINK("http://portal.genego.com/cgi/entity_page.cgi?term=100&amp;id=-295558413","GCNF")</f>
        <v>GCNF</v>
      </c>
      <c r="B42" s="28">
        <v>2</v>
      </c>
      <c r="C42" s="28">
        <v>352</v>
      </c>
      <c r="D42" s="28">
        <v>14</v>
      </c>
      <c r="E42" s="28">
        <v>26819</v>
      </c>
      <c r="F42" s="28">
        <v>0.18379999999999999</v>
      </c>
      <c r="G42" s="28">
        <v>10.88</v>
      </c>
      <c r="H42" s="28">
        <v>1.4080000000000001E-2</v>
      </c>
      <c r="I42" s="28">
        <v>4.266</v>
      </c>
      <c r="J42" s="29"/>
      <c r="K42" s="30"/>
      <c r="L42" s="31"/>
    </row>
    <row r="43" spans="1:12" ht="15" customHeight="1">
      <c r="A43" s="2" t="str">
        <f>HYPERLINK("http://portal.genego.com/cgi/entity_page.cgi?term=100&amp;id=2905","ChREBP")</f>
        <v>ChREBP</v>
      </c>
      <c r="B43" s="28">
        <v>10</v>
      </c>
      <c r="C43" s="28">
        <v>352</v>
      </c>
      <c r="D43" s="28">
        <v>71</v>
      </c>
      <c r="E43" s="28">
        <v>26819</v>
      </c>
      <c r="F43" s="28">
        <v>0.93189999999999995</v>
      </c>
      <c r="G43" s="28">
        <v>10.73</v>
      </c>
      <c r="H43" s="28">
        <v>3.0320000000000003E-8</v>
      </c>
      <c r="I43" s="28">
        <v>9.468</v>
      </c>
      <c r="J43" s="29"/>
      <c r="K43" s="30"/>
      <c r="L43" s="31"/>
    </row>
    <row r="44" spans="1:12" ht="15" customHeight="1">
      <c r="A44" s="2" t="str">
        <f>HYPERLINK("http://portal.genego.com/cgi/entity_page.cgi?term=100&amp;id=6283","HEY2")</f>
        <v>HEY2</v>
      </c>
      <c r="B44" s="28">
        <v>3</v>
      </c>
      <c r="C44" s="28">
        <v>352</v>
      </c>
      <c r="D44" s="28">
        <v>22</v>
      </c>
      <c r="E44" s="28">
        <v>26819</v>
      </c>
      <c r="F44" s="28">
        <v>0.2888</v>
      </c>
      <c r="G44" s="28">
        <v>10.39</v>
      </c>
      <c r="H44" s="28">
        <v>2.869E-3</v>
      </c>
      <c r="I44" s="28">
        <v>5.0810000000000004</v>
      </c>
      <c r="J44" s="29"/>
      <c r="K44" s="30"/>
      <c r="L44" s="31"/>
    </row>
    <row r="45" spans="1:12" ht="15" customHeight="1">
      <c r="A45" s="2" t="str">
        <f>HYPERLINK("http://portal.genego.com/cgi/entity_page.cgi?term=100&amp;id=-464158791","SOX3")</f>
        <v>SOX3</v>
      </c>
      <c r="B45" s="28">
        <v>4</v>
      </c>
      <c r="C45" s="28">
        <v>352</v>
      </c>
      <c r="D45" s="28">
        <v>30</v>
      </c>
      <c r="E45" s="28">
        <v>26819</v>
      </c>
      <c r="F45" s="28">
        <v>0.39379999999999998</v>
      </c>
      <c r="G45" s="28">
        <v>10.16</v>
      </c>
      <c r="H45" s="28">
        <v>6.1050000000000004E-4</v>
      </c>
      <c r="I45" s="28">
        <v>5.7880000000000003</v>
      </c>
      <c r="J45" s="29"/>
      <c r="K45" s="30"/>
      <c r="L45" s="31"/>
    </row>
    <row r="46" spans="1:12" ht="15" customHeight="1">
      <c r="A46" s="2" t="str">
        <f>HYPERLINK("http://portal.genego.com/cgi/entity_page.cgi?term=100&amp;id=-1456061346","JDP2")</f>
        <v>JDP2</v>
      </c>
      <c r="B46" s="28">
        <v>2</v>
      </c>
      <c r="C46" s="28">
        <v>352</v>
      </c>
      <c r="D46" s="28">
        <v>15</v>
      </c>
      <c r="E46" s="28">
        <v>26819</v>
      </c>
      <c r="F46" s="28">
        <v>0.19689999999999999</v>
      </c>
      <c r="G46" s="28">
        <v>10.16</v>
      </c>
      <c r="H46" s="28">
        <v>1.6109999999999999E-2</v>
      </c>
      <c r="I46" s="28">
        <v>4.0919999999999996</v>
      </c>
      <c r="J46" s="29"/>
      <c r="K46" s="30"/>
      <c r="L46" s="31"/>
    </row>
    <row r="47" spans="1:12" ht="15" customHeight="1">
      <c r="A47" s="2" t="str">
        <f>HYPERLINK("http://portal.genego.com/cgi/entity_page.cgi?term=100&amp;id=6121","SIX1")</f>
        <v>SIX1</v>
      </c>
      <c r="B47" s="28">
        <v>4</v>
      </c>
      <c r="C47" s="28">
        <v>352</v>
      </c>
      <c r="D47" s="28">
        <v>31</v>
      </c>
      <c r="E47" s="28">
        <v>26819</v>
      </c>
      <c r="F47" s="28">
        <v>0.40689999999999998</v>
      </c>
      <c r="G47" s="28">
        <v>9.8309999999999995</v>
      </c>
      <c r="H47" s="28">
        <v>6.937E-4</v>
      </c>
      <c r="I47" s="28">
        <v>5.6740000000000004</v>
      </c>
      <c r="J47" s="29"/>
      <c r="K47" s="30"/>
      <c r="L47" s="31"/>
    </row>
    <row r="48" spans="1:12" ht="15" customHeight="1">
      <c r="A48" s="2" t="str">
        <f>HYPERLINK("http://portal.genego.com/cgi/entity_page.cgi?term=100&amp;id=6187","DEC1 (Stra13)")</f>
        <v>DEC1 (Stra13)</v>
      </c>
      <c r="B48" s="28">
        <v>9</v>
      </c>
      <c r="C48" s="28">
        <v>352</v>
      </c>
      <c r="D48" s="28">
        <v>71</v>
      </c>
      <c r="E48" s="28">
        <v>26819</v>
      </c>
      <c r="F48" s="28">
        <v>0.93189999999999995</v>
      </c>
      <c r="G48" s="28">
        <v>9.6579999999999995</v>
      </c>
      <c r="H48" s="28">
        <v>3.7990000000000001E-7</v>
      </c>
      <c r="I48" s="28">
        <v>8.4239999999999995</v>
      </c>
      <c r="J48" s="29" t="s">
        <v>367</v>
      </c>
      <c r="K48" s="1">
        <v>1</v>
      </c>
      <c r="L48" s="31">
        <v>0</v>
      </c>
    </row>
    <row r="49" spans="1:12" ht="15" customHeight="1">
      <c r="A49" s="2" t="str">
        <f>HYPERLINK("http://portal.genego.com/cgi/entity_page.cgi?term=100&amp;id=-1817313197","GFI1B")</f>
        <v>GFI1B</v>
      </c>
      <c r="B49" s="28">
        <v>3</v>
      </c>
      <c r="C49" s="28">
        <v>352</v>
      </c>
      <c r="D49" s="28">
        <v>24</v>
      </c>
      <c r="E49" s="28">
        <v>26819</v>
      </c>
      <c r="F49" s="28">
        <v>0.315</v>
      </c>
      <c r="G49" s="28">
        <v>9.5239999999999991</v>
      </c>
      <c r="H49" s="28">
        <v>3.6979999999999999E-3</v>
      </c>
      <c r="I49" s="28">
        <v>4.8179999999999996</v>
      </c>
      <c r="J49" s="29"/>
      <c r="K49" s="30"/>
      <c r="L49" s="31"/>
    </row>
    <row r="50" spans="1:12" ht="15" customHeight="1">
      <c r="A50" s="2" t="str">
        <f>HYPERLINK("http://portal.genego.com/cgi/entity_page.cgi?term=100&amp;id=-176633396","GCR-beta")</f>
        <v>GCR-beta</v>
      </c>
      <c r="B50" s="28">
        <v>3</v>
      </c>
      <c r="C50" s="28">
        <v>352</v>
      </c>
      <c r="D50" s="28">
        <v>24</v>
      </c>
      <c r="E50" s="28">
        <v>26819</v>
      </c>
      <c r="F50" s="28">
        <v>0.315</v>
      </c>
      <c r="G50" s="28">
        <v>9.5239999999999991</v>
      </c>
      <c r="H50" s="28">
        <v>3.6979999999999999E-3</v>
      </c>
      <c r="I50" s="28">
        <v>4.8179999999999996</v>
      </c>
      <c r="J50" s="29"/>
      <c r="K50" s="30"/>
      <c r="L50" s="31"/>
    </row>
    <row r="51" spans="1:12" ht="15" customHeight="1">
      <c r="A51" s="2" t="str">
        <f>HYPERLINK("http://portal.genego.com/cgi/entity_page.cgi?term=100&amp;id=-1997629410","Neurogenin 2")</f>
        <v>Neurogenin 2</v>
      </c>
      <c r="B51" s="28">
        <v>2</v>
      </c>
      <c r="C51" s="28">
        <v>352</v>
      </c>
      <c r="D51" s="28">
        <v>17</v>
      </c>
      <c r="E51" s="28">
        <v>26819</v>
      </c>
      <c r="F51" s="28">
        <v>0.22309999999999999</v>
      </c>
      <c r="G51" s="28">
        <v>8.9640000000000004</v>
      </c>
      <c r="H51" s="28">
        <v>2.051E-2</v>
      </c>
      <c r="I51" s="28">
        <v>3.7879999999999998</v>
      </c>
      <c r="J51" s="29"/>
      <c r="K51" s="30"/>
      <c r="L51" s="31"/>
    </row>
    <row r="52" spans="1:12" ht="15" customHeight="1">
      <c r="A52" s="2" t="str">
        <f>HYPERLINK("http://portal.genego.com/cgi/entity_page.cgi?term=100&amp;id=-37493457","CIC")</f>
        <v>CIC</v>
      </c>
      <c r="B52" s="28">
        <v>2</v>
      </c>
      <c r="C52" s="28">
        <v>352</v>
      </c>
      <c r="D52" s="28">
        <v>17</v>
      </c>
      <c r="E52" s="28">
        <v>26819</v>
      </c>
      <c r="F52" s="28">
        <v>0.22309999999999999</v>
      </c>
      <c r="G52" s="28">
        <v>8.9640000000000004</v>
      </c>
      <c r="H52" s="28">
        <v>2.051E-2</v>
      </c>
      <c r="I52" s="28">
        <v>3.7879999999999998</v>
      </c>
      <c r="J52" s="29"/>
      <c r="K52" s="30"/>
      <c r="L52" s="31"/>
    </row>
    <row r="53" spans="1:12" ht="15" customHeight="1">
      <c r="A53" s="2" t="str">
        <f>HYPERLINK("http://portal.genego.com/cgi/entity_page.cgi?term=100&amp;id=-1927856506","THAP11")</f>
        <v>THAP11</v>
      </c>
      <c r="B53" s="28">
        <v>4</v>
      </c>
      <c r="C53" s="28">
        <v>352</v>
      </c>
      <c r="D53" s="28">
        <v>35</v>
      </c>
      <c r="E53" s="28">
        <v>26819</v>
      </c>
      <c r="F53" s="28">
        <v>0.45939999999999998</v>
      </c>
      <c r="G53" s="28">
        <v>8.7070000000000007</v>
      </c>
      <c r="H53" s="28">
        <v>1.108E-3</v>
      </c>
      <c r="I53" s="28">
        <v>5.2619999999999996</v>
      </c>
      <c r="J53" s="29"/>
      <c r="K53" s="30"/>
      <c r="L53" s="31"/>
    </row>
    <row r="54" spans="1:12" ht="15" customHeight="1">
      <c r="A54" s="2" t="str">
        <f>HYPERLINK("http://portal.genego.com/cgi/entity_page.cgi?term=100&amp;id=6131","ATH1")</f>
        <v>ATH1</v>
      </c>
      <c r="B54" s="28">
        <v>8</v>
      </c>
      <c r="C54" s="28">
        <v>352</v>
      </c>
      <c r="D54" s="28">
        <v>74</v>
      </c>
      <c r="E54" s="28">
        <v>26819</v>
      </c>
      <c r="F54" s="28">
        <v>0.97130000000000005</v>
      </c>
      <c r="G54" s="28">
        <v>8.2370000000000001</v>
      </c>
      <c r="H54" s="28">
        <v>5.7690000000000002E-6</v>
      </c>
      <c r="I54" s="28">
        <v>7.1890000000000001</v>
      </c>
      <c r="J54" s="29"/>
      <c r="K54" s="30"/>
      <c r="L54" s="31"/>
    </row>
    <row r="55" spans="1:12" ht="15" customHeight="1">
      <c r="A55" s="2" t="str">
        <f>HYPERLINK("http://portal.genego.com/cgi/entity_page.cgi?term=100&amp;id=4257","Elk-4")</f>
        <v>Elk-4</v>
      </c>
      <c r="B55" s="28">
        <v>3</v>
      </c>
      <c r="C55" s="28">
        <v>352</v>
      </c>
      <c r="D55" s="28">
        <v>28</v>
      </c>
      <c r="E55" s="28">
        <v>26819</v>
      </c>
      <c r="F55" s="28">
        <v>0.36749999999999999</v>
      </c>
      <c r="G55" s="28">
        <v>8.1630000000000003</v>
      </c>
      <c r="H55" s="28">
        <v>5.7580000000000001E-3</v>
      </c>
      <c r="I55" s="28">
        <v>4.3730000000000002</v>
      </c>
      <c r="J55" s="29"/>
      <c r="K55" s="30"/>
      <c r="L55" s="31"/>
    </row>
    <row r="56" spans="1:12" ht="15" customHeight="1">
      <c r="A56" s="2" t="str">
        <f>HYPERLINK("http://portal.genego.com/cgi/entity_page.cgi?term=100&amp;id=6410","SMAD9 (SMAD8)")</f>
        <v>SMAD9 (SMAD8)</v>
      </c>
      <c r="B56" s="28">
        <v>3</v>
      </c>
      <c r="C56" s="28">
        <v>352</v>
      </c>
      <c r="D56" s="28">
        <v>28</v>
      </c>
      <c r="E56" s="28">
        <v>26819</v>
      </c>
      <c r="F56" s="28">
        <v>0.36749999999999999</v>
      </c>
      <c r="G56" s="28">
        <v>8.1630000000000003</v>
      </c>
      <c r="H56" s="28">
        <v>5.7580000000000001E-3</v>
      </c>
      <c r="I56" s="28">
        <v>4.3730000000000002</v>
      </c>
      <c r="J56" s="29"/>
      <c r="K56" s="30"/>
      <c r="L56" s="31"/>
    </row>
    <row r="57" spans="1:12" ht="15" customHeight="1">
      <c r="A57" s="2" t="str">
        <f>HYPERLINK("http://portal.genego.com/cgi/entity_page.cgi?term=100&amp;id=-700811687","E2F5")</f>
        <v>E2F5</v>
      </c>
      <c r="B57" s="28">
        <v>3</v>
      </c>
      <c r="C57" s="28">
        <v>352</v>
      </c>
      <c r="D57" s="28">
        <v>29</v>
      </c>
      <c r="E57" s="28">
        <v>26819</v>
      </c>
      <c r="F57" s="28">
        <v>0.38059999999999999</v>
      </c>
      <c r="G57" s="28">
        <v>7.8819999999999997</v>
      </c>
      <c r="H57" s="28">
        <v>6.3610000000000003E-3</v>
      </c>
      <c r="I57" s="28">
        <v>4.2759999999999998</v>
      </c>
      <c r="J57" s="29"/>
      <c r="K57" s="30"/>
      <c r="L57" s="31"/>
    </row>
    <row r="58" spans="1:12" ht="15" customHeight="1">
      <c r="A58" s="2" t="str">
        <f>HYPERLINK("http://portal.genego.com/cgi/entity_page.cgi?term=100&amp;id=4424","STAT5B")</f>
        <v>STAT5B</v>
      </c>
      <c r="B58" s="28">
        <v>7</v>
      </c>
      <c r="C58" s="28">
        <v>352</v>
      </c>
      <c r="D58" s="28">
        <v>68</v>
      </c>
      <c r="E58" s="28">
        <v>26819</v>
      </c>
      <c r="F58" s="28">
        <v>0.89249999999999996</v>
      </c>
      <c r="G58" s="28">
        <v>7.843</v>
      </c>
      <c r="H58" s="28">
        <v>3.0830000000000001E-5</v>
      </c>
      <c r="I58" s="28">
        <v>6.516</v>
      </c>
      <c r="J58" s="29"/>
      <c r="K58" s="30"/>
      <c r="L58" s="31"/>
    </row>
    <row r="59" spans="1:12" ht="15" customHeight="1">
      <c r="A59" s="2" t="str">
        <f>HYPERLINK("http://portal.genego.com/cgi/entity_page.cgi?term=100&amp;id=4394","ATF-3")</f>
        <v>ATF-3</v>
      </c>
      <c r="B59" s="28">
        <v>14</v>
      </c>
      <c r="C59" s="28">
        <v>352</v>
      </c>
      <c r="D59" s="28">
        <v>139</v>
      </c>
      <c r="E59" s="28">
        <v>26819</v>
      </c>
      <c r="F59" s="28">
        <v>1.8240000000000001</v>
      </c>
      <c r="G59" s="28">
        <v>7.6740000000000004</v>
      </c>
      <c r="H59" s="28">
        <v>4.6459999999999999E-9</v>
      </c>
      <c r="I59" s="28">
        <v>9.0980000000000008</v>
      </c>
      <c r="J59" s="29"/>
      <c r="K59" s="30"/>
      <c r="L59" s="31"/>
    </row>
    <row r="60" spans="1:12" ht="15" customHeight="1">
      <c r="A60" s="2" t="str">
        <f>HYPERLINK("http://portal.genego.com/cgi/entity_page.cgi?term=100&amp;id=6044","TAF1")</f>
        <v>TAF1</v>
      </c>
      <c r="B60" s="28">
        <v>3</v>
      </c>
      <c r="C60" s="28">
        <v>352</v>
      </c>
      <c r="D60" s="28">
        <v>30</v>
      </c>
      <c r="E60" s="28">
        <v>26819</v>
      </c>
      <c r="F60" s="28">
        <v>0.39379999999999998</v>
      </c>
      <c r="G60" s="28">
        <v>7.6189999999999998</v>
      </c>
      <c r="H60" s="28">
        <v>7.0000000000000001E-3</v>
      </c>
      <c r="I60" s="28">
        <v>4.1829999999999998</v>
      </c>
      <c r="J60" s="29"/>
      <c r="K60" s="30"/>
      <c r="L60" s="31"/>
    </row>
    <row r="61" spans="1:12" ht="15" customHeight="1">
      <c r="A61" s="2" t="str">
        <f>HYPERLINK("http://portal.genego.com/cgi/entity_page.cgi?term=100&amp;id=-1420422922","EKLF1")</f>
        <v>EKLF1</v>
      </c>
      <c r="B61" s="28">
        <v>6</v>
      </c>
      <c r="C61" s="28">
        <v>352</v>
      </c>
      <c r="D61" s="28">
        <v>61</v>
      </c>
      <c r="E61" s="28">
        <v>26819</v>
      </c>
      <c r="F61" s="28">
        <v>0.80059999999999998</v>
      </c>
      <c r="G61" s="28">
        <v>7.4939999999999998</v>
      </c>
      <c r="H61" s="28">
        <v>1.4809999999999999E-4</v>
      </c>
      <c r="I61" s="28">
        <v>5.8559999999999999</v>
      </c>
      <c r="J61" s="29"/>
      <c r="K61" s="30"/>
      <c r="L61" s="31"/>
    </row>
    <row r="62" spans="1:12" ht="15" customHeight="1">
      <c r="A62" s="2" t="str">
        <f>HYPERLINK("http://portal.genego.com/cgi/entity_page.cgi?term=100&amp;id=-996641889","CTIP2")</f>
        <v>CTIP2</v>
      </c>
      <c r="B62" s="28">
        <v>3</v>
      </c>
      <c r="C62" s="28">
        <v>352</v>
      </c>
      <c r="D62" s="28">
        <v>31</v>
      </c>
      <c r="E62" s="28">
        <v>26819</v>
      </c>
      <c r="F62" s="28">
        <v>0.40689999999999998</v>
      </c>
      <c r="G62" s="28">
        <v>7.3730000000000002</v>
      </c>
      <c r="H62" s="28">
        <v>7.6759999999999997E-3</v>
      </c>
      <c r="I62" s="28">
        <v>4.0949999999999998</v>
      </c>
      <c r="J62" s="29"/>
      <c r="K62" s="30"/>
      <c r="L62" s="31"/>
    </row>
    <row r="63" spans="1:12" ht="15" customHeight="1">
      <c r="A63" s="2" t="str">
        <f>HYPERLINK("http://portal.genego.com/cgi/entity_page.cgi?term=100&amp;id=4399","Oct-2")</f>
        <v>Oct-2</v>
      </c>
      <c r="B63" s="28">
        <v>4</v>
      </c>
      <c r="C63" s="28">
        <v>352</v>
      </c>
      <c r="D63" s="28">
        <v>42</v>
      </c>
      <c r="E63" s="28">
        <v>26819</v>
      </c>
      <c r="F63" s="28">
        <v>0.55130000000000001</v>
      </c>
      <c r="G63" s="28">
        <v>7.2560000000000002</v>
      </c>
      <c r="H63" s="28">
        <v>2.2039999999999998E-3</v>
      </c>
      <c r="I63" s="28">
        <v>4.6790000000000003</v>
      </c>
      <c r="J63" s="29"/>
      <c r="K63" s="30"/>
      <c r="L63" s="31"/>
    </row>
    <row r="64" spans="1:12" ht="15" customHeight="1">
      <c r="A64" s="2" t="str">
        <f>HYPERLINK("http://portal.genego.com/cgi/entity_page.cgi?term=100&amp;id=620","PXR")</f>
        <v>PXR</v>
      </c>
      <c r="B64" s="28">
        <v>4</v>
      </c>
      <c r="C64" s="28">
        <v>352</v>
      </c>
      <c r="D64" s="28">
        <v>42</v>
      </c>
      <c r="E64" s="28">
        <v>26819</v>
      </c>
      <c r="F64" s="28">
        <v>0.55130000000000001</v>
      </c>
      <c r="G64" s="28">
        <v>7.2560000000000002</v>
      </c>
      <c r="H64" s="28">
        <v>2.2039999999999998E-3</v>
      </c>
      <c r="I64" s="28">
        <v>4.6790000000000003</v>
      </c>
      <c r="J64" s="29"/>
      <c r="K64" s="30"/>
      <c r="L64" s="31"/>
    </row>
    <row r="65" spans="1:12" ht="15" customHeight="1">
      <c r="A65" s="2" t="str">
        <f>HYPERLINK("http://portal.genego.com/cgi/entity_page.cgi?term=100&amp;id=-1471221921","STAT5A")</f>
        <v>STAT5A</v>
      </c>
      <c r="B65" s="28">
        <v>10</v>
      </c>
      <c r="C65" s="28">
        <v>352</v>
      </c>
      <c r="D65" s="28">
        <v>107</v>
      </c>
      <c r="E65" s="28">
        <v>26819</v>
      </c>
      <c r="F65" s="28">
        <v>1.4039999999999999</v>
      </c>
      <c r="G65" s="28">
        <v>7.1210000000000004</v>
      </c>
      <c r="H65" s="28">
        <v>1.5200000000000001E-6</v>
      </c>
      <c r="I65" s="28">
        <v>7.3159999999999998</v>
      </c>
      <c r="J65" s="29"/>
      <c r="K65" s="30"/>
      <c r="L65" s="31"/>
    </row>
    <row r="66" spans="1:12" ht="15" customHeight="1">
      <c r="A66" s="2" t="str">
        <f>HYPERLINK("http://portal.genego.com/cgi/entity_page.cgi?term=100&amp;id=-1443206267","SP2")</f>
        <v>SP2</v>
      </c>
      <c r="B66" s="28">
        <v>4</v>
      </c>
      <c r="C66" s="28">
        <v>352</v>
      </c>
      <c r="D66" s="28">
        <v>43</v>
      </c>
      <c r="E66" s="28">
        <v>26819</v>
      </c>
      <c r="F66" s="28">
        <v>0.56440000000000001</v>
      </c>
      <c r="G66" s="28">
        <v>7.0869999999999997</v>
      </c>
      <c r="H66" s="28">
        <v>2.405E-3</v>
      </c>
      <c r="I66" s="28">
        <v>4.6070000000000002</v>
      </c>
      <c r="J66" s="29"/>
      <c r="K66" s="30"/>
      <c r="L66" s="31"/>
    </row>
    <row r="67" spans="1:12" ht="15" customHeight="1">
      <c r="A67" s="2" t="str">
        <f>HYPERLINK("http://portal.genego.com/cgi/entity_page.cgi?term=100&amp;id=-1824428328","PPAR-beta(delta)")</f>
        <v>PPAR-beta(delta)</v>
      </c>
      <c r="B67" s="28">
        <v>11</v>
      </c>
      <c r="C67" s="28">
        <v>352</v>
      </c>
      <c r="D67" s="28">
        <v>119</v>
      </c>
      <c r="E67" s="28">
        <v>26819</v>
      </c>
      <c r="F67" s="28">
        <v>1.5620000000000001</v>
      </c>
      <c r="G67" s="28">
        <v>7.0430000000000001</v>
      </c>
      <c r="H67" s="28">
        <v>5.0800000000000005E-7</v>
      </c>
      <c r="I67" s="28">
        <v>7.6189999999999998</v>
      </c>
      <c r="J67" s="29"/>
      <c r="K67" s="30"/>
      <c r="L67" s="31"/>
    </row>
    <row r="68" spans="1:12" ht="15" customHeight="1">
      <c r="A68" s="2" t="str">
        <f>HYPERLINK("http://portal.genego.com/cgi/entity_page.cgi?term=100&amp;id=-1074455434","KLF11 (TIEG2)")</f>
        <v>KLF11 (TIEG2)</v>
      </c>
      <c r="B68" s="28">
        <v>3</v>
      </c>
      <c r="C68" s="28">
        <v>352</v>
      </c>
      <c r="D68" s="28">
        <v>33</v>
      </c>
      <c r="E68" s="28">
        <v>26819</v>
      </c>
      <c r="F68" s="28">
        <v>0.43309999999999998</v>
      </c>
      <c r="G68" s="28">
        <v>6.9260000000000002</v>
      </c>
      <c r="H68" s="28">
        <v>9.1389999999999996E-3</v>
      </c>
      <c r="I68" s="28">
        <v>3.9279999999999999</v>
      </c>
      <c r="J68" s="29"/>
      <c r="K68" s="30"/>
      <c r="L68" s="31"/>
    </row>
    <row r="69" spans="1:12" ht="15" customHeight="1">
      <c r="A69" s="2" t="str">
        <f>HYPERLINK("http://portal.genego.com/cgi/entity_page.cgi?term=100&amp;id=749","TBP")</f>
        <v>TBP</v>
      </c>
      <c r="B69" s="28">
        <v>10</v>
      </c>
      <c r="C69" s="28">
        <v>352</v>
      </c>
      <c r="D69" s="28">
        <v>115</v>
      </c>
      <c r="E69" s="28">
        <v>26819</v>
      </c>
      <c r="F69" s="28">
        <v>1.5089999999999999</v>
      </c>
      <c r="G69" s="28">
        <v>6.625</v>
      </c>
      <c r="H69" s="28">
        <v>2.9380000000000001E-6</v>
      </c>
      <c r="I69" s="28">
        <v>6.9720000000000004</v>
      </c>
      <c r="J69" s="29"/>
      <c r="K69" s="30"/>
      <c r="L69" s="31"/>
    </row>
    <row r="70" spans="1:12" ht="15" customHeight="1">
      <c r="A70" s="2" t="str">
        <f>HYPERLINK("http://portal.genego.com/cgi/entity_page.cgi?term=100&amp;id=-1171718846","ROR-alpha")</f>
        <v>ROR-alpha</v>
      </c>
      <c r="B70" s="28">
        <v>7</v>
      </c>
      <c r="C70" s="28">
        <v>352</v>
      </c>
      <c r="D70" s="28">
        <v>82</v>
      </c>
      <c r="E70" s="28">
        <v>26819</v>
      </c>
      <c r="F70" s="28">
        <v>1.0760000000000001</v>
      </c>
      <c r="G70" s="28">
        <v>6.5039999999999996</v>
      </c>
      <c r="H70" s="28">
        <v>1.033E-4</v>
      </c>
      <c r="I70" s="28">
        <v>5.7569999999999997</v>
      </c>
      <c r="J70" s="29"/>
      <c r="K70" s="30"/>
      <c r="L70" s="31"/>
    </row>
    <row r="71" spans="1:12" ht="15" customHeight="1">
      <c r="A71" s="2" t="str">
        <f>HYPERLINK("http://portal.genego.com/cgi/entity_page.cgi?term=100&amp;id=2121","C/EBP zeta")</f>
        <v>C/EBP zeta</v>
      </c>
      <c r="B71" s="28">
        <v>8</v>
      </c>
      <c r="C71" s="28">
        <v>352</v>
      </c>
      <c r="D71" s="28">
        <v>94</v>
      </c>
      <c r="E71" s="28">
        <v>26819</v>
      </c>
      <c r="F71" s="28">
        <v>1.234</v>
      </c>
      <c r="G71" s="28">
        <v>6.484</v>
      </c>
      <c r="H71" s="28">
        <v>3.3949999999999999E-5</v>
      </c>
      <c r="I71" s="28">
        <v>6.1429999999999998</v>
      </c>
      <c r="J71" s="29"/>
      <c r="K71" s="30"/>
      <c r="L71" s="31"/>
    </row>
    <row r="72" spans="1:12" ht="15" customHeight="1">
      <c r="A72" s="2" t="str">
        <f>HYPERLINK("http://portal.genego.com/cgi/entity_page.cgi?term=100&amp;id=-1333022639","FoxL2")</f>
        <v>FoxL2</v>
      </c>
      <c r="B72" s="28">
        <v>5</v>
      </c>
      <c r="C72" s="28">
        <v>352</v>
      </c>
      <c r="D72" s="28">
        <v>59</v>
      </c>
      <c r="E72" s="28">
        <v>26819</v>
      </c>
      <c r="F72" s="28">
        <v>0.77439999999999998</v>
      </c>
      <c r="G72" s="28">
        <v>6.4569999999999999</v>
      </c>
      <c r="H72" s="28">
        <v>1.06E-3</v>
      </c>
      <c r="I72" s="28">
        <v>4.8390000000000004</v>
      </c>
      <c r="J72" s="29"/>
      <c r="K72" s="30"/>
      <c r="L72" s="31"/>
    </row>
    <row r="73" spans="1:12" ht="15" customHeight="1">
      <c r="A73" s="2" t="str">
        <f>HYPERLINK("http://portal.genego.com/cgi/entity_page.cgi?term=100&amp;id=4316","RXRA")</f>
        <v>RXRA</v>
      </c>
      <c r="B73" s="28">
        <v>14</v>
      </c>
      <c r="C73" s="28">
        <v>352</v>
      </c>
      <c r="D73" s="28">
        <v>177</v>
      </c>
      <c r="E73" s="28">
        <v>26819</v>
      </c>
      <c r="F73" s="28">
        <v>2.323</v>
      </c>
      <c r="G73" s="28">
        <v>6.0259999999999998</v>
      </c>
      <c r="H73" s="28">
        <v>1.015E-7</v>
      </c>
      <c r="I73" s="28">
        <v>7.7370000000000001</v>
      </c>
      <c r="J73" s="29"/>
      <c r="K73" s="30"/>
      <c r="L73" s="31"/>
    </row>
    <row r="74" spans="1:12" ht="15" customHeight="1">
      <c r="A74" s="2" t="str">
        <f>HYPERLINK("http://portal.genego.com/cgi/entity_page.cgi?term=100&amp;id=2940","ETS2")</f>
        <v>ETS2</v>
      </c>
      <c r="B74" s="28">
        <v>10</v>
      </c>
      <c r="C74" s="28">
        <v>352</v>
      </c>
      <c r="D74" s="28">
        <v>127</v>
      </c>
      <c r="E74" s="28">
        <v>26819</v>
      </c>
      <c r="F74" s="28">
        <v>1.667</v>
      </c>
      <c r="G74" s="28">
        <v>5.9989999999999997</v>
      </c>
      <c r="H74" s="28">
        <v>7.1749999999999999E-6</v>
      </c>
      <c r="I74" s="28">
        <v>6.5119999999999996</v>
      </c>
      <c r="J74" s="29"/>
      <c r="K74" s="30"/>
      <c r="L74" s="31"/>
    </row>
    <row r="75" spans="1:12" ht="15" customHeight="1">
      <c r="A75" s="2" t="str">
        <f>HYPERLINK("http://portal.genego.com/cgi/entity_page.cgi?term=100&amp;id=145","CLOCK")</f>
        <v>CLOCK</v>
      </c>
      <c r="B75" s="28">
        <v>6</v>
      </c>
      <c r="C75" s="28">
        <v>352</v>
      </c>
      <c r="D75" s="28">
        <v>78</v>
      </c>
      <c r="E75" s="28">
        <v>26819</v>
      </c>
      <c r="F75" s="28">
        <v>1.024</v>
      </c>
      <c r="G75" s="28">
        <v>5.8609999999999998</v>
      </c>
      <c r="H75" s="28">
        <v>5.6860000000000005E-4</v>
      </c>
      <c r="I75" s="28">
        <v>4.9580000000000002</v>
      </c>
      <c r="J75" s="29"/>
      <c r="K75" s="30"/>
      <c r="L75" s="31"/>
    </row>
    <row r="76" spans="1:12" ht="15" customHeight="1">
      <c r="A76" s="2" t="str">
        <f>HYPERLINK("http://portal.genego.com/cgi/entity_page.cgi?term=100&amp;id=-3886333","PAX3")</f>
        <v>PAX3</v>
      </c>
      <c r="B76" s="28">
        <v>3</v>
      </c>
      <c r="C76" s="28">
        <v>352</v>
      </c>
      <c r="D76" s="28">
        <v>39</v>
      </c>
      <c r="E76" s="28">
        <v>26819</v>
      </c>
      <c r="F76" s="28">
        <v>0.51190000000000002</v>
      </c>
      <c r="G76" s="28">
        <v>5.8609999999999998</v>
      </c>
      <c r="H76" s="28">
        <v>1.4449999999999999E-2</v>
      </c>
      <c r="I76" s="28">
        <v>3.5030000000000001</v>
      </c>
      <c r="J76" s="29"/>
      <c r="K76" s="30"/>
      <c r="L76" s="31"/>
    </row>
    <row r="77" spans="1:12" ht="15" customHeight="1">
      <c r="A77" s="2" t="str">
        <f>HYPERLINK("http://portal.genego.com/cgi/entity_page.cgi?term=100&amp;id=4278","CUX1")</f>
        <v>CUX1</v>
      </c>
      <c r="B77" s="28">
        <v>3</v>
      </c>
      <c r="C77" s="28">
        <v>352</v>
      </c>
      <c r="D77" s="28">
        <v>39</v>
      </c>
      <c r="E77" s="28">
        <v>26819</v>
      </c>
      <c r="F77" s="28">
        <v>0.51190000000000002</v>
      </c>
      <c r="G77" s="28">
        <v>5.8609999999999998</v>
      </c>
      <c r="H77" s="28">
        <v>1.4449999999999999E-2</v>
      </c>
      <c r="I77" s="28">
        <v>3.5030000000000001</v>
      </c>
      <c r="J77" s="29"/>
      <c r="K77" s="30"/>
      <c r="L77" s="31"/>
    </row>
    <row r="78" spans="1:12" ht="15" customHeight="1">
      <c r="A78" s="2" t="str">
        <f>HYPERLINK("http://portal.genego.com/cgi/entity_page.cgi?term=100&amp;id=2542","TFIIB")</f>
        <v>TFIIB</v>
      </c>
      <c r="B78" s="28">
        <v>6</v>
      </c>
      <c r="C78" s="28">
        <v>352</v>
      </c>
      <c r="D78" s="28">
        <v>79</v>
      </c>
      <c r="E78" s="28">
        <v>26819</v>
      </c>
      <c r="F78" s="28">
        <v>1.0369999999999999</v>
      </c>
      <c r="G78" s="28">
        <v>5.7869999999999999</v>
      </c>
      <c r="H78" s="28">
        <v>6.0860000000000005E-4</v>
      </c>
      <c r="I78" s="28">
        <v>4.9139999999999997</v>
      </c>
      <c r="J78" s="29"/>
      <c r="K78" s="30"/>
      <c r="L78" s="31"/>
    </row>
    <row r="79" spans="1:12" ht="15" customHeight="1">
      <c r="A79" s="2" t="str">
        <f>HYPERLINK("http://portal.genego.com/cgi/entity_page.cgi?term=100&amp;id=4310","ATF-1")</f>
        <v>ATF-1</v>
      </c>
      <c r="B79" s="28">
        <v>5</v>
      </c>
      <c r="C79" s="28">
        <v>352</v>
      </c>
      <c r="D79" s="28">
        <v>66</v>
      </c>
      <c r="E79" s="28">
        <v>26819</v>
      </c>
      <c r="F79" s="28">
        <v>0.86629999999999996</v>
      </c>
      <c r="G79" s="28">
        <v>5.7720000000000002</v>
      </c>
      <c r="H79" s="28">
        <v>1.7570000000000001E-3</v>
      </c>
      <c r="I79" s="28">
        <v>4.476</v>
      </c>
      <c r="J79" s="29"/>
      <c r="K79" s="30"/>
      <c r="L79" s="31"/>
    </row>
    <row r="80" spans="1:12" ht="15" customHeight="1">
      <c r="A80" s="2" t="str">
        <f>HYPERLINK("http://portal.genego.com/cgi/entity_page.cgi?term=100&amp;id=4431","TITF1")</f>
        <v>TITF1</v>
      </c>
      <c r="B80" s="28">
        <v>7</v>
      </c>
      <c r="C80" s="28">
        <v>352</v>
      </c>
      <c r="D80" s="28">
        <v>93</v>
      </c>
      <c r="E80" s="28">
        <v>26819</v>
      </c>
      <c r="F80" s="28">
        <v>1.2210000000000001</v>
      </c>
      <c r="G80" s="28">
        <v>5.7350000000000003</v>
      </c>
      <c r="H80" s="28">
        <v>2.2770000000000001E-4</v>
      </c>
      <c r="I80" s="28">
        <v>5.2750000000000004</v>
      </c>
      <c r="J80" s="29"/>
      <c r="K80" s="30"/>
      <c r="L80" s="31"/>
    </row>
    <row r="81" spans="1:12" ht="15" customHeight="1">
      <c r="A81" s="2" t="str">
        <f>HYPERLINK("http://portal.genego.com/cgi/entity_page.cgi?term=100&amp;id=304","GFI-1")</f>
        <v>GFI-1</v>
      </c>
      <c r="B81" s="28">
        <v>3</v>
      </c>
      <c r="C81" s="28">
        <v>352</v>
      </c>
      <c r="D81" s="28">
        <v>40</v>
      </c>
      <c r="E81" s="28">
        <v>26819</v>
      </c>
      <c r="F81" s="28">
        <v>0.52500000000000002</v>
      </c>
      <c r="G81" s="28">
        <v>5.7140000000000004</v>
      </c>
      <c r="H81" s="28">
        <v>1.5469999999999999E-2</v>
      </c>
      <c r="I81" s="28">
        <v>3.4409999999999998</v>
      </c>
      <c r="J81" s="29"/>
      <c r="K81" s="30"/>
      <c r="L81" s="31"/>
    </row>
    <row r="82" spans="1:12" ht="15" customHeight="1">
      <c r="A82" s="2" t="str">
        <f>HYPERLINK("http://portal.genego.com/cgi/entity_page.cgi?term=100&amp;id=4307","SOX4")</f>
        <v>SOX4</v>
      </c>
      <c r="B82" s="28">
        <v>8</v>
      </c>
      <c r="C82" s="28">
        <v>352</v>
      </c>
      <c r="D82" s="28">
        <v>109</v>
      </c>
      <c r="E82" s="28">
        <v>26819</v>
      </c>
      <c r="F82" s="28">
        <v>1.431</v>
      </c>
      <c r="G82" s="28">
        <v>5.5919999999999996</v>
      </c>
      <c r="H82" s="28">
        <v>9.7739999999999996E-5</v>
      </c>
      <c r="I82" s="28">
        <v>5.54</v>
      </c>
      <c r="J82" s="29"/>
      <c r="K82" s="30"/>
      <c r="L82" s="31"/>
    </row>
    <row r="83" spans="1:12" ht="15" customHeight="1">
      <c r="A83" s="2" t="str">
        <f>HYPERLINK("http://portal.genego.com/cgi/entity_page.cgi?term=100&amp;id=-70260209","NF-kB2 (p52)")</f>
        <v>NF-kB2 (p52)</v>
      </c>
      <c r="B83" s="28">
        <v>8</v>
      </c>
      <c r="C83" s="28">
        <v>352</v>
      </c>
      <c r="D83" s="28">
        <v>109</v>
      </c>
      <c r="E83" s="28">
        <v>26819</v>
      </c>
      <c r="F83" s="28">
        <v>1.431</v>
      </c>
      <c r="G83" s="28">
        <v>5.5919999999999996</v>
      </c>
      <c r="H83" s="28">
        <v>9.7739999999999996E-5</v>
      </c>
      <c r="I83" s="28">
        <v>5.54</v>
      </c>
      <c r="J83" s="29"/>
      <c r="K83" s="30"/>
      <c r="L83" s="31"/>
    </row>
    <row r="84" spans="1:12" ht="15" customHeight="1">
      <c r="A84" s="2" t="str">
        <f>HYPERLINK("http://portal.genego.com/cgi/entity_page.cgi?term=100&amp;id=-1781647116","RFX6")</f>
        <v>RFX6</v>
      </c>
      <c r="B84" s="28">
        <v>3</v>
      </c>
      <c r="C84" s="28">
        <v>352</v>
      </c>
      <c r="D84" s="28">
        <v>41</v>
      </c>
      <c r="E84" s="28">
        <v>26819</v>
      </c>
      <c r="F84" s="28">
        <v>0.53810000000000002</v>
      </c>
      <c r="G84" s="28">
        <v>5.5750000000000002</v>
      </c>
      <c r="H84" s="28">
        <v>1.6539999999999999E-2</v>
      </c>
      <c r="I84" s="28">
        <v>3.3809999999999998</v>
      </c>
      <c r="J84" s="29"/>
      <c r="K84" s="30"/>
      <c r="L84" s="31"/>
    </row>
    <row r="85" spans="1:12" ht="15" customHeight="1">
      <c r="A85" s="2" t="str">
        <f>HYPERLINK("http://portal.genego.com/cgi/entity_page.cgi?term=100&amp;id=-2066067575","KLF2")</f>
        <v>KLF2</v>
      </c>
      <c r="B85" s="28">
        <v>3</v>
      </c>
      <c r="C85" s="28">
        <v>352</v>
      </c>
      <c r="D85" s="28">
        <v>41</v>
      </c>
      <c r="E85" s="28">
        <v>26819</v>
      </c>
      <c r="F85" s="28">
        <v>0.53810000000000002</v>
      </c>
      <c r="G85" s="28">
        <v>5.5750000000000002</v>
      </c>
      <c r="H85" s="28">
        <v>1.6539999999999999E-2</v>
      </c>
      <c r="I85" s="28">
        <v>3.3809999999999998</v>
      </c>
      <c r="J85" s="29"/>
      <c r="K85" s="30"/>
      <c r="L85" s="31"/>
    </row>
    <row r="86" spans="1:12" ht="15" customHeight="1">
      <c r="A86" s="2" t="str">
        <f>HYPERLINK("http://portal.genego.com/cgi/entity_page.cgi?term=100&amp;id=2170","FOXO3A")</f>
        <v>FOXO3A</v>
      </c>
      <c r="B86" s="28">
        <v>14</v>
      </c>
      <c r="C86" s="28">
        <v>352</v>
      </c>
      <c r="D86" s="28">
        <v>193</v>
      </c>
      <c r="E86" s="28">
        <v>26819</v>
      </c>
      <c r="F86" s="28">
        <v>2.5329999999999999</v>
      </c>
      <c r="G86" s="28">
        <v>5.5270000000000001</v>
      </c>
      <c r="H86" s="28">
        <v>2.9540000000000001E-7</v>
      </c>
      <c r="I86" s="28">
        <v>7.2789999999999999</v>
      </c>
      <c r="J86" s="29"/>
      <c r="K86" s="30"/>
      <c r="L86" s="31"/>
    </row>
    <row r="87" spans="1:12" ht="15" customHeight="1">
      <c r="A87" s="2" t="str">
        <f>HYPERLINK("http://portal.genego.com/cgi/entity_page.cgi?term=100&amp;id=-600165943","FOXK1")</f>
        <v>FOXK1</v>
      </c>
      <c r="B87" s="28">
        <v>5</v>
      </c>
      <c r="C87" s="28">
        <v>352</v>
      </c>
      <c r="D87" s="28">
        <v>70</v>
      </c>
      <c r="E87" s="28">
        <v>26819</v>
      </c>
      <c r="F87" s="28">
        <v>0.91879999999999995</v>
      </c>
      <c r="G87" s="28">
        <v>5.4420000000000002</v>
      </c>
      <c r="H87" s="28">
        <v>2.2799999999999999E-3</v>
      </c>
      <c r="I87" s="28">
        <v>4.2919999999999998</v>
      </c>
      <c r="J87" s="29"/>
      <c r="K87" s="30"/>
      <c r="L87" s="31"/>
    </row>
    <row r="88" spans="1:12" ht="15" customHeight="1">
      <c r="A88" s="2" t="str">
        <f>HYPERLINK("http://portal.genego.com/cgi/entity_page.cgi?term=100&amp;id=4440","TCF7 (TCF1)")</f>
        <v>TCF7 (TCF1)</v>
      </c>
      <c r="B88" s="28">
        <v>3</v>
      </c>
      <c r="C88" s="28">
        <v>352</v>
      </c>
      <c r="D88" s="28">
        <v>42</v>
      </c>
      <c r="E88" s="28">
        <v>26819</v>
      </c>
      <c r="F88" s="28">
        <v>0.55130000000000001</v>
      </c>
      <c r="G88" s="28">
        <v>5.4420000000000002</v>
      </c>
      <c r="H88" s="28">
        <v>1.7639999999999999E-2</v>
      </c>
      <c r="I88" s="28">
        <v>3.323</v>
      </c>
      <c r="J88" s="29"/>
      <c r="K88" s="30"/>
      <c r="L88" s="31"/>
    </row>
    <row r="89" spans="1:12" ht="15" customHeight="1">
      <c r="A89" s="2" t="str">
        <f>HYPERLINK("http://portal.genego.com/cgi/entity_page.cgi?term=100&amp;id=-594127466","NF-kB p50/p50")</f>
        <v>NF-kB p50/p50</v>
      </c>
      <c r="B89" s="28">
        <v>5</v>
      </c>
      <c r="C89" s="28">
        <v>352</v>
      </c>
      <c r="D89" s="28">
        <v>71</v>
      </c>
      <c r="E89" s="28">
        <v>26819</v>
      </c>
      <c r="F89" s="28">
        <v>0.93189999999999995</v>
      </c>
      <c r="G89" s="28">
        <v>5.3659999999999997</v>
      </c>
      <c r="H89" s="28">
        <v>2.4269999999999999E-3</v>
      </c>
      <c r="I89" s="28">
        <v>4.2480000000000002</v>
      </c>
      <c r="J89" s="29"/>
      <c r="K89" s="30"/>
      <c r="L89" s="31"/>
    </row>
    <row r="90" spans="1:12" ht="15" customHeight="1">
      <c r="A90" s="2" t="str">
        <f>HYPERLINK("http://portal.genego.com/cgi/entity_page.cgi?term=100&amp;id=4517","WT1")</f>
        <v>WT1</v>
      </c>
      <c r="B90" s="28">
        <v>12</v>
      </c>
      <c r="C90" s="28">
        <v>352</v>
      </c>
      <c r="D90" s="28">
        <v>171</v>
      </c>
      <c r="E90" s="28">
        <v>26819</v>
      </c>
      <c r="F90" s="28">
        <v>2.2440000000000002</v>
      </c>
      <c r="G90" s="28">
        <v>5.3470000000000004</v>
      </c>
      <c r="H90" s="28">
        <v>2.948E-6</v>
      </c>
      <c r="I90" s="28">
        <v>6.5759999999999996</v>
      </c>
      <c r="J90" s="29"/>
      <c r="K90" s="30"/>
      <c r="L90" s="31"/>
    </row>
    <row r="91" spans="1:12" ht="15" customHeight="1">
      <c r="A91" s="2" t="str">
        <f>HYPERLINK("http://portal.genego.com/cgi/entity_page.cgi?term=100&amp;id=78","BMAL1")</f>
        <v>BMAL1</v>
      </c>
      <c r="B91" s="28">
        <v>8</v>
      </c>
      <c r="C91" s="28">
        <v>352</v>
      </c>
      <c r="D91" s="28">
        <v>114</v>
      </c>
      <c r="E91" s="28">
        <v>26819</v>
      </c>
      <c r="F91" s="28">
        <v>1.496</v>
      </c>
      <c r="G91" s="28">
        <v>5.3470000000000004</v>
      </c>
      <c r="H91" s="28">
        <v>1.338E-4</v>
      </c>
      <c r="I91" s="28">
        <v>5.3630000000000004</v>
      </c>
      <c r="J91" s="29"/>
      <c r="K91" s="30"/>
      <c r="L91" s="31"/>
    </row>
    <row r="92" spans="1:12" ht="15" customHeight="1">
      <c r="A92" s="2" t="str">
        <f>HYPERLINK("http://portal.genego.com/cgi/entity_page.cgi?term=100&amp;id=2928","FosB")</f>
        <v>FosB</v>
      </c>
      <c r="B92" s="28">
        <v>4</v>
      </c>
      <c r="C92" s="28">
        <v>352</v>
      </c>
      <c r="D92" s="28">
        <v>58</v>
      </c>
      <c r="E92" s="28">
        <v>26819</v>
      </c>
      <c r="F92" s="28">
        <v>0.76129999999999998</v>
      </c>
      <c r="G92" s="28">
        <v>5.2549999999999999</v>
      </c>
      <c r="H92" s="28">
        <v>7.0910000000000001E-3</v>
      </c>
      <c r="I92" s="28">
        <v>3.7410000000000001</v>
      </c>
      <c r="J92" s="29"/>
      <c r="K92" s="30"/>
      <c r="L92" s="31"/>
    </row>
    <row r="93" spans="1:12" ht="15" customHeight="1">
      <c r="A93" s="2" t="str">
        <f>HYPERLINK("http://portal.genego.com/cgi/entity_page.cgi?term=100&amp;id=-114486301","TCF12")</f>
        <v>TCF12</v>
      </c>
      <c r="B93" s="28">
        <v>3</v>
      </c>
      <c r="C93" s="28">
        <v>352</v>
      </c>
      <c r="D93" s="28">
        <v>44</v>
      </c>
      <c r="E93" s="28">
        <v>26819</v>
      </c>
      <c r="F93" s="28">
        <v>0.57750000000000001</v>
      </c>
      <c r="G93" s="28">
        <v>5.1950000000000003</v>
      </c>
      <c r="H93" s="28">
        <v>1.9970000000000002E-2</v>
      </c>
      <c r="I93" s="28">
        <v>3.2109999999999999</v>
      </c>
      <c r="J93" s="29"/>
      <c r="K93" s="30"/>
      <c r="L93" s="31"/>
    </row>
    <row r="94" spans="1:12" ht="15" customHeight="1">
      <c r="A94" s="2" t="str">
        <f>HYPERLINK("http://portal.genego.com/cgi/entity_page.cgi?term=100&amp;id=-416745300","GATA-6")</f>
        <v>GATA-6</v>
      </c>
      <c r="B94" s="28">
        <v>8</v>
      </c>
      <c r="C94" s="28">
        <v>352</v>
      </c>
      <c r="D94" s="28">
        <v>119</v>
      </c>
      <c r="E94" s="28">
        <v>26819</v>
      </c>
      <c r="F94" s="28">
        <v>1.5620000000000001</v>
      </c>
      <c r="G94" s="28">
        <v>5.1219999999999999</v>
      </c>
      <c r="H94" s="28">
        <v>1.8019999999999999E-4</v>
      </c>
      <c r="I94" s="28">
        <v>5.1970000000000001</v>
      </c>
      <c r="J94" s="29"/>
      <c r="K94" s="30"/>
      <c r="L94" s="31"/>
    </row>
    <row r="95" spans="1:12" ht="15" customHeight="1">
      <c r="A95" s="2" t="str">
        <f>HYPERLINK("http://portal.genego.com/cgi/entity_page.cgi?term=100&amp;id=-1545880960","TCF7L1 (TCF3)")</f>
        <v>TCF7L1 (TCF3)</v>
      </c>
      <c r="B95" s="28">
        <v>5</v>
      </c>
      <c r="C95" s="28">
        <v>352</v>
      </c>
      <c r="D95" s="28">
        <v>77</v>
      </c>
      <c r="E95" s="28">
        <v>26819</v>
      </c>
      <c r="F95" s="28">
        <v>1.0109999999999999</v>
      </c>
      <c r="G95" s="28">
        <v>4.9470000000000001</v>
      </c>
      <c r="H95" s="28">
        <v>3.4559999999999999E-3</v>
      </c>
      <c r="I95" s="28">
        <v>4</v>
      </c>
      <c r="J95" s="29"/>
      <c r="K95" s="30"/>
      <c r="L95" s="31"/>
    </row>
    <row r="96" spans="1:12" ht="15" customHeight="1">
      <c r="A96" s="2" t="str">
        <f>HYPERLINK("http://portal.genego.com/cgi/entity_page.cgi?term=100&amp;id=-1125937618","EBF")</f>
        <v>EBF</v>
      </c>
      <c r="B96" s="28">
        <v>8</v>
      </c>
      <c r="C96" s="28">
        <v>352</v>
      </c>
      <c r="D96" s="28">
        <v>124</v>
      </c>
      <c r="E96" s="28">
        <v>26819</v>
      </c>
      <c r="F96" s="28">
        <v>1.6279999999999999</v>
      </c>
      <c r="G96" s="28">
        <v>4.9160000000000004</v>
      </c>
      <c r="H96" s="28">
        <v>2.3900000000000001E-4</v>
      </c>
      <c r="I96" s="28">
        <v>5.04</v>
      </c>
      <c r="J96" s="29"/>
      <c r="K96" s="30"/>
      <c r="L96" s="31"/>
    </row>
    <row r="97" spans="1:12" ht="15" customHeight="1">
      <c r="A97" s="2" t="str">
        <f>HYPERLINK("http://portal.genego.com/cgi/entity_page.cgi?term=100&amp;id=695","SF1")</f>
        <v>SF1</v>
      </c>
      <c r="B97" s="28">
        <v>4</v>
      </c>
      <c r="C97" s="28">
        <v>352</v>
      </c>
      <c r="D97" s="28">
        <v>63</v>
      </c>
      <c r="E97" s="28">
        <v>26819</v>
      </c>
      <c r="F97" s="28">
        <v>0.82689999999999997</v>
      </c>
      <c r="G97" s="28">
        <v>4.8369999999999997</v>
      </c>
      <c r="H97" s="28">
        <v>9.4619999999999999E-3</v>
      </c>
      <c r="I97" s="28">
        <v>3.5169999999999999</v>
      </c>
      <c r="J97" s="29"/>
      <c r="K97" s="30"/>
      <c r="L97" s="31"/>
    </row>
    <row r="98" spans="1:12" ht="15" customHeight="1">
      <c r="A98" s="2" t="str">
        <f>HYPERLINK("http://portal.genego.com/cgi/entity_page.cgi?term=100&amp;id=2484","Fra-2")</f>
        <v>Fra-2</v>
      </c>
      <c r="B98" s="28">
        <v>5</v>
      </c>
      <c r="C98" s="28">
        <v>352</v>
      </c>
      <c r="D98" s="28">
        <v>79</v>
      </c>
      <c r="E98" s="28">
        <v>26819</v>
      </c>
      <c r="F98" s="28">
        <v>1.0369999999999999</v>
      </c>
      <c r="G98" s="28">
        <v>4.8220000000000001</v>
      </c>
      <c r="H98" s="28">
        <v>3.859E-3</v>
      </c>
      <c r="I98" s="28">
        <v>3.9239999999999999</v>
      </c>
      <c r="J98" s="29"/>
      <c r="K98" s="30"/>
      <c r="L98" s="31"/>
    </row>
    <row r="99" spans="1:12" ht="15" customHeight="1">
      <c r="A99" s="2" t="str">
        <f>HYPERLINK("http://portal.genego.com/cgi/entity_page.cgi?term=100&amp;id=-73323281","LXR-alpha")</f>
        <v>LXR-alpha</v>
      </c>
      <c r="B99" s="28">
        <v>6</v>
      </c>
      <c r="C99" s="28">
        <v>352</v>
      </c>
      <c r="D99" s="28">
        <v>95</v>
      </c>
      <c r="E99" s="28">
        <v>26819</v>
      </c>
      <c r="F99" s="28">
        <v>1.2470000000000001</v>
      </c>
      <c r="G99" s="28">
        <v>4.8120000000000003</v>
      </c>
      <c r="H99" s="28">
        <v>1.598E-3</v>
      </c>
      <c r="I99" s="28">
        <v>4.2919999999999998</v>
      </c>
      <c r="J99" s="29"/>
      <c r="K99" s="30"/>
      <c r="L99" s="31"/>
    </row>
    <row r="100" spans="1:12" ht="15" customHeight="1">
      <c r="A100" s="2" t="str">
        <f>HYPERLINK("http://portal.genego.com/cgi/entity_page.cgi?term=100&amp;id=6011","SMAD2")</f>
        <v>SMAD2</v>
      </c>
      <c r="B100" s="28">
        <v>9</v>
      </c>
      <c r="C100" s="28">
        <v>352</v>
      </c>
      <c r="D100" s="28">
        <v>143</v>
      </c>
      <c r="E100" s="28">
        <v>26819</v>
      </c>
      <c r="F100" s="28">
        <v>1.877</v>
      </c>
      <c r="G100" s="28">
        <v>4.7949999999999999</v>
      </c>
      <c r="H100" s="28">
        <v>1.1900000000000001E-4</v>
      </c>
      <c r="I100" s="28">
        <v>5.2480000000000002</v>
      </c>
      <c r="J100" s="29"/>
      <c r="K100" s="30"/>
      <c r="L100" s="31"/>
    </row>
    <row r="101" spans="1:12" ht="15" customHeight="1">
      <c r="A101" s="2" t="str">
        <f>HYPERLINK("http://portal.genego.com/cgi/entity_page.cgi?term=100&amp;id=4261","TR-alpha")</f>
        <v>TR-alpha</v>
      </c>
      <c r="B101" s="28">
        <v>6</v>
      </c>
      <c r="C101" s="28">
        <v>352</v>
      </c>
      <c r="D101" s="28">
        <v>96</v>
      </c>
      <c r="E101" s="28">
        <v>26819</v>
      </c>
      <c r="F101" s="28">
        <v>1.26</v>
      </c>
      <c r="G101" s="28">
        <v>4.7619999999999996</v>
      </c>
      <c r="H101" s="28">
        <v>1.686E-3</v>
      </c>
      <c r="I101" s="28">
        <v>4.258</v>
      </c>
      <c r="J101" s="29"/>
      <c r="K101" s="30"/>
      <c r="L101" s="31"/>
    </row>
    <row r="102" spans="1:12" ht="15" customHeight="1">
      <c r="A102" s="2" t="str">
        <f>HYPERLINK("http://portal.genego.com/cgi/entity_page.cgi?term=100&amp;id=-1553389767","E4BP4")</f>
        <v>E4BP4</v>
      </c>
      <c r="B102" s="28">
        <v>4</v>
      </c>
      <c r="C102" s="28">
        <v>352</v>
      </c>
      <c r="D102" s="28">
        <v>64</v>
      </c>
      <c r="E102" s="28">
        <v>26819</v>
      </c>
      <c r="F102" s="28">
        <v>0.84</v>
      </c>
      <c r="G102" s="28">
        <v>4.7619999999999996</v>
      </c>
      <c r="H102" s="28">
        <v>9.9909999999999999E-3</v>
      </c>
      <c r="I102" s="28">
        <v>3.4750000000000001</v>
      </c>
      <c r="J102" s="29"/>
      <c r="K102" s="30"/>
      <c r="L102" s="31"/>
    </row>
    <row r="103" spans="1:12" ht="15" customHeight="1">
      <c r="A103" s="2" t="str">
        <f>HYPERLINK("http://portal.genego.com/cgi/entity_page.cgi?term=100&amp;id=6392","EPAS1")</f>
        <v>EPAS1</v>
      </c>
      <c r="B103" s="28">
        <v>11</v>
      </c>
      <c r="C103" s="28">
        <v>352</v>
      </c>
      <c r="D103" s="28">
        <v>179</v>
      </c>
      <c r="E103" s="28">
        <v>26819</v>
      </c>
      <c r="F103" s="28">
        <v>2.3490000000000002</v>
      </c>
      <c r="G103" s="28">
        <v>4.6820000000000004</v>
      </c>
      <c r="H103" s="28">
        <v>2.654E-5</v>
      </c>
      <c r="I103" s="28">
        <v>5.7</v>
      </c>
      <c r="J103" s="29"/>
      <c r="K103" s="30"/>
      <c r="L103" s="31"/>
    </row>
    <row r="104" spans="1:12" ht="15" customHeight="1">
      <c r="A104" s="2" t="str">
        <f>HYPERLINK("http://portal.genego.com/cgi/entity_page.cgi?term=100&amp;id=883","c-Fos")</f>
        <v>c-Fos</v>
      </c>
      <c r="B104" s="28">
        <v>21</v>
      </c>
      <c r="C104" s="28">
        <v>352</v>
      </c>
      <c r="D104" s="28">
        <v>342</v>
      </c>
      <c r="E104" s="28">
        <v>26819</v>
      </c>
      <c r="F104" s="28">
        <v>4.4889999999999999</v>
      </c>
      <c r="G104" s="28">
        <v>4.6779999999999999</v>
      </c>
      <c r="H104" s="28">
        <v>6.2769999999999997E-9</v>
      </c>
      <c r="I104" s="28">
        <v>7.8949999999999996</v>
      </c>
      <c r="J104" s="29"/>
      <c r="K104" s="30"/>
      <c r="L104" s="31"/>
    </row>
    <row r="105" spans="1:12" ht="15" customHeight="1">
      <c r="A105" s="2" t="str">
        <f>HYPERLINK("http://portal.genego.com/cgi/entity_page.cgi?term=100&amp;id=-1880436088","NF-kB1 (p105)")</f>
        <v>NF-kB1 (p105)</v>
      </c>
      <c r="B105" s="28">
        <v>4</v>
      </c>
      <c r="C105" s="28">
        <v>352</v>
      </c>
      <c r="D105" s="28">
        <v>66</v>
      </c>
      <c r="E105" s="28">
        <v>26819</v>
      </c>
      <c r="F105" s="28">
        <v>0.86629999999999996</v>
      </c>
      <c r="G105" s="28">
        <v>4.6180000000000003</v>
      </c>
      <c r="H105" s="28">
        <v>1.11E-2</v>
      </c>
      <c r="I105" s="28">
        <v>3.3929999999999998</v>
      </c>
      <c r="J105" s="29"/>
      <c r="K105" s="30"/>
      <c r="L105" s="31"/>
    </row>
    <row r="106" spans="1:12" ht="15" customHeight="1">
      <c r="A106" s="2" t="str">
        <f>HYPERLINK("http://portal.genego.com/cgi/entity_page.cgi?term=100&amp;id=-589212696","PRDM5")</f>
        <v>PRDM5</v>
      </c>
      <c r="B106" s="28">
        <v>5</v>
      </c>
      <c r="C106" s="28">
        <v>352</v>
      </c>
      <c r="D106" s="28">
        <v>83</v>
      </c>
      <c r="E106" s="28">
        <v>26819</v>
      </c>
      <c r="F106" s="28">
        <v>1.089</v>
      </c>
      <c r="G106" s="28">
        <v>4.59</v>
      </c>
      <c r="H106" s="28">
        <v>4.7660000000000003E-3</v>
      </c>
      <c r="I106" s="28">
        <v>3.7770000000000001</v>
      </c>
      <c r="J106" s="29"/>
      <c r="K106" s="30"/>
      <c r="L106" s="31"/>
    </row>
    <row r="107" spans="1:12" ht="15" customHeight="1">
      <c r="A107" s="2" t="str">
        <f>HYPERLINK("http://portal.genego.com/cgi/entity_page.cgi?term=100&amp;id=4417","XBP1")</f>
        <v>XBP1</v>
      </c>
      <c r="B107" s="28">
        <v>9</v>
      </c>
      <c r="C107" s="28">
        <v>352</v>
      </c>
      <c r="D107" s="28">
        <v>150</v>
      </c>
      <c r="E107" s="28">
        <v>26819</v>
      </c>
      <c r="F107" s="28">
        <v>1.9690000000000001</v>
      </c>
      <c r="G107" s="28">
        <v>4.5709999999999997</v>
      </c>
      <c r="H107" s="28">
        <v>1.7100000000000001E-4</v>
      </c>
      <c r="I107" s="28">
        <v>5.0579999999999998</v>
      </c>
      <c r="J107" s="29"/>
      <c r="K107" s="30"/>
      <c r="L107" s="31"/>
    </row>
    <row r="108" spans="1:12" ht="15" customHeight="1">
      <c r="A108" s="2" t="str">
        <f>HYPERLINK("http://portal.genego.com/cgi/entity_page.cgi?term=100&amp;id=4434","Ikaros")</f>
        <v>Ikaros</v>
      </c>
      <c r="B108" s="28">
        <v>4</v>
      </c>
      <c r="C108" s="28">
        <v>352</v>
      </c>
      <c r="D108" s="28">
        <v>67</v>
      </c>
      <c r="E108" s="28">
        <v>26819</v>
      </c>
      <c r="F108" s="28">
        <v>0.87939999999999996</v>
      </c>
      <c r="G108" s="28">
        <v>4.5490000000000004</v>
      </c>
      <c r="H108" s="28">
        <v>1.1690000000000001E-2</v>
      </c>
      <c r="I108" s="28">
        <v>3.3540000000000001</v>
      </c>
      <c r="J108" s="29"/>
      <c r="K108" s="30"/>
      <c r="L108" s="31"/>
    </row>
    <row r="109" spans="1:12" ht="15" customHeight="1">
      <c r="A109" s="2" t="str">
        <f>HYPERLINK("http://portal.genego.com/cgi/entity_page.cgi?term=100&amp;id=-1600741596","Bcl-6")</f>
        <v>Bcl-6</v>
      </c>
      <c r="B109" s="28">
        <v>9</v>
      </c>
      <c r="C109" s="28">
        <v>352</v>
      </c>
      <c r="D109" s="28">
        <v>151</v>
      </c>
      <c r="E109" s="28">
        <v>26819</v>
      </c>
      <c r="F109" s="28">
        <v>1.982</v>
      </c>
      <c r="G109" s="28">
        <v>4.5410000000000004</v>
      </c>
      <c r="H109" s="28">
        <v>1.7980000000000001E-4</v>
      </c>
      <c r="I109" s="28">
        <v>5.032</v>
      </c>
      <c r="J109" s="29"/>
      <c r="K109" s="30"/>
      <c r="L109" s="31"/>
    </row>
    <row r="110" spans="1:12" ht="15" customHeight="1">
      <c r="A110" s="2" t="str">
        <f>HYPERLINK("http://portal.genego.com/cgi/entity_page.cgi?term=100&amp;id=2367","NK31")</f>
        <v>NK31</v>
      </c>
      <c r="B110" s="28">
        <v>4</v>
      </c>
      <c r="C110" s="28">
        <v>352</v>
      </c>
      <c r="D110" s="28">
        <v>68</v>
      </c>
      <c r="E110" s="28">
        <v>26819</v>
      </c>
      <c r="F110" s="28">
        <v>0.89249999999999996</v>
      </c>
      <c r="G110" s="28">
        <v>4.4820000000000002</v>
      </c>
      <c r="H110" s="28">
        <v>1.23E-2</v>
      </c>
      <c r="I110" s="28">
        <v>3.3149999999999999</v>
      </c>
      <c r="J110" s="29"/>
      <c r="K110" s="30"/>
      <c r="L110" s="31"/>
    </row>
    <row r="111" spans="1:12" ht="15" customHeight="1">
      <c r="A111" s="2" t="str">
        <f>HYPERLINK("http://portal.genego.com/cgi/entity_page.cgi?term=100&amp;id=6428","OTX2")</f>
        <v>OTX2</v>
      </c>
      <c r="B111" s="28">
        <v>4</v>
      </c>
      <c r="C111" s="28">
        <v>352</v>
      </c>
      <c r="D111" s="28">
        <v>69</v>
      </c>
      <c r="E111" s="28">
        <v>26819</v>
      </c>
      <c r="F111" s="28">
        <v>0.90559999999999996</v>
      </c>
      <c r="G111" s="28">
        <v>4.4169999999999998</v>
      </c>
      <c r="H111" s="28">
        <v>1.2919999999999999E-2</v>
      </c>
      <c r="I111" s="28">
        <v>3.2770000000000001</v>
      </c>
      <c r="J111" s="29"/>
      <c r="K111" s="30"/>
      <c r="L111" s="31"/>
    </row>
    <row r="112" spans="1:12" ht="15" customHeight="1">
      <c r="A112" s="2" t="str">
        <f>HYPERLINK("http://portal.genego.com/cgi/entity_page.cgi?term=100&amp;id=250","Evi-1")</f>
        <v>Evi-1</v>
      </c>
      <c r="B112" s="28">
        <v>5</v>
      </c>
      <c r="C112" s="28">
        <v>352</v>
      </c>
      <c r="D112" s="28">
        <v>87</v>
      </c>
      <c r="E112" s="28">
        <v>26819</v>
      </c>
      <c r="F112" s="28">
        <v>1.1419999999999999</v>
      </c>
      <c r="G112" s="28">
        <v>4.3789999999999996</v>
      </c>
      <c r="H112" s="28">
        <v>5.8139999999999997E-3</v>
      </c>
      <c r="I112" s="28">
        <v>3.64</v>
      </c>
      <c r="J112" s="29"/>
      <c r="K112" s="30"/>
      <c r="L112" s="31"/>
    </row>
    <row r="113" spans="1:12" ht="15" customHeight="1">
      <c r="A113" s="2" t="str">
        <f>HYPERLINK("http://portal.genego.com/cgi/entity_page.cgi?term=100&amp;id=1100","PR (nuclear)")</f>
        <v>PR (nuclear)</v>
      </c>
      <c r="B113" s="28">
        <v>15</v>
      </c>
      <c r="C113" s="28">
        <v>352</v>
      </c>
      <c r="D113" s="28">
        <v>263</v>
      </c>
      <c r="E113" s="28">
        <v>26819</v>
      </c>
      <c r="F113" s="28">
        <v>3.452</v>
      </c>
      <c r="G113" s="28">
        <v>4.3449999999999998</v>
      </c>
      <c r="H113" s="28">
        <v>2.3649999999999998E-6</v>
      </c>
      <c r="I113" s="28">
        <v>6.2880000000000003</v>
      </c>
      <c r="J113" s="29"/>
      <c r="K113" s="30"/>
      <c r="L113" s="31"/>
    </row>
    <row r="114" spans="1:12" ht="15" customHeight="1">
      <c r="A114" s="2" t="str">
        <f>HYPERLINK("http://portal.genego.com/cgi/entity_page.cgi?term=100&amp;id=4369","PAX5")</f>
        <v>PAX5</v>
      </c>
      <c r="B114" s="28">
        <v>8</v>
      </c>
      <c r="C114" s="28">
        <v>352</v>
      </c>
      <c r="D114" s="28">
        <v>141</v>
      </c>
      <c r="E114" s="28">
        <v>26819</v>
      </c>
      <c r="F114" s="28">
        <v>1.851</v>
      </c>
      <c r="G114" s="28">
        <v>4.3230000000000004</v>
      </c>
      <c r="H114" s="28">
        <v>5.6729999999999997E-4</v>
      </c>
      <c r="I114" s="28">
        <v>4.5620000000000003</v>
      </c>
      <c r="J114" s="29"/>
      <c r="K114" s="30"/>
      <c r="L114" s="31"/>
    </row>
    <row r="115" spans="1:12" ht="15" customHeight="1">
      <c r="A115" s="2" t="str">
        <f>HYPERLINK("http://portal.genego.com/cgi/entity_page.cgi?term=100&amp;id=4346","RARalpha")</f>
        <v>RARalpha</v>
      </c>
      <c r="B115" s="28">
        <v>8</v>
      </c>
      <c r="C115" s="28">
        <v>352</v>
      </c>
      <c r="D115" s="28">
        <v>141</v>
      </c>
      <c r="E115" s="28">
        <v>26819</v>
      </c>
      <c r="F115" s="28">
        <v>1.851</v>
      </c>
      <c r="G115" s="28">
        <v>4.3230000000000004</v>
      </c>
      <c r="H115" s="28">
        <v>5.6729999999999997E-4</v>
      </c>
      <c r="I115" s="28">
        <v>4.5620000000000003</v>
      </c>
      <c r="J115" s="29"/>
      <c r="K115" s="30"/>
      <c r="L115" s="31"/>
    </row>
    <row r="116" spans="1:12" ht="15" customHeight="1">
      <c r="A116" s="2" t="str">
        <f>HYPERLINK("http://portal.genego.com/cgi/entity_page.cgi?term=100&amp;id=6098","c-Rel (NF-kB subunit)")</f>
        <v>c-Rel (NF-kB subunit)</v>
      </c>
      <c r="B116" s="28">
        <v>12</v>
      </c>
      <c r="C116" s="28">
        <v>352</v>
      </c>
      <c r="D116" s="28">
        <v>212</v>
      </c>
      <c r="E116" s="28">
        <v>26819</v>
      </c>
      <c r="F116" s="28">
        <v>2.7829999999999999</v>
      </c>
      <c r="G116" s="28">
        <v>4.3129999999999997</v>
      </c>
      <c r="H116" s="28">
        <v>2.603E-5</v>
      </c>
      <c r="I116" s="28">
        <v>5.5839999999999996</v>
      </c>
      <c r="J116" s="29"/>
      <c r="K116" s="30"/>
      <c r="L116" s="31"/>
    </row>
    <row r="117" spans="1:12" ht="15" customHeight="1">
      <c r="A117" s="2" t="str">
        <f>HYPERLINK("http://portal.genego.com/cgi/entity_page.cgi?term=100&amp;id=-1214956589","SREBP1 (nuclear)")</f>
        <v>SREBP1 (nuclear)</v>
      </c>
      <c r="B117" s="28">
        <v>8</v>
      </c>
      <c r="C117" s="28">
        <v>352</v>
      </c>
      <c r="D117" s="28">
        <v>142</v>
      </c>
      <c r="E117" s="28">
        <v>26819</v>
      </c>
      <c r="F117" s="28">
        <v>1.8640000000000001</v>
      </c>
      <c r="G117" s="28">
        <v>4.2919999999999998</v>
      </c>
      <c r="H117" s="28">
        <v>5.9440000000000003E-4</v>
      </c>
      <c r="I117" s="28">
        <v>4.5369999999999999</v>
      </c>
      <c r="J117" s="29" t="s">
        <v>368</v>
      </c>
      <c r="K117" s="1">
        <v>1</v>
      </c>
      <c r="L117" s="31">
        <v>0</v>
      </c>
    </row>
    <row r="118" spans="1:12" ht="15" customHeight="1">
      <c r="A118" s="2" t="str">
        <f>HYPERLINK("http://portal.genego.com/cgi/entity_page.cgi?term=100&amp;id=4366","C/EBPdelta")</f>
        <v>C/EBPdelta</v>
      </c>
      <c r="B118" s="28">
        <v>9</v>
      </c>
      <c r="C118" s="28">
        <v>352</v>
      </c>
      <c r="D118" s="28">
        <v>160</v>
      </c>
      <c r="E118" s="28">
        <v>26819</v>
      </c>
      <c r="F118" s="28">
        <v>2.1</v>
      </c>
      <c r="G118" s="28">
        <v>4.2859999999999996</v>
      </c>
      <c r="H118" s="28">
        <v>2.7700000000000001E-4</v>
      </c>
      <c r="I118" s="28">
        <v>4.8070000000000004</v>
      </c>
      <c r="J118" s="29"/>
      <c r="K118" s="30"/>
      <c r="L118" s="31"/>
    </row>
    <row r="119" spans="1:12" ht="15" customHeight="1">
      <c r="A119" s="2" t="str">
        <f>HYPERLINK("http://portal.genego.com/cgi/entity_page.cgi?term=100&amp;id=2686","EGR2 (Krox20)")</f>
        <v>EGR2 (Krox20)</v>
      </c>
      <c r="B119" s="28">
        <v>6</v>
      </c>
      <c r="C119" s="28">
        <v>352</v>
      </c>
      <c r="D119" s="28">
        <v>107</v>
      </c>
      <c r="E119" s="28">
        <v>26819</v>
      </c>
      <c r="F119" s="28">
        <v>1.4039999999999999</v>
      </c>
      <c r="G119" s="28">
        <v>4.2720000000000002</v>
      </c>
      <c r="H119" s="28">
        <v>2.9160000000000002E-3</v>
      </c>
      <c r="I119" s="28">
        <v>3.911</v>
      </c>
      <c r="J119" s="29"/>
      <c r="K119" s="30"/>
      <c r="L119" s="31"/>
    </row>
    <row r="120" spans="1:12" ht="15" customHeight="1">
      <c r="A120" s="2" t="str">
        <f>HYPERLINK("http://portal.genego.com/cgi/entity_page.cgi?term=100&amp;id=-768284125","ATF-4")</f>
        <v>ATF-4</v>
      </c>
      <c r="B120" s="28">
        <v>8</v>
      </c>
      <c r="C120" s="28">
        <v>352</v>
      </c>
      <c r="D120" s="28">
        <v>144</v>
      </c>
      <c r="E120" s="28">
        <v>26819</v>
      </c>
      <c r="F120" s="28">
        <v>1.89</v>
      </c>
      <c r="G120" s="28">
        <v>4.2329999999999997</v>
      </c>
      <c r="H120" s="28">
        <v>6.5180000000000001E-4</v>
      </c>
      <c r="I120" s="28">
        <v>4.4859999999999998</v>
      </c>
      <c r="J120" s="29"/>
      <c r="K120" s="30"/>
      <c r="L120" s="31"/>
    </row>
    <row r="121" spans="1:12" ht="15" customHeight="1">
      <c r="A121" s="2" t="str">
        <f>HYPERLINK("http://portal.genego.com/cgi/entity_page.cgi?term=100&amp;id=4359","HIF1A")</f>
        <v>HIF1A</v>
      </c>
      <c r="B121" s="28">
        <v>36</v>
      </c>
      <c r="C121" s="28">
        <v>352</v>
      </c>
      <c r="D121" s="28">
        <v>650</v>
      </c>
      <c r="E121" s="28">
        <v>26819</v>
      </c>
      <c r="F121" s="28">
        <v>8.5310000000000006</v>
      </c>
      <c r="G121" s="28">
        <v>4.22</v>
      </c>
      <c r="H121" s="28">
        <v>4.1519999999999999E-13</v>
      </c>
      <c r="I121" s="28">
        <v>9.5830000000000002</v>
      </c>
      <c r="J121" s="29"/>
      <c r="K121" s="30"/>
      <c r="L121" s="31"/>
    </row>
    <row r="122" spans="1:12" ht="15" customHeight="1">
      <c r="A122" s="2" t="str">
        <f>HYPERLINK("http://portal.genego.com/cgi/entity_page.cgi?term=100&amp;id=-630625533","PAX6")</f>
        <v>PAX6</v>
      </c>
      <c r="B122" s="28">
        <v>7</v>
      </c>
      <c r="C122" s="28">
        <v>352</v>
      </c>
      <c r="D122" s="28">
        <v>128</v>
      </c>
      <c r="E122" s="28">
        <v>26819</v>
      </c>
      <c r="F122" s="28">
        <v>1.68</v>
      </c>
      <c r="G122" s="28">
        <v>4.1669999999999998</v>
      </c>
      <c r="H122" s="28">
        <v>1.5399999999999999E-3</v>
      </c>
      <c r="I122" s="28">
        <v>4.141</v>
      </c>
      <c r="J122" s="29"/>
      <c r="K122" s="30"/>
      <c r="L122" s="31"/>
    </row>
    <row r="123" spans="1:12" ht="15" customHeight="1">
      <c r="A123" s="2" t="str">
        <f>HYPERLINK("http://portal.genego.com/cgi/entity_page.cgi?term=100&amp;id=2186","Lef-1")</f>
        <v>Lef-1</v>
      </c>
      <c r="B123" s="28">
        <v>8</v>
      </c>
      <c r="C123" s="28">
        <v>352</v>
      </c>
      <c r="D123" s="28">
        <v>147</v>
      </c>
      <c r="E123" s="28">
        <v>26819</v>
      </c>
      <c r="F123" s="28">
        <v>1.929</v>
      </c>
      <c r="G123" s="28">
        <v>4.1459999999999999</v>
      </c>
      <c r="H123" s="28">
        <v>7.4620000000000003E-4</v>
      </c>
      <c r="I123" s="28">
        <v>4.4109999999999996</v>
      </c>
      <c r="J123" s="29"/>
      <c r="K123" s="30"/>
      <c r="L123" s="31"/>
    </row>
    <row r="124" spans="1:12" ht="15" customHeight="1">
      <c r="A124" s="2" t="str">
        <f>HYPERLINK("http://portal.genego.com/cgi/entity_page.cgi?term=100&amp;id=-765772717","YB-1")</f>
        <v>YB-1</v>
      </c>
      <c r="B124" s="28">
        <v>7</v>
      </c>
      <c r="C124" s="28">
        <v>352</v>
      </c>
      <c r="D124" s="28">
        <v>130</v>
      </c>
      <c r="E124" s="28">
        <v>26819</v>
      </c>
      <c r="F124" s="28">
        <v>1.706</v>
      </c>
      <c r="G124" s="28">
        <v>4.1029999999999998</v>
      </c>
      <c r="H124" s="28">
        <v>1.683E-3</v>
      </c>
      <c r="I124" s="28">
        <v>4.0890000000000004</v>
      </c>
      <c r="J124" s="29"/>
      <c r="K124" s="30"/>
      <c r="L124" s="31"/>
    </row>
    <row r="125" spans="1:12" ht="15" customHeight="1">
      <c r="A125" s="2" t="str">
        <f>HYPERLINK("http://portal.genego.com/cgi/entity_page.cgi?term=100&amp;id=2636","C/EBPalpha")</f>
        <v>C/EBPalpha</v>
      </c>
      <c r="B125" s="28">
        <v>20</v>
      </c>
      <c r="C125" s="28">
        <v>352</v>
      </c>
      <c r="D125" s="28">
        <v>374</v>
      </c>
      <c r="E125" s="28">
        <v>26819</v>
      </c>
      <c r="F125" s="28">
        <v>4.9089999999999998</v>
      </c>
      <c r="G125" s="28">
        <v>4.0739999999999998</v>
      </c>
      <c r="H125" s="28">
        <v>1.402E-7</v>
      </c>
      <c r="I125" s="28">
        <v>6.9050000000000002</v>
      </c>
      <c r="J125" s="29"/>
      <c r="K125" s="30"/>
      <c r="L125" s="31"/>
    </row>
    <row r="126" spans="1:12" ht="15" customHeight="1">
      <c r="A126" s="2" t="str">
        <f>HYPERLINK("http://portal.genego.com/cgi/entity_page.cgi?term=100&amp;id=2488","MYOD")</f>
        <v>MYOD</v>
      </c>
      <c r="B126" s="28">
        <v>9</v>
      </c>
      <c r="C126" s="28">
        <v>352</v>
      </c>
      <c r="D126" s="28">
        <v>169</v>
      </c>
      <c r="E126" s="28">
        <v>26819</v>
      </c>
      <c r="F126" s="28">
        <v>2.218</v>
      </c>
      <c r="G126" s="28">
        <v>4.0570000000000004</v>
      </c>
      <c r="H126" s="28">
        <v>4.1429999999999999E-4</v>
      </c>
      <c r="I126" s="28">
        <v>4.5979999999999999</v>
      </c>
      <c r="J126" s="29"/>
      <c r="K126" s="30"/>
      <c r="L126" s="31"/>
    </row>
    <row r="127" spans="1:12" ht="15" customHeight="1">
      <c r="A127" s="2" t="str">
        <f>HYPERLINK("http://portal.genego.com/cgi/entity_page.cgi?term=100&amp;id=151","COUP-TFII")</f>
        <v>COUP-TFII</v>
      </c>
      <c r="B127" s="28">
        <v>5</v>
      </c>
      <c r="C127" s="28">
        <v>352</v>
      </c>
      <c r="D127" s="28">
        <v>94</v>
      </c>
      <c r="E127" s="28">
        <v>26819</v>
      </c>
      <c r="F127" s="28">
        <v>1.234</v>
      </c>
      <c r="G127" s="28">
        <v>4.0529999999999999</v>
      </c>
      <c r="H127" s="28">
        <v>8.0219999999999996E-3</v>
      </c>
      <c r="I127" s="28">
        <v>3.419</v>
      </c>
      <c r="J127" s="29"/>
      <c r="K127" s="30"/>
      <c r="L127" s="31"/>
    </row>
    <row r="128" spans="1:12" ht="15" customHeight="1">
      <c r="A128" s="2" t="str">
        <f>HYPERLINK("http://portal.genego.com/cgi/entity_page.cgi?term=100&amp;id=503","Max")</f>
        <v>Max</v>
      </c>
      <c r="B128" s="28">
        <v>5</v>
      </c>
      <c r="C128" s="28">
        <v>352</v>
      </c>
      <c r="D128" s="28">
        <v>94</v>
      </c>
      <c r="E128" s="28">
        <v>26819</v>
      </c>
      <c r="F128" s="28">
        <v>1.234</v>
      </c>
      <c r="G128" s="28">
        <v>4.0529999999999999</v>
      </c>
      <c r="H128" s="28">
        <v>8.0219999999999996E-3</v>
      </c>
      <c r="I128" s="28">
        <v>3.419</v>
      </c>
      <c r="J128" s="29"/>
      <c r="K128" s="30"/>
      <c r="L128" s="31"/>
    </row>
    <row r="129" spans="1:12" ht="15" customHeight="1">
      <c r="A129" s="2" t="str">
        <f>HYPERLINK("http://portal.genego.com/cgi/entity_page.cgi?term=100&amp;id=-531883558","E2A")</f>
        <v>E2A</v>
      </c>
      <c r="B129" s="28">
        <v>6</v>
      </c>
      <c r="C129" s="28">
        <v>352</v>
      </c>
      <c r="D129" s="28">
        <v>113</v>
      </c>
      <c r="E129" s="28">
        <v>26819</v>
      </c>
      <c r="F129" s="28">
        <v>1.4830000000000001</v>
      </c>
      <c r="G129" s="28">
        <v>4.0460000000000003</v>
      </c>
      <c r="H129" s="28">
        <v>3.8189999999999999E-3</v>
      </c>
      <c r="I129" s="28">
        <v>3.7410000000000001</v>
      </c>
      <c r="J129" s="29"/>
      <c r="K129" s="30"/>
      <c r="L129" s="31"/>
    </row>
    <row r="130" spans="1:12" ht="15" customHeight="1">
      <c r="A130" s="2" t="str">
        <f>HYPERLINK("http://portal.genego.com/cgi/entity_page.cgi?term=100&amp;id=1076","p73")</f>
        <v>p73</v>
      </c>
      <c r="B130" s="28">
        <v>8</v>
      </c>
      <c r="C130" s="28">
        <v>352</v>
      </c>
      <c r="D130" s="28">
        <v>151</v>
      </c>
      <c r="E130" s="28">
        <v>26819</v>
      </c>
      <c r="F130" s="28">
        <v>1.982</v>
      </c>
      <c r="G130" s="28">
        <v>4.0369999999999999</v>
      </c>
      <c r="H130" s="28">
        <v>8.8889999999999998E-4</v>
      </c>
      <c r="I130" s="28">
        <v>4.3150000000000004</v>
      </c>
      <c r="J130" s="29"/>
      <c r="K130" s="30"/>
      <c r="L130" s="31"/>
    </row>
    <row r="131" spans="1:12" ht="15" customHeight="1">
      <c r="A131" s="2" t="str">
        <f>HYPERLINK("http://portal.genego.com/cgi/entity_page.cgi?term=100&amp;id=6076","ARNT")</f>
        <v>ARNT</v>
      </c>
      <c r="B131" s="28">
        <v>4</v>
      </c>
      <c r="C131" s="28">
        <v>352</v>
      </c>
      <c r="D131" s="28">
        <v>76</v>
      </c>
      <c r="E131" s="28">
        <v>26819</v>
      </c>
      <c r="F131" s="28">
        <v>0.99750000000000005</v>
      </c>
      <c r="G131" s="28">
        <v>4.01</v>
      </c>
      <c r="H131" s="28">
        <v>1.7860000000000001E-2</v>
      </c>
      <c r="I131" s="28">
        <v>3.03</v>
      </c>
      <c r="J131" s="29"/>
      <c r="K131" s="30"/>
      <c r="L131" s="31"/>
    </row>
    <row r="132" spans="1:12" ht="15" customHeight="1">
      <c r="A132" s="2" t="str">
        <f>HYPERLINK("http://portal.genego.com/cgi/entity_page.cgi?term=100&amp;id=4333","HNF3-beta")</f>
        <v>HNF3-beta</v>
      </c>
      <c r="B132" s="28">
        <v>15</v>
      </c>
      <c r="C132" s="28">
        <v>352</v>
      </c>
      <c r="D132" s="28">
        <v>288</v>
      </c>
      <c r="E132" s="28">
        <v>26819</v>
      </c>
      <c r="F132" s="28">
        <v>3.78</v>
      </c>
      <c r="G132" s="28">
        <v>3.968</v>
      </c>
      <c r="H132" s="28">
        <v>7.1269999999999997E-6</v>
      </c>
      <c r="I132" s="28">
        <v>5.8410000000000002</v>
      </c>
      <c r="J132" s="29"/>
      <c r="K132" s="30"/>
      <c r="L132" s="31"/>
    </row>
    <row r="133" spans="1:12" ht="15" customHeight="1">
      <c r="A133" s="2" t="str">
        <f>HYPERLINK("http://portal.genego.com/cgi/entity_page.cgi?term=100&amp;id=4387","EGR1")</f>
        <v>EGR1</v>
      </c>
      <c r="B133" s="28">
        <v>23</v>
      </c>
      <c r="C133" s="28">
        <v>352</v>
      </c>
      <c r="D133" s="28">
        <v>442</v>
      </c>
      <c r="E133" s="28">
        <v>26819</v>
      </c>
      <c r="F133" s="28">
        <v>5.8010000000000002</v>
      </c>
      <c r="G133" s="28">
        <v>3.9649999999999999</v>
      </c>
      <c r="H133" s="28">
        <v>2.639E-8</v>
      </c>
      <c r="I133" s="28">
        <v>7.2480000000000002</v>
      </c>
      <c r="J133" s="29"/>
      <c r="K133" s="30"/>
      <c r="L133" s="31"/>
    </row>
    <row r="134" spans="1:12" ht="15" customHeight="1">
      <c r="A134" s="2" t="str">
        <f>HYPERLINK("http://portal.genego.com/cgi/entity_page.cgi?term=100&amp;id=-2007163176","KLF4")</f>
        <v>KLF4</v>
      </c>
      <c r="B134" s="28">
        <v>16</v>
      </c>
      <c r="C134" s="28">
        <v>352</v>
      </c>
      <c r="D134" s="28">
        <v>310</v>
      </c>
      <c r="E134" s="28">
        <v>26819</v>
      </c>
      <c r="F134" s="28">
        <v>4.069</v>
      </c>
      <c r="G134" s="28">
        <v>3.9319999999999999</v>
      </c>
      <c r="H134" s="28">
        <v>3.9700000000000001E-6</v>
      </c>
      <c r="I134" s="28">
        <v>5.9889999999999999</v>
      </c>
      <c r="J134" s="29"/>
      <c r="K134" s="30"/>
      <c r="L134" s="31"/>
    </row>
    <row r="135" spans="1:12" ht="15" customHeight="1">
      <c r="A135" s="2" t="str">
        <f>HYPERLINK("http://portal.genego.com/cgi/entity_page.cgi?term=100&amp;id=9063","RelA (p65 NF-kB subunit)")</f>
        <v>RelA (p65 NF-kB subunit)</v>
      </c>
      <c r="B135" s="28">
        <v>44</v>
      </c>
      <c r="C135" s="28">
        <v>352</v>
      </c>
      <c r="D135" s="28">
        <v>865</v>
      </c>
      <c r="E135" s="28">
        <v>26819</v>
      </c>
      <c r="F135" s="28">
        <v>11.35</v>
      </c>
      <c r="G135" s="28">
        <v>3.8759999999999999</v>
      </c>
      <c r="H135" s="28">
        <v>1.7010000000000001E-14</v>
      </c>
      <c r="I135" s="28">
        <v>9.9139999999999997</v>
      </c>
      <c r="J135" s="29"/>
      <c r="K135" s="30"/>
      <c r="L135" s="31"/>
    </row>
    <row r="136" spans="1:12" ht="15" customHeight="1">
      <c r="A136" s="2" t="str">
        <f>HYPERLINK("http://portal.genego.com/cgi/entity_page.cgi?term=100&amp;id=4275","HNF3-alpha")</f>
        <v>HNF3-alpha</v>
      </c>
      <c r="B136" s="28">
        <v>11</v>
      </c>
      <c r="C136" s="28">
        <v>352</v>
      </c>
      <c r="D136" s="28">
        <v>217</v>
      </c>
      <c r="E136" s="28">
        <v>26819</v>
      </c>
      <c r="F136" s="28">
        <v>2.8479999999999999</v>
      </c>
      <c r="G136" s="28">
        <v>3.8620000000000001</v>
      </c>
      <c r="H136" s="28">
        <v>1.5009999999999999E-4</v>
      </c>
      <c r="I136" s="28">
        <v>4.8819999999999997</v>
      </c>
      <c r="J136" s="29"/>
      <c r="K136" s="30"/>
      <c r="L136" s="31"/>
    </row>
    <row r="137" spans="1:12" ht="15" customHeight="1">
      <c r="A137" s="2" t="str">
        <f>HYPERLINK("http://portal.genego.com/cgi/entity_page.cgi?term=100&amp;id=2790","NFYA")</f>
        <v>NFYA</v>
      </c>
      <c r="B137" s="28">
        <v>8</v>
      </c>
      <c r="C137" s="28">
        <v>352</v>
      </c>
      <c r="D137" s="28">
        <v>158</v>
      </c>
      <c r="E137" s="28">
        <v>26819</v>
      </c>
      <c r="F137" s="28">
        <v>2.0739999999999998</v>
      </c>
      <c r="G137" s="28">
        <v>3.8580000000000001</v>
      </c>
      <c r="H137" s="28">
        <v>1.191E-3</v>
      </c>
      <c r="I137" s="28">
        <v>4.1550000000000002</v>
      </c>
      <c r="J137" s="29"/>
      <c r="K137" s="30"/>
      <c r="L137" s="31"/>
    </row>
    <row r="138" spans="1:12" ht="15" customHeight="1">
      <c r="A138" s="2" t="str">
        <f>HYPERLINK("http://portal.genego.com/cgi/entity_page.cgi?term=100&amp;id=1075","p53")</f>
        <v>p53</v>
      </c>
      <c r="B138" s="28">
        <v>60</v>
      </c>
      <c r="C138" s="28">
        <v>352</v>
      </c>
      <c r="D138" s="28">
        <v>1209</v>
      </c>
      <c r="E138" s="28">
        <v>26819</v>
      </c>
      <c r="F138" s="28">
        <v>15.87</v>
      </c>
      <c r="G138" s="28">
        <v>3.7810000000000001</v>
      </c>
      <c r="H138" s="28">
        <v>4.8309999999999996E-19</v>
      </c>
      <c r="I138" s="28">
        <v>11.41</v>
      </c>
      <c r="J138" s="29"/>
      <c r="K138" s="30"/>
      <c r="L138" s="31"/>
    </row>
    <row r="139" spans="1:12" ht="15" customHeight="1">
      <c r="A139" s="2" t="str">
        <f>HYPERLINK("http://portal.genego.com/cgi/entity_page.cgi?term=100&amp;id=4311","C/EBPbeta")</f>
        <v>C/EBPbeta</v>
      </c>
      <c r="B139" s="28">
        <v>30</v>
      </c>
      <c r="C139" s="28">
        <v>352</v>
      </c>
      <c r="D139" s="28">
        <v>609</v>
      </c>
      <c r="E139" s="28">
        <v>26819</v>
      </c>
      <c r="F139" s="28">
        <v>7.9930000000000003</v>
      </c>
      <c r="G139" s="28">
        <v>3.7530000000000001</v>
      </c>
      <c r="H139" s="28">
        <v>6.8610000000000004E-10</v>
      </c>
      <c r="I139" s="28">
        <v>7.9260000000000002</v>
      </c>
      <c r="J139" s="29"/>
      <c r="K139" s="30"/>
      <c r="L139" s="31"/>
    </row>
    <row r="140" spans="1:12" ht="15" customHeight="1">
      <c r="A140" s="2" t="str">
        <f>HYPERLINK("http://portal.genego.com/cgi/entity_page.cgi?term=100&amp;id=237","ESR2")</f>
        <v>ESR2</v>
      </c>
      <c r="B140" s="28">
        <v>7</v>
      </c>
      <c r="C140" s="28">
        <v>352</v>
      </c>
      <c r="D140" s="28">
        <v>143</v>
      </c>
      <c r="E140" s="28">
        <v>26819</v>
      </c>
      <c r="F140" s="28">
        <v>1.877</v>
      </c>
      <c r="G140" s="28">
        <v>3.73</v>
      </c>
      <c r="H140" s="28">
        <v>2.8830000000000001E-3</v>
      </c>
      <c r="I140" s="28">
        <v>3.774</v>
      </c>
      <c r="J140" s="29"/>
      <c r="K140" s="30"/>
      <c r="L140" s="31"/>
    </row>
    <row r="141" spans="1:12" ht="15" customHeight="1">
      <c r="A141" s="2" t="str">
        <f>HYPERLINK("http://portal.genego.com/cgi/entity_page.cgi?term=100&amp;id=6059","FOXM1")</f>
        <v>FOXM1</v>
      </c>
      <c r="B141" s="28">
        <v>6</v>
      </c>
      <c r="C141" s="28">
        <v>352</v>
      </c>
      <c r="D141" s="28">
        <v>123</v>
      </c>
      <c r="E141" s="28">
        <v>26819</v>
      </c>
      <c r="F141" s="28">
        <v>1.6140000000000001</v>
      </c>
      <c r="G141" s="28">
        <v>3.7170000000000001</v>
      </c>
      <c r="H141" s="28">
        <v>5.764E-3</v>
      </c>
      <c r="I141" s="28">
        <v>3.4820000000000002</v>
      </c>
      <c r="J141" s="29"/>
      <c r="K141" s="30"/>
      <c r="L141" s="31"/>
    </row>
    <row r="142" spans="1:12" ht="15" customHeight="1">
      <c r="A142" s="2" t="str">
        <f>HYPERLINK("http://portal.genego.com/cgi/entity_page.cgi?term=100&amp;id=4259","GCR-alpha")</f>
        <v>GCR-alpha</v>
      </c>
      <c r="B142" s="28">
        <v>56</v>
      </c>
      <c r="C142" s="28">
        <v>352</v>
      </c>
      <c r="D142" s="28">
        <v>1150</v>
      </c>
      <c r="E142" s="28">
        <v>26819</v>
      </c>
      <c r="F142" s="28">
        <v>15.09</v>
      </c>
      <c r="G142" s="28">
        <v>3.71</v>
      </c>
      <c r="H142" s="28">
        <v>1.994E-17</v>
      </c>
      <c r="I142" s="28">
        <v>10.83</v>
      </c>
      <c r="J142" s="29"/>
      <c r="K142" s="30"/>
      <c r="L142" s="31"/>
    </row>
    <row r="143" spans="1:12" ht="15" customHeight="1">
      <c r="A143" s="2" t="str">
        <f>HYPERLINK("http://portal.genego.com/cgi/entity_page.cgi?term=100&amp;id=2182","FKHR")</f>
        <v>FKHR</v>
      </c>
      <c r="B143" s="28">
        <v>13</v>
      </c>
      <c r="C143" s="28">
        <v>352</v>
      </c>
      <c r="D143" s="28">
        <v>268</v>
      </c>
      <c r="E143" s="28">
        <v>26819</v>
      </c>
      <c r="F143" s="28">
        <v>3.5179999999999998</v>
      </c>
      <c r="G143" s="28">
        <v>3.6960000000000002</v>
      </c>
      <c r="H143" s="28">
        <v>6.0239999999999999E-5</v>
      </c>
      <c r="I143" s="28">
        <v>5.1150000000000002</v>
      </c>
      <c r="J143" s="29"/>
      <c r="K143" s="30"/>
      <c r="L143" s="31"/>
    </row>
    <row r="144" spans="1:12" ht="15" customHeight="1">
      <c r="A144" s="2" t="str">
        <f>HYPERLINK("http://portal.genego.com/cgi/entity_page.cgi?term=100&amp;id=4322","SMAD3")</f>
        <v>SMAD3</v>
      </c>
      <c r="B144" s="28">
        <v>12</v>
      </c>
      <c r="C144" s="28">
        <v>352</v>
      </c>
      <c r="D144" s="28">
        <v>253</v>
      </c>
      <c r="E144" s="28">
        <v>26819</v>
      </c>
      <c r="F144" s="28">
        <v>3.3210000000000002</v>
      </c>
      <c r="G144" s="28">
        <v>3.6139999999999999</v>
      </c>
      <c r="H144" s="28">
        <v>1.4200000000000001E-4</v>
      </c>
      <c r="I144" s="28">
        <v>4.8170000000000002</v>
      </c>
      <c r="J144" s="29"/>
      <c r="K144" s="30"/>
      <c r="L144" s="31"/>
    </row>
    <row r="145" spans="1:12" ht="15" customHeight="1">
      <c r="A145" s="2" t="str">
        <f>HYPERLINK("http://portal.genego.com/cgi/entity_page.cgi?term=100&amp;id=1181","VDR")</f>
        <v>VDR</v>
      </c>
      <c r="B145" s="28">
        <v>11</v>
      </c>
      <c r="C145" s="28">
        <v>352</v>
      </c>
      <c r="D145" s="28">
        <v>232</v>
      </c>
      <c r="E145" s="28">
        <v>26819</v>
      </c>
      <c r="F145" s="28">
        <v>3.0449999999999999</v>
      </c>
      <c r="G145" s="28">
        <v>3.6120000000000001</v>
      </c>
      <c r="H145" s="28">
        <v>2.678E-4</v>
      </c>
      <c r="I145" s="28">
        <v>4.609</v>
      </c>
      <c r="J145" s="29"/>
      <c r="K145" s="30"/>
      <c r="L145" s="31"/>
    </row>
    <row r="146" spans="1:12" ht="15" customHeight="1">
      <c r="A146" s="2" t="str">
        <f>HYPERLINK("http://portal.genego.com/cgi/entity_page.cgi?term=100&amp;id=4406","CDX2")</f>
        <v>CDX2</v>
      </c>
      <c r="B146" s="28">
        <v>6</v>
      </c>
      <c r="C146" s="28">
        <v>352</v>
      </c>
      <c r="D146" s="28">
        <v>127</v>
      </c>
      <c r="E146" s="28">
        <v>26819</v>
      </c>
      <c r="F146" s="28">
        <v>1.667</v>
      </c>
      <c r="G146" s="28">
        <v>3.6</v>
      </c>
      <c r="H146" s="28">
        <v>6.7149999999999996E-3</v>
      </c>
      <c r="I146" s="28">
        <v>3.3860000000000001</v>
      </c>
      <c r="J146" s="29"/>
      <c r="K146" s="30"/>
      <c r="L146" s="31"/>
    </row>
    <row r="147" spans="1:12" ht="15" customHeight="1">
      <c r="A147" s="2" t="str">
        <f>HYPERLINK("http://portal.genego.com/cgi/entity_page.cgi?term=100&amp;id=58","AHR")</f>
        <v>AHR</v>
      </c>
      <c r="B147" s="28">
        <v>12</v>
      </c>
      <c r="C147" s="28">
        <v>352</v>
      </c>
      <c r="D147" s="28">
        <v>257</v>
      </c>
      <c r="E147" s="28">
        <v>26819</v>
      </c>
      <c r="F147" s="28">
        <v>3.3730000000000002</v>
      </c>
      <c r="G147" s="28">
        <v>3.5579999999999998</v>
      </c>
      <c r="H147" s="28">
        <v>1.6430000000000001E-4</v>
      </c>
      <c r="I147" s="28">
        <v>4.7510000000000003</v>
      </c>
      <c r="J147" s="29"/>
      <c r="K147" s="30"/>
      <c r="L147" s="31"/>
    </row>
    <row r="148" spans="1:12" ht="15" customHeight="1">
      <c r="A148" s="2" t="str">
        <f>HYPERLINK("http://portal.genego.com/cgi/entity_page.cgi?term=100&amp;id=4297","SOX9")</f>
        <v>SOX9</v>
      </c>
      <c r="B148" s="28">
        <v>7</v>
      </c>
      <c r="C148" s="28">
        <v>352</v>
      </c>
      <c r="D148" s="28">
        <v>150</v>
      </c>
      <c r="E148" s="28">
        <v>26819</v>
      </c>
      <c r="F148" s="28">
        <v>1.9690000000000001</v>
      </c>
      <c r="G148" s="28">
        <v>3.556</v>
      </c>
      <c r="H148" s="28">
        <v>3.7559999999999998E-3</v>
      </c>
      <c r="I148" s="28">
        <v>3.62</v>
      </c>
      <c r="J148" s="29"/>
      <c r="K148" s="30"/>
      <c r="L148" s="31"/>
    </row>
    <row r="149" spans="1:12" ht="15" customHeight="1">
      <c r="A149" s="2" t="str">
        <f>HYPERLINK("http://portal.genego.com/cgi/entity_page.cgi?term=100&amp;id=-1923663997","p63")</f>
        <v>p63</v>
      </c>
      <c r="B149" s="28">
        <v>20</v>
      </c>
      <c r="C149" s="28">
        <v>352</v>
      </c>
      <c r="D149" s="28">
        <v>429</v>
      </c>
      <c r="E149" s="28">
        <v>26819</v>
      </c>
      <c r="F149" s="28">
        <v>5.6310000000000002</v>
      </c>
      <c r="G149" s="28">
        <v>3.552</v>
      </c>
      <c r="H149" s="28">
        <v>1.2139999999999999E-6</v>
      </c>
      <c r="I149" s="28">
        <v>6.1449999999999996</v>
      </c>
      <c r="J149" s="29"/>
      <c r="K149" s="30"/>
      <c r="L149" s="31"/>
    </row>
    <row r="150" spans="1:12" ht="15" customHeight="1">
      <c r="A150" s="2" t="str">
        <f>HYPERLINK("http://portal.genego.com/cgi/entity_page.cgi?term=100&amp;id=4372","JunD")</f>
        <v>JunD</v>
      </c>
      <c r="B150" s="28">
        <v>9</v>
      </c>
      <c r="C150" s="28">
        <v>352</v>
      </c>
      <c r="D150" s="28">
        <v>194</v>
      </c>
      <c r="E150" s="28">
        <v>26819</v>
      </c>
      <c r="F150" s="28">
        <v>2.5459999999999998</v>
      </c>
      <c r="G150" s="28">
        <v>3.5350000000000001</v>
      </c>
      <c r="H150" s="28">
        <v>1.1100000000000001E-3</v>
      </c>
      <c r="I150" s="28">
        <v>4.0860000000000003</v>
      </c>
      <c r="J150" s="29" t="s">
        <v>369</v>
      </c>
      <c r="K150" s="1">
        <v>1</v>
      </c>
      <c r="L150" s="31">
        <v>0</v>
      </c>
    </row>
    <row r="151" spans="1:12" ht="15" customHeight="1">
      <c r="A151" s="2" t="str">
        <f>HYPERLINK("http://portal.genego.com/cgi/entity_page.cgi?term=100&amp;id=2846","JunB")</f>
        <v>JunB</v>
      </c>
      <c r="B151" s="28">
        <v>6</v>
      </c>
      <c r="C151" s="28">
        <v>352</v>
      </c>
      <c r="D151" s="28">
        <v>130</v>
      </c>
      <c r="E151" s="28">
        <v>26819</v>
      </c>
      <c r="F151" s="28">
        <v>1.706</v>
      </c>
      <c r="G151" s="28">
        <v>3.516</v>
      </c>
      <c r="H151" s="28">
        <v>7.4989999999999996E-3</v>
      </c>
      <c r="I151" s="28">
        <v>3.3170000000000002</v>
      </c>
      <c r="J151" s="29" t="s">
        <v>370</v>
      </c>
      <c r="K151" s="1">
        <v>1</v>
      </c>
      <c r="L151" s="31">
        <v>0</v>
      </c>
    </row>
    <row r="152" spans="1:12" ht="15" customHeight="1">
      <c r="A152" s="2" t="str">
        <f>HYPERLINK("http://portal.genego.com/cgi/entity_page.cgi?term=100&amp;id=611","PPAR-gamma")</f>
        <v>PPAR-gamma</v>
      </c>
      <c r="B152" s="28">
        <v>14</v>
      </c>
      <c r="C152" s="28">
        <v>352</v>
      </c>
      <c r="D152" s="28">
        <v>305</v>
      </c>
      <c r="E152" s="28">
        <v>26819</v>
      </c>
      <c r="F152" s="28">
        <v>4.0030000000000001</v>
      </c>
      <c r="G152" s="28">
        <v>3.4969999999999999</v>
      </c>
      <c r="H152" s="28">
        <v>5.7420000000000003E-5</v>
      </c>
      <c r="I152" s="28">
        <v>5.0579999999999998</v>
      </c>
      <c r="J152" s="29"/>
      <c r="K152" s="30"/>
      <c r="L152" s="31"/>
    </row>
    <row r="153" spans="1:12" ht="15" customHeight="1">
      <c r="A153" s="2" t="str">
        <f>HYPERLINK("http://portal.genego.com/cgi/entity_page.cgi?term=100&amp;id=6436","SMAD1")</f>
        <v>SMAD1</v>
      </c>
      <c r="B153" s="28">
        <v>6</v>
      </c>
      <c r="C153" s="28">
        <v>352</v>
      </c>
      <c r="D153" s="28">
        <v>131</v>
      </c>
      <c r="E153" s="28">
        <v>26819</v>
      </c>
      <c r="F153" s="28">
        <v>1.7190000000000001</v>
      </c>
      <c r="G153" s="28">
        <v>3.49</v>
      </c>
      <c r="H153" s="28">
        <v>7.7749999999999998E-3</v>
      </c>
      <c r="I153" s="28">
        <v>3.294</v>
      </c>
      <c r="J153" s="29"/>
      <c r="K153" s="30"/>
      <c r="L153" s="31"/>
    </row>
    <row r="154" spans="1:12" ht="15" customHeight="1">
      <c r="A154" s="2" t="str">
        <f>HYPERLINK("http://portal.genego.com/cgi/entity_page.cgi?term=100&amp;id=6088","RelB (NF-kB subunit)")</f>
        <v>RelB (NF-kB subunit)</v>
      </c>
      <c r="B154" s="28">
        <v>9</v>
      </c>
      <c r="C154" s="28">
        <v>352</v>
      </c>
      <c r="D154" s="28">
        <v>197</v>
      </c>
      <c r="E154" s="28">
        <v>26819</v>
      </c>
      <c r="F154" s="28">
        <v>2.5859999999999999</v>
      </c>
      <c r="G154" s="28">
        <v>3.4809999999999999</v>
      </c>
      <c r="H154" s="28">
        <v>1.2359999999999999E-3</v>
      </c>
      <c r="I154" s="28">
        <v>4.03</v>
      </c>
      <c r="J154" s="29"/>
      <c r="K154" s="30"/>
      <c r="L154" s="31"/>
    </row>
    <row r="155" spans="1:12" ht="15" customHeight="1">
      <c r="A155" s="2" t="str">
        <f>HYPERLINK("http://portal.genego.com/cgi/entity_page.cgi?term=100&amp;id=9097","ESR1 (nuclear)")</f>
        <v>ESR1 (nuclear)</v>
      </c>
      <c r="B155" s="28">
        <v>57</v>
      </c>
      <c r="C155" s="28">
        <v>352</v>
      </c>
      <c r="D155" s="28">
        <v>1249</v>
      </c>
      <c r="E155" s="28">
        <v>26819</v>
      </c>
      <c r="F155" s="28">
        <v>16.39</v>
      </c>
      <c r="G155" s="28">
        <v>3.4769999999999999</v>
      </c>
      <c r="H155" s="28">
        <v>1.796E-16</v>
      </c>
      <c r="I155" s="28">
        <v>10.34</v>
      </c>
      <c r="J155" s="29"/>
      <c r="K155" s="30"/>
      <c r="L155" s="31"/>
    </row>
    <row r="156" spans="1:12" ht="15" customHeight="1">
      <c r="A156" s="2" t="str">
        <f>HYPERLINK("http://portal.genego.com/cgi/entity_page.cgi?term=100&amp;id=2554","SP3")</f>
        <v>SP3</v>
      </c>
      <c r="B156" s="28">
        <v>23</v>
      </c>
      <c r="C156" s="28">
        <v>352</v>
      </c>
      <c r="D156" s="28">
        <v>511</v>
      </c>
      <c r="E156" s="28">
        <v>26819</v>
      </c>
      <c r="F156" s="28">
        <v>6.7069999999999999</v>
      </c>
      <c r="G156" s="28">
        <v>3.4289999999999998</v>
      </c>
      <c r="H156" s="28">
        <v>3.5390000000000001E-7</v>
      </c>
      <c r="I156" s="28">
        <v>6.3940000000000001</v>
      </c>
      <c r="J156" s="29"/>
      <c r="K156" s="30"/>
      <c r="L156" s="31"/>
    </row>
    <row r="157" spans="1:12" ht="15" customHeight="1">
      <c r="A157" s="2" t="str">
        <f>HYPERLINK("http://portal.genego.com/cgi/entity_page.cgi?term=100&amp;id=4363","GATA-2")</f>
        <v>GATA-2</v>
      </c>
      <c r="B157" s="28">
        <v>9</v>
      </c>
      <c r="C157" s="28">
        <v>352</v>
      </c>
      <c r="D157" s="28">
        <v>201</v>
      </c>
      <c r="E157" s="28">
        <v>26819</v>
      </c>
      <c r="F157" s="28">
        <v>2.6379999999999999</v>
      </c>
      <c r="G157" s="28">
        <v>3.4119999999999999</v>
      </c>
      <c r="H157" s="28">
        <v>1.42E-3</v>
      </c>
      <c r="I157" s="28">
        <v>3.9580000000000002</v>
      </c>
      <c r="J157" s="29"/>
      <c r="K157" s="30"/>
      <c r="L157" s="31"/>
    </row>
    <row r="158" spans="1:12" ht="15" customHeight="1">
      <c r="A158" s="2" t="str">
        <f>HYPERLINK("http://portal.genego.com/cgi/entity_page.cgi?term=100&amp;id=733","SMAD4")</f>
        <v>SMAD4</v>
      </c>
      <c r="B158" s="28">
        <v>10</v>
      </c>
      <c r="C158" s="28">
        <v>352</v>
      </c>
      <c r="D158" s="28">
        <v>224</v>
      </c>
      <c r="E158" s="28">
        <v>26819</v>
      </c>
      <c r="F158" s="28">
        <v>2.94</v>
      </c>
      <c r="G158" s="28">
        <v>3.4009999999999998</v>
      </c>
      <c r="H158" s="28">
        <v>8.0309999999999995E-4</v>
      </c>
      <c r="I158" s="28">
        <v>4.1619999999999999</v>
      </c>
      <c r="J158" s="29"/>
      <c r="K158" s="30"/>
      <c r="L158" s="31"/>
    </row>
    <row r="159" spans="1:12" ht="15" customHeight="1">
      <c r="A159" s="2" t="str">
        <f>HYPERLINK("http://portal.genego.com/cgi/entity_page.cgi?term=100&amp;id=4385","ETS1")</f>
        <v>ETS1</v>
      </c>
      <c r="B159" s="28">
        <v>17</v>
      </c>
      <c r="C159" s="28">
        <v>352</v>
      </c>
      <c r="D159" s="28">
        <v>383</v>
      </c>
      <c r="E159" s="28">
        <v>26819</v>
      </c>
      <c r="F159" s="28">
        <v>5.0270000000000001</v>
      </c>
      <c r="G159" s="28">
        <v>3.3820000000000001</v>
      </c>
      <c r="H159" s="28">
        <v>1.451E-5</v>
      </c>
      <c r="I159" s="28">
        <v>5.4139999999999997</v>
      </c>
      <c r="J159" s="29"/>
      <c r="K159" s="30"/>
      <c r="L159" s="31"/>
    </row>
    <row r="160" spans="1:12" ht="15" customHeight="1">
      <c r="A160" s="2" t="str">
        <f>HYPERLINK("http://portal.genego.com/cgi/entity_page.cgi?term=100&amp;id=884","c-Jun")</f>
        <v>c-Jun</v>
      </c>
      <c r="B160" s="28">
        <v>35</v>
      </c>
      <c r="C160" s="28">
        <v>352</v>
      </c>
      <c r="D160" s="28">
        <v>795</v>
      </c>
      <c r="E160" s="28">
        <v>26819</v>
      </c>
      <c r="F160" s="28">
        <v>10.43</v>
      </c>
      <c r="G160" s="28">
        <v>3.3540000000000001</v>
      </c>
      <c r="H160" s="28">
        <v>4.9549999999999999E-10</v>
      </c>
      <c r="I160" s="28">
        <v>7.7709999999999999</v>
      </c>
      <c r="J160" s="29"/>
      <c r="K160" s="30"/>
      <c r="L160" s="31"/>
    </row>
    <row r="161" spans="1:12" ht="15" customHeight="1">
      <c r="A161" s="2" t="str">
        <f>HYPERLINK("http://portal.genego.com/cgi/entity_page.cgi?term=100&amp;id=4374","TCF7L2 (TCF4)")</f>
        <v>TCF7L2 (TCF4)</v>
      </c>
      <c r="B161" s="28">
        <v>16</v>
      </c>
      <c r="C161" s="28">
        <v>352</v>
      </c>
      <c r="D161" s="28">
        <v>371</v>
      </c>
      <c r="E161" s="28">
        <v>26819</v>
      </c>
      <c r="F161" s="28">
        <v>4.8689999999999998</v>
      </c>
      <c r="G161" s="28">
        <v>3.286</v>
      </c>
      <c r="H161" s="28">
        <v>3.6539999999999999E-5</v>
      </c>
      <c r="I161" s="28">
        <v>5.1130000000000004</v>
      </c>
      <c r="J161" s="29" t="s">
        <v>371</v>
      </c>
      <c r="K161" s="1">
        <v>1</v>
      </c>
      <c r="L161" s="31">
        <v>0</v>
      </c>
    </row>
    <row r="162" spans="1:12" ht="15" customHeight="1">
      <c r="A162" s="2" t="str">
        <f>HYPERLINK("http://portal.genego.com/cgi/entity_page.cgi?term=100&amp;id=885","c-Myb")</f>
        <v>c-Myb</v>
      </c>
      <c r="B162" s="28">
        <v>7</v>
      </c>
      <c r="C162" s="28">
        <v>352</v>
      </c>
      <c r="D162" s="28">
        <v>168</v>
      </c>
      <c r="E162" s="28">
        <v>26819</v>
      </c>
      <c r="F162" s="28">
        <v>2.2050000000000001</v>
      </c>
      <c r="G162" s="28">
        <v>3.1749999999999998</v>
      </c>
      <c r="H162" s="28">
        <v>6.9150000000000001E-3</v>
      </c>
      <c r="I162" s="28">
        <v>3.2610000000000001</v>
      </c>
      <c r="J162" s="29"/>
      <c r="K162" s="30"/>
      <c r="L162" s="31"/>
    </row>
    <row r="163" spans="1:12" ht="15" customHeight="1">
      <c r="A163" s="2" t="str">
        <f>HYPERLINK("http://portal.genego.com/cgi/entity_page.cgi?term=100&amp;id=721","STAT1")</f>
        <v>STAT1</v>
      </c>
      <c r="B163" s="28">
        <v>14</v>
      </c>
      <c r="C163" s="28">
        <v>352</v>
      </c>
      <c r="D163" s="28">
        <v>340</v>
      </c>
      <c r="E163" s="28">
        <v>26819</v>
      </c>
      <c r="F163" s="28">
        <v>4.4630000000000001</v>
      </c>
      <c r="G163" s="28">
        <v>3.137</v>
      </c>
      <c r="H163" s="28">
        <v>1.8000000000000001E-4</v>
      </c>
      <c r="I163" s="28">
        <v>4.5739999999999998</v>
      </c>
      <c r="J163" s="29"/>
      <c r="K163" s="30"/>
      <c r="L163" s="31"/>
    </row>
    <row r="164" spans="1:12" ht="15" customHeight="1">
      <c r="A164" s="2" t="str">
        <f>HYPERLINK("http://portal.genego.com/cgi/entity_page.cgi?term=100&amp;id=4423","Androgen receptor")</f>
        <v>Androgen receptor</v>
      </c>
      <c r="B164" s="28">
        <v>40</v>
      </c>
      <c r="C164" s="28">
        <v>352</v>
      </c>
      <c r="D164" s="28">
        <v>973</v>
      </c>
      <c r="E164" s="28">
        <v>26819</v>
      </c>
      <c r="F164" s="28">
        <v>12.77</v>
      </c>
      <c r="G164" s="28">
        <v>3.1320000000000001</v>
      </c>
      <c r="H164" s="28">
        <v>2.0050000000000001E-10</v>
      </c>
      <c r="I164" s="28">
        <v>7.8129999999999997</v>
      </c>
      <c r="J164" s="29"/>
      <c r="K164" s="30"/>
      <c r="L164" s="31"/>
    </row>
    <row r="165" spans="1:12" ht="15" customHeight="1">
      <c r="A165" s="2" t="str">
        <f>HYPERLINK("http://portal.genego.com/cgi/entity_page.cgi?term=100&amp;id=2498","SP1")</f>
        <v>SP1</v>
      </c>
      <c r="B165" s="28">
        <v>64</v>
      </c>
      <c r="C165" s="28">
        <v>352</v>
      </c>
      <c r="D165" s="28">
        <v>1593</v>
      </c>
      <c r="E165" s="28">
        <v>26819</v>
      </c>
      <c r="F165" s="28">
        <v>20.91</v>
      </c>
      <c r="G165" s="28">
        <v>3.0609999999999999</v>
      </c>
      <c r="H165" s="28">
        <v>9.0289999999999994E-16</v>
      </c>
      <c r="I165" s="28">
        <v>9.7810000000000006</v>
      </c>
      <c r="J165" s="29"/>
      <c r="K165" s="30"/>
      <c r="L165" s="31"/>
    </row>
    <row r="166" spans="1:12" ht="15" customHeight="1">
      <c r="A166" s="2" t="str">
        <f>HYPERLINK("http://portal.genego.com/cgi/entity_page.cgi?term=100&amp;id=722","STAT3")</f>
        <v>STAT3</v>
      </c>
      <c r="B166" s="28">
        <v>25</v>
      </c>
      <c r="C166" s="28">
        <v>352</v>
      </c>
      <c r="D166" s="28">
        <v>623</v>
      </c>
      <c r="E166" s="28">
        <v>26819</v>
      </c>
      <c r="F166" s="28">
        <v>8.1769999999999996</v>
      </c>
      <c r="G166" s="28">
        <v>3.0569999999999999</v>
      </c>
      <c r="H166" s="28">
        <v>9.0989999999999996E-7</v>
      </c>
      <c r="I166" s="28">
        <v>5.992</v>
      </c>
      <c r="J166" s="29"/>
      <c r="K166" s="30"/>
      <c r="L166" s="31"/>
    </row>
    <row r="167" spans="1:12" ht="15" customHeight="1">
      <c r="A167" s="2" t="str">
        <f>HYPERLINK("http://portal.genego.com/cgi/entity_page.cgi?term=100&amp;id=-1808558929","TR-beta1")</f>
        <v>TR-beta1</v>
      </c>
      <c r="B167" s="28">
        <v>6</v>
      </c>
      <c r="C167" s="28">
        <v>352</v>
      </c>
      <c r="D167" s="28">
        <v>151</v>
      </c>
      <c r="E167" s="28">
        <v>26819</v>
      </c>
      <c r="F167" s="28">
        <v>1.982</v>
      </c>
      <c r="G167" s="28">
        <v>3.0270000000000001</v>
      </c>
      <c r="H167" s="28">
        <v>1.494E-2</v>
      </c>
      <c r="I167" s="28">
        <v>2.8809999999999998</v>
      </c>
      <c r="J167" s="29"/>
      <c r="K167" s="30"/>
      <c r="L167" s="31"/>
    </row>
    <row r="168" spans="1:12" ht="15" customHeight="1">
      <c r="A168" s="2" t="str">
        <f>HYPERLINK("http://portal.genego.com/cgi/entity_page.cgi?term=100&amp;id=-115825747","Oct-3/4")</f>
        <v>Oct-3/4</v>
      </c>
      <c r="B168" s="28">
        <v>48</v>
      </c>
      <c r="C168" s="28">
        <v>352</v>
      </c>
      <c r="D168" s="28">
        <v>1209</v>
      </c>
      <c r="E168" s="28">
        <v>26819</v>
      </c>
      <c r="F168" s="28">
        <v>15.87</v>
      </c>
      <c r="G168" s="28">
        <v>3.0249999999999999</v>
      </c>
      <c r="H168" s="28">
        <v>8.636E-12</v>
      </c>
      <c r="I168" s="28">
        <v>8.3089999999999993</v>
      </c>
      <c r="J168" s="29"/>
      <c r="K168" s="30"/>
      <c r="L168" s="31"/>
    </row>
    <row r="169" spans="1:12" ht="15" customHeight="1">
      <c r="A169" s="2" t="str">
        <f>HYPERLINK("http://portal.genego.com/cgi/entity_page.cgi?term=100&amp;id=719","SRF")</f>
        <v>SRF</v>
      </c>
      <c r="B169" s="28">
        <v>16</v>
      </c>
      <c r="C169" s="28">
        <v>352</v>
      </c>
      <c r="D169" s="28">
        <v>405</v>
      </c>
      <c r="E169" s="28">
        <v>26819</v>
      </c>
      <c r="F169" s="28">
        <v>5.3159999999999998</v>
      </c>
      <c r="G169" s="28">
        <v>3.01</v>
      </c>
      <c r="H169" s="28">
        <v>1.024E-4</v>
      </c>
      <c r="I169" s="28">
        <v>4.7</v>
      </c>
      <c r="J169" s="29"/>
      <c r="K169" s="30"/>
      <c r="L169" s="31"/>
    </row>
    <row r="170" spans="1:12" ht="15" customHeight="1">
      <c r="A170" s="2" t="str">
        <f>HYPERLINK("http://portal.genego.com/cgi/entity_page.cgi?term=100&amp;id=-689197755","NF-kB1 (p50)")</f>
        <v>NF-kB1 (p50)</v>
      </c>
      <c r="B170" s="28">
        <v>18</v>
      </c>
      <c r="C170" s="28">
        <v>352</v>
      </c>
      <c r="D170" s="28">
        <v>457</v>
      </c>
      <c r="E170" s="28">
        <v>26819</v>
      </c>
      <c r="F170" s="28">
        <v>5.9980000000000002</v>
      </c>
      <c r="G170" s="28">
        <v>3.0009999999999999</v>
      </c>
      <c r="H170" s="28">
        <v>3.9740000000000002E-5</v>
      </c>
      <c r="I170" s="28">
        <v>4.9749999999999996</v>
      </c>
      <c r="J170" s="29"/>
      <c r="K170" s="30"/>
      <c r="L170" s="31"/>
    </row>
    <row r="171" spans="1:12" ht="15" customHeight="1">
      <c r="A171" s="2" t="str">
        <f>HYPERLINK("http://portal.genego.com/cgi/entity_page.cgi?term=100&amp;id=609","PPAR-alpha")</f>
        <v>PPAR-alpha</v>
      </c>
      <c r="B171" s="28">
        <v>7</v>
      </c>
      <c r="C171" s="28">
        <v>352</v>
      </c>
      <c r="D171" s="28">
        <v>185</v>
      </c>
      <c r="E171" s="28">
        <v>26819</v>
      </c>
      <c r="F171" s="28">
        <v>2.4279999999999999</v>
      </c>
      <c r="G171" s="28">
        <v>2.883</v>
      </c>
      <c r="H171" s="28">
        <v>1.14E-2</v>
      </c>
      <c r="I171" s="28">
        <v>2.964</v>
      </c>
      <c r="J171" s="29" t="s">
        <v>372</v>
      </c>
      <c r="K171" s="1">
        <v>1</v>
      </c>
      <c r="L171" s="31">
        <v>0</v>
      </c>
    </row>
    <row r="172" spans="1:12" ht="15" customHeight="1">
      <c r="A172" s="2" t="str">
        <f>HYPERLINK("http://portal.genego.com/cgi/entity_page.cgi?term=100&amp;id=241","Elk-1")</f>
        <v>Elk-1</v>
      </c>
      <c r="B172" s="28">
        <v>6</v>
      </c>
      <c r="C172" s="28">
        <v>352</v>
      </c>
      <c r="D172" s="28">
        <v>160</v>
      </c>
      <c r="E172" s="28">
        <v>26819</v>
      </c>
      <c r="F172" s="28">
        <v>2.1</v>
      </c>
      <c r="G172" s="28">
        <v>2.8570000000000002</v>
      </c>
      <c r="H172" s="28">
        <v>1.9300000000000001E-2</v>
      </c>
      <c r="I172" s="28">
        <v>2.7170000000000001</v>
      </c>
      <c r="J172" s="29"/>
      <c r="K172" s="30"/>
      <c r="L172" s="31"/>
    </row>
    <row r="173" spans="1:12" ht="15" customHeight="1">
      <c r="A173" s="2" t="str">
        <f>HYPERLINK("http://portal.genego.com/cgi/entity_page.cgi?term=100&amp;id=4303","E2F1")</f>
        <v>E2F1</v>
      </c>
      <c r="B173" s="28">
        <v>30</v>
      </c>
      <c r="C173" s="28">
        <v>352</v>
      </c>
      <c r="D173" s="28">
        <v>804</v>
      </c>
      <c r="E173" s="28">
        <v>26819</v>
      </c>
      <c r="F173" s="28">
        <v>10.55</v>
      </c>
      <c r="G173" s="28">
        <v>2.843</v>
      </c>
      <c r="H173" s="28">
        <v>3.3789999999999998E-7</v>
      </c>
      <c r="I173" s="28">
        <v>6.1189999999999998</v>
      </c>
      <c r="J173" s="29"/>
      <c r="K173" s="30"/>
      <c r="L173" s="31"/>
    </row>
    <row r="174" spans="1:12" ht="15" customHeight="1">
      <c r="A174" s="2" t="str">
        <f>HYPERLINK("http://portal.genego.com/cgi/entity_page.cgi?term=100&amp;id=2257","c-Myc")</f>
        <v>c-Myc</v>
      </c>
      <c r="B174" s="28">
        <v>91</v>
      </c>
      <c r="C174" s="28">
        <v>352</v>
      </c>
      <c r="D174" s="28">
        <v>2475</v>
      </c>
      <c r="E174" s="28">
        <v>26819</v>
      </c>
      <c r="F174" s="28">
        <v>32.479999999999997</v>
      </c>
      <c r="G174" s="28">
        <v>2.8010000000000002</v>
      </c>
      <c r="H174" s="28">
        <v>5.2100000000000002E-20</v>
      </c>
      <c r="I174" s="28">
        <v>10.85</v>
      </c>
      <c r="J174" s="29" t="s">
        <v>373</v>
      </c>
      <c r="K174" s="1">
        <v>1</v>
      </c>
      <c r="L174" s="31">
        <v>0</v>
      </c>
    </row>
    <row r="175" spans="1:12" ht="15" customHeight="1">
      <c r="A175" s="2" t="str">
        <f>HYPERLINK("http://portal.genego.com/cgi/entity_page.cgi?term=100&amp;id=4247","E2F4")</f>
        <v>E2F4</v>
      </c>
      <c r="B175" s="28">
        <v>12</v>
      </c>
      <c r="C175" s="28">
        <v>352</v>
      </c>
      <c r="D175" s="28">
        <v>331</v>
      </c>
      <c r="E175" s="28">
        <v>26819</v>
      </c>
      <c r="F175" s="28">
        <v>4.3440000000000003</v>
      </c>
      <c r="G175" s="28">
        <v>2.762</v>
      </c>
      <c r="H175" s="28">
        <v>1.5399999999999999E-3</v>
      </c>
      <c r="I175" s="28">
        <v>3.72</v>
      </c>
      <c r="J175" s="29"/>
      <c r="K175" s="30"/>
      <c r="L175" s="31"/>
    </row>
    <row r="176" spans="1:12" ht="15" customHeight="1">
      <c r="A176" s="2" t="str">
        <f>HYPERLINK("http://portal.genego.com/cgi/entity_page.cgi?term=100&amp;id=-549052033","SOX2")</f>
        <v>SOX2</v>
      </c>
      <c r="B176" s="28">
        <v>21</v>
      </c>
      <c r="C176" s="28">
        <v>352</v>
      </c>
      <c r="D176" s="28">
        <v>588</v>
      </c>
      <c r="E176" s="28">
        <v>26819</v>
      </c>
      <c r="F176" s="28">
        <v>7.718</v>
      </c>
      <c r="G176" s="28">
        <v>2.7210000000000001</v>
      </c>
      <c r="H176" s="28">
        <v>3.858E-5</v>
      </c>
      <c r="I176" s="28">
        <v>4.8659999999999997</v>
      </c>
      <c r="J176" s="29"/>
      <c r="K176" s="30"/>
      <c r="L176" s="31"/>
    </row>
    <row r="177" spans="1:12" ht="15" customHeight="1">
      <c r="A177" s="2" t="str">
        <f>HYPERLINK("http://portal.genego.com/cgi/entity_page.cgi?term=100&amp;id=4317","USF1")</f>
        <v>USF1</v>
      </c>
      <c r="B177" s="28">
        <v>8</v>
      </c>
      <c r="C177" s="28">
        <v>352</v>
      </c>
      <c r="D177" s="28">
        <v>224</v>
      </c>
      <c r="E177" s="28">
        <v>26819</v>
      </c>
      <c r="F177" s="28">
        <v>2.94</v>
      </c>
      <c r="G177" s="28">
        <v>2.7210000000000001</v>
      </c>
      <c r="H177" s="28">
        <v>9.8080000000000007E-3</v>
      </c>
      <c r="I177" s="28">
        <v>2.9830000000000001</v>
      </c>
      <c r="J177" s="29"/>
      <c r="K177" s="30"/>
      <c r="L177" s="31"/>
    </row>
    <row r="178" spans="1:12" ht="15" customHeight="1">
      <c r="A178" s="2" t="str">
        <f>HYPERLINK("http://portal.genego.com/cgi/entity_page.cgi?term=100&amp;id=6018","HNF4-alpha")</f>
        <v>HNF4-alpha</v>
      </c>
      <c r="B178" s="28">
        <v>18</v>
      </c>
      <c r="C178" s="28">
        <v>352</v>
      </c>
      <c r="D178" s="28">
        <v>510</v>
      </c>
      <c r="E178" s="28">
        <v>26819</v>
      </c>
      <c r="F178" s="28">
        <v>6.694</v>
      </c>
      <c r="G178" s="28">
        <v>2.6890000000000001</v>
      </c>
      <c r="H178" s="28">
        <v>1.5860000000000001E-4</v>
      </c>
      <c r="I178" s="28">
        <v>4.4409999999999998</v>
      </c>
      <c r="J178" s="29"/>
      <c r="K178" s="30"/>
      <c r="L178" s="31"/>
    </row>
    <row r="179" spans="1:12" ht="15" customHeight="1">
      <c r="A179" s="2" t="str">
        <f>HYPERLINK("http://portal.genego.com/cgi/entity_page.cgi?term=100&amp;id=4129","AP-2A")</f>
        <v>AP-2A</v>
      </c>
      <c r="B179" s="28">
        <v>9</v>
      </c>
      <c r="C179" s="28">
        <v>352</v>
      </c>
      <c r="D179" s="28">
        <v>255</v>
      </c>
      <c r="E179" s="28">
        <v>26819</v>
      </c>
      <c r="F179" s="28">
        <v>3.347</v>
      </c>
      <c r="G179" s="28">
        <v>2.6890000000000001</v>
      </c>
      <c r="H179" s="28">
        <v>6.8300000000000001E-3</v>
      </c>
      <c r="I179" s="28">
        <v>3.125</v>
      </c>
      <c r="J179" s="29"/>
      <c r="K179" s="30"/>
      <c r="L179" s="31"/>
    </row>
    <row r="180" spans="1:12" ht="15" customHeight="1">
      <c r="A180" s="2" t="str">
        <f>HYPERLINK("http://portal.genego.com/cgi/entity_page.cgi?term=100&amp;id=4267","STAT6")</f>
        <v>STAT6</v>
      </c>
      <c r="B180" s="28">
        <v>8</v>
      </c>
      <c r="C180" s="28">
        <v>352</v>
      </c>
      <c r="D180" s="28">
        <v>232</v>
      </c>
      <c r="E180" s="28">
        <v>26819</v>
      </c>
      <c r="F180" s="28">
        <v>3.0449999999999999</v>
      </c>
      <c r="G180" s="28">
        <v>2.6269999999999998</v>
      </c>
      <c r="H180" s="28">
        <v>1.1939999999999999E-2</v>
      </c>
      <c r="I180" s="28">
        <v>2.871</v>
      </c>
      <c r="J180" s="29" t="s">
        <v>374</v>
      </c>
      <c r="K180" s="1">
        <v>1</v>
      </c>
      <c r="L180" s="31">
        <v>0</v>
      </c>
    </row>
    <row r="181" spans="1:12" ht="15" customHeight="1">
      <c r="A181" s="2" t="str">
        <f>HYPERLINK("http://portal.genego.com/cgi/entity_page.cgi?term=100&amp;id=4608","TAL1")</f>
        <v>TAL1</v>
      </c>
      <c r="B181" s="28">
        <v>7</v>
      </c>
      <c r="C181" s="28">
        <v>352</v>
      </c>
      <c r="D181" s="28">
        <v>204</v>
      </c>
      <c r="E181" s="28">
        <v>26819</v>
      </c>
      <c r="F181" s="28">
        <v>2.6779999999999999</v>
      </c>
      <c r="G181" s="28">
        <v>2.6139999999999999</v>
      </c>
      <c r="H181" s="28">
        <v>1.857E-2</v>
      </c>
      <c r="I181" s="28">
        <v>2.669</v>
      </c>
      <c r="J181" s="29"/>
      <c r="K181" s="30"/>
      <c r="L181" s="31"/>
    </row>
    <row r="182" spans="1:12" ht="15" customHeight="1">
      <c r="A182" s="2" t="str">
        <f>HYPERLINK("http://portal.genego.com/cgi/entity_page.cgi?term=100&amp;id=4361","PU.1")</f>
        <v>PU.1</v>
      </c>
      <c r="B182" s="28">
        <v>13</v>
      </c>
      <c r="C182" s="28">
        <v>352</v>
      </c>
      <c r="D182" s="28">
        <v>390</v>
      </c>
      <c r="E182" s="28">
        <v>26819</v>
      </c>
      <c r="F182" s="28">
        <v>5.1189999999999998</v>
      </c>
      <c r="G182" s="28">
        <v>2.54</v>
      </c>
      <c r="H182" s="28">
        <v>2.0969999999999999E-3</v>
      </c>
      <c r="I182" s="28">
        <v>3.532</v>
      </c>
      <c r="J182" s="29"/>
      <c r="K182" s="30"/>
      <c r="L182" s="31"/>
    </row>
    <row r="183" spans="1:12" ht="15" customHeight="1">
      <c r="A183" s="2" t="str">
        <f>HYPERLINK("http://portal.genego.com/cgi/entity_page.cgi?term=100&amp;id=-592889684","NANOG")</f>
        <v>NANOG</v>
      </c>
      <c r="B183" s="28">
        <v>23</v>
      </c>
      <c r="C183" s="28">
        <v>352</v>
      </c>
      <c r="D183" s="28">
        <v>714</v>
      </c>
      <c r="E183" s="28">
        <v>26819</v>
      </c>
      <c r="F183" s="28">
        <v>9.3710000000000004</v>
      </c>
      <c r="G183" s="28">
        <v>2.4540000000000002</v>
      </c>
      <c r="H183" s="28">
        <v>8.0400000000000003E-5</v>
      </c>
      <c r="I183" s="28">
        <v>4.5419999999999998</v>
      </c>
      <c r="J183" s="29"/>
      <c r="K183" s="30"/>
      <c r="L183" s="31"/>
    </row>
    <row r="184" spans="1:12" ht="15" customHeight="1">
      <c r="A184" s="2" t="str">
        <f>HYPERLINK("http://portal.genego.com/cgi/entity_page.cgi?term=100&amp;id=4319","IRF8")</f>
        <v>IRF8</v>
      </c>
      <c r="B184" s="28">
        <v>8</v>
      </c>
      <c r="C184" s="28">
        <v>352</v>
      </c>
      <c r="D184" s="28">
        <v>251</v>
      </c>
      <c r="E184" s="28">
        <v>26819</v>
      </c>
      <c r="F184" s="28">
        <v>3.294</v>
      </c>
      <c r="G184" s="28">
        <v>2.4279999999999999</v>
      </c>
      <c r="H184" s="28">
        <v>1.8329999999999999E-2</v>
      </c>
      <c r="I184" s="28">
        <v>2.6219999999999999</v>
      </c>
      <c r="J184" s="29"/>
      <c r="K184" s="30"/>
      <c r="L184" s="31"/>
    </row>
    <row r="185" spans="1:12" ht="15" customHeight="1">
      <c r="A185" s="2" t="str">
        <f>HYPERLINK("http://portal.genego.com/cgi/entity_page.cgi?term=100&amp;id=-1859973767","NRSF")</f>
        <v>NRSF</v>
      </c>
      <c r="B185" s="28">
        <v>12</v>
      </c>
      <c r="C185" s="28">
        <v>352</v>
      </c>
      <c r="D185" s="28">
        <v>444</v>
      </c>
      <c r="E185" s="28">
        <v>26819</v>
      </c>
      <c r="F185" s="28">
        <v>5.8280000000000003</v>
      </c>
      <c r="G185" s="28">
        <v>2.0590000000000002</v>
      </c>
      <c r="H185" s="28">
        <v>1.502E-2</v>
      </c>
      <c r="I185" s="28">
        <v>2.5950000000000002</v>
      </c>
      <c r="J185" s="29"/>
      <c r="K185" s="30"/>
      <c r="L185" s="31"/>
    </row>
    <row r="186" spans="1:12" ht="15" customHeight="1">
      <c r="A186" s="2" t="str">
        <f>HYPERLINK("http://portal.genego.com/cgi/entity_page.cgi?term=100&amp;id=160","CREB1")</f>
        <v>CREB1</v>
      </c>
      <c r="B186" s="28">
        <v>136</v>
      </c>
      <c r="C186" s="28">
        <v>352</v>
      </c>
      <c r="D186" s="28">
        <v>5099</v>
      </c>
      <c r="E186" s="28">
        <v>26819</v>
      </c>
      <c r="F186" s="28">
        <v>66.92</v>
      </c>
      <c r="G186" s="28">
        <v>2.032</v>
      </c>
      <c r="H186" s="28">
        <v>5.3990000000000003E-18</v>
      </c>
      <c r="I186" s="28">
        <v>9.4450000000000003</v>
      </c>
      <c r="J186" s="29"/>
      <c r="K186" s="30"/>
      <c r="L186" s="31"/>
    </row>
    <row r="187" spans="1:12" ht="15" customHeight="1">
      <c r="A187" s="2" t="str">
        <f>HYPERLINK("http://portal.genego.com/cgi/entity_page.cgi?term=100&amp;id=4290","YY1")</f>
        <v>YY1</v>
      </c>
      <c r="B187" s="28">
        <v>26</v>
      </c>
      <c r="C187" s="28">
        <v>352</v>
      </c>
      <c r="D187" s="28">
        <v>1120</v>
      </c>
      <c r="E187" s="28">
        <v>26819</v>
      </c>
      <c r="F187" s="28">
        <v>14.7</v>
      </c>
      <c r="G187" s="28">
        <v>1.7689999999999999</v>
      </c>
      <c r="H187" s="28">
        <v>3.764E-3</v>
      </c>
      <c r="I187" s="28">
        <v>3.0310000000000001</v>
      </c>
      <c r="J187" s="29"/>
      <c r="K187" s="30"/>
      <c r="L187" s="31"/>
    </row>
  </sheetData>
  <autoFilter ref="A2:K2"/>
  <mergeCells count="1">
    <mergeCell ref="K1:L1"/>
  </mergeCells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="90" workbookViewId="0">
      <pane xSplit="5" ySplit="3" topLeftCell="F4" activePane="bottomRight" state="frozen"/>
      <selection pane="topRight"/>
      <selection pane="bottomLeft"/>
      <selection pane="bottomRight" activeCell="B6" sqref="B6"/>
    </sheetView>
  </sheetViews>
  <sheetFormatPr baseColWidth="10" defaultColWidth="8.83203125" defaultRowHeight="12" x14ac:dyDescent="0"/>
  <cols>
    <col min="1" max="1" width="7.1640625" customWidth="1"/>
    <col min="2" max="2" width="57.1640625" customWidth="1"/>
    <col min="3" max="8" width="11.5" customWidth="1"/>
    <col min="9" max="9" width="17.1640625" customWidth="1"/>
  </cols>
  <sheetData>
    <row r="1" spans="1:10" ht="20" customHeight="1" thickBot="1">
      <c r="A1" s="40" t="s">
        <v>68</v>
      </c>
    </row>
    <row r="2" spans="1:10" ht="30" customHeight="1" thickBot="1">
      <c r="A2" s="42" t="s">
        <v>270</v>
      </c>
      <c r="F2" s="71" t="s">
        <v>456</v>
      </c>
      <c r="G2" s="43"/>
      <c r="H2" s="43"/>
      <c r="I2" s="43"/>
      <c r="J2" s="58" t="s">
        <v>70</v>
      </c>
    </row>
    <row r="3" spans="1:10" ht="30" customHeight="1" thickBot="1">
      <c r="A3" s="62" t="s">
        <v>71</v>
      </c>
      <c r="B3" s="62" t="s">
        <v>271</v>
      </c>
      <c r="C3" s="62" t="s">
        <v>73</v>
      </c>
      <c r="D3" s="62" t="s">
        <v>272</v>
      </c>
      <c r="E3" s="63" t="s">
        <v>75</v>
      </c>
      <c r="F3" s="64" t="s">
        <v>1</v>
      </c>
      <c r="G3" s="64" t="s">
        <v>76</v>
      </c>
      <c r="H3" s="64" t="s">
        <v>77</v>
      </c>
      <c r="I3" s="65" t="s">
        <v>78</v>
      </c>
      <c r="J3" s="58" t="s">
        <v>70</v>
      </c>
    </row>
    <row r="4" spans="1:10" ht="30" customHeight="1">
      <c r="A4" s="66">
        <v>1</v>
      </c>
      <c r="B4" s="67" t="s">
        <v>273</v>
      </c>
      <c r="C4" s="66">
        <v>49</v>
      </c>
      <c r="D4" s="68">
        <v>4.4040741775433705E-5</v>
      </c>
      <c r="E4" s="68">
        <v>9.4273292180807999E-3</v>
      </c>
      <c r="F4" s="68">
        <v>4.4040741775433705E-5</v>
      </c>
      <c r="G4" s="68">
        <v>9.4273292180807999E-3</v>
      </c>
      <c r="H4" s="69">
        <v>8</v>
      </c>
      <c r="I4" s="70" t="s">
        <v>274</v>
      </c>
    </row>
    <row r="5" spans="1:10" ht="30" customHeight="1">
      <c r="A5" s="66">
        <v>2</v>
      </c>
      <c r="B5" s="67" t="s">
        <v>275</v>
      </c>
      <c r="C5" s="66">
        <v>66</v>
      </c>
      <c r="D5" s="68">
        <v>6.3483698438254608E-5</v>
      </c>
      <c r="E5" s="68">
        <v>9.4273292180807999E-3</v>
      </c>
      <c r="F5" s="68">
        <v>6.3483698438254608E-5</v>
      </c>
      <c r="G5" s="68">
        <v>9.4273292180807999E-3</v>
      </c>
      <c r="H5" s="69">
        <v>9</v>
      </c>
      <c r="I5" s="70" t="s">
        <v>276</v>
      </c>
    </row>
    <row r="6" spans="1:10" ht="30" customHeight="1">
      <c r="A6" s="66">
        <v>3</v>
      </c>
      <c r="B6" s="67" t="s">
        <v>277</v>
      </c>
      <c r="C6" s="66">
        <v>59</v>
      </c>
      <c r="D6" s="68">
        <v>1.72481566389663E-4</v>
      </c>
      <c r="E6" s="68">
        <v>1.06192651810194E-2</v>
      </c>
      <c r="F6" s="68">
        <v>1.72481566389663E-4</v>
      </c>
      <c r="G6" s="68">
        <v>1.06192651810194E-2</v>
      </c>
      <c r="H6" s="69">
        <v>8</v>
      </c>
      <c r="I6" s="70" t="s">
        <v>278</v>
      </c>
    </row>
    <row r="7" spans="1:10" ht="30" customHeight="1">
      <c r="A7" s="66">
        <v>4</v>
      </c>
      <c r="B7" s="67" t="s">
        <v>279</v>
      </c>
      <c r="C7" s="66">
        <v>60</v>
      </c>
      <c r="D7" s="68">
        <v>1.9454299573120801E-4</v>
      </c>
      <c r="E7" s="68">
        <v>1.06192651810194E-2</v>
      </c>
      <c r="F7" s="68">
        <v>1.9454299573120801E-4</v>
      </c>
      <c r="G7" s="68">
        <v>1.06192651810194E-2</v>
      </c>
      <c r="H7" s="69">
        <v>8</v>
      </c>
      <c r="I7" s="70" t="s">
        <v>280</v>
      </c>
    </row>
    <row r="8" spans="1:10" ht="30" customHeight="1">
      <c r="A8" s="66">
        <v>5</v>
      </c>
      <c r="B8" s="67" t="s">
        <v>281</v>
      </c>
      <c r="C8" s="66">
        <v>60</v>
      </c>
      <c r="D8" s="68">
        <v>1.9454299573120801E-4</v>
      </c>
      <c r="E8" s="68">
        <v>1.06192651810194E-2</v>
      </c>
      <c r="F8" s="68">
        <v>1.9454299573120801E-4</v>
      </c>
      <c r="G8" s="68">
        <v>1.06192651810194E-2</v>
      </c>
      <c r="H8" s="69">
        <v>8</v>
      </c>
      <c r="I8" s="70" t="s">
        <v>282</v>
      </c>
    </row>
    <row r="9" spans="1:10" ht="30" customHeight="1">
      <c r="A9" s="66">
        <v>6</v>
      </c>
      <c r="B9" s="67" t="s">
        <v>283</v>
      </c>
      <c r="C9" s="66">
        <v>46</v>
      </c>
      <c r="D9" s="68">
        <v>2.14530609717563E-4</v>
      </c>
      <c r="E9" s="68">
        <v>1.06192651810194E-2</v>
      </c>
      <c r="F9" s="68">
        <v>2.14530609717564E-4</v>
      </c>
      <c r="G9" s="68">
        <v>1.06192651810194E-2</v>
      </c>
      <c r="H9" s="69">
        <v>7</v>
      </c>
      <c r="I9" s="70" t="s">
        <v>284</v>
      </c>
    </row>
    <row r="10" spans="1:10" ht="30" customHeight="1">
      <c r="A10" s="66">
        <v>7</v>
      </c>
      <c r="B10" s="67" t="s">
        <v>285</v>
      </c>
      <c r="C10" s="66">
        <v>64</v>
      </c>
      <c r="D10" s="68">
        <v>3.0729106268848202E-4</v>
      </c>
      <c r="E10" s="68">
        <v>1.30379208026399E-2</v>
      </c>
      <c r="F10" s="68">
        <v>3.0729106268848202E-4</v>
      </c>
      <c r="G10" s="68">
        <v>1.30379208026399E-2</v>
      </c>
      <c r="H10" s="69">
        <v>8</v>
      </c>
      <c r="I10" s="70" t="s">
        <v>286</v>
      </c>
    </row>
    <row r="11" spans="1:10" ht="30" customHeight="1">
      <c r="A11" s="66">
        <v>8</v>
      </c>
      <c r="B11" s="67" t="s">
        <v>287</v>
      </c>
      <c r="C11" s="66">
        <v>15</v>
      </c>
      <c r="D11" s="68">
        <v>5.8283849880460398E-4</v>
      </c>
      <c r="E11" s="68">
        <v>2.1637879268120899E-2</v>
      </c>
      <c r="F11" s="68">
        <v>5.8283849880460398E-4</v>
      </c>
      <c r="G11" s="68">
        <v>2.1637879268120899E-2</v>
      </c>
      <c r="H11" s="69">
        <v>4</v>
      </c>
      <c r="I11" s="70" t="s">
        <v>288</v>
      </c>
    </row>
    <row r="12" spans="1:10" ht="30" customHeight="1">
      <c r="A12" s="66">
        <v>9</v>
      </c>
      <c r="B12" s="67" t="s">
        <v>289</v>
      </c>
      <c r="C12" s="66">
        <v>27</v>
      </c>
      <c r="D12" s="68">
        <v>7.1096906417200797E-4</v>
      </c>
      <c r="E12" s="68">
        <v>2.34619791176763E-2</v>
      </c>
      <c r="F12" s="68">
        <v>7.1096906417200797E-4</v>
      </c>
      <c r="G12" s="68">
        <v>2.34619791176763E-2</v>
      </c>
      <c r="H12" s="69">
        <v>5</v>
      </c>
      <c r="I12" s="70" t="s">
        <v>290</v>
      </c>
    </row>
    <row r="13" spans="1:10" ht="30" customHeight="1">
      <c r="A13" s="66">
        <v>10</v>
      </c>
      <c r="B13" s="67" t="s">
        <v>291</v>
      </c>
      <c r="C13" s="66">
        <v>60</v>
      </c>
      <c r="D13" s="68">
        <v>1.12914138273249E-3</v>
      </c>
      <c r="E13" s="68">
        <v>3.04868173337773E-2</v>
      </c>
      <c r="F13" s="68">
        <v>1.12914138273249E-3</v>
      </c>
      <c r="G13" s="68">
        <v>3.04868173337773E-2</v>
      </c>
      <c r="H13" s="69">
        <v>7</v>
      </c>
      <c r="I13" s="70" t="s">
        <v>292</v>
      </c>
    </row>
    <row r="14" spans="1:10" ht="30" customHeight="1">
      <c r="A14" s="66">
        <v>11</v>
      </c>
      <c r="B14" s="67" t="s">
        <v>293</v>
      </c>
      <c r="C14" s="66">
        <v>60</v>
      </c>
      <c r="D14" s="68">
        <v>1.12914138273249E-3</v>
      </c>
      <c r="E14" s="68">
        <v>3.04868173337773E-2</v>
      </c>
      <c r="F14" s="68">
        <v>1.12914138273249E-3</v>
      </c>
      <c r="G14" s="68">
        <v>3.04868173337773E-2</v>
      </c>
      <c r="H14" s="69">
        <v>7</v>
      </c>
      <c r="I14" s="70" t="s">
        <v>294</v>
      </c>
    </row>
    <row r="15" spans="1:10" ht="30" customHeight="1">
      <c r="A15" s="66">
        <v>12</v>
      </c>
      <c r="B15" s="67" t="s">
        <v>295</v>
      </c>
      <c r="C15" s="66">
        <v>62</v>
      </c>
      <c r="D15" s="68">
        <v>1.3746008002438301E-3</v>
      </c>
      <c r="E15" s="68">
        <v>3.40213698060347E-2</v>
      </c>
      <c r="F15" s="68">
        <v>1.3746008002438301E-3</v>
      </c>
      <c r="G15" s="68">
        <v>3.40213698060347E-2</v>
      </c>
      <c r="H15" s="69">
        <v>7</v>
      </c>
      <c r="I15" s="70" t="s">
        <v>296</v>
      </c>
    </row>
    <row r="16" spans="1:10" ht="30" customHeight="1">
      <c r="A16" s="66">
        <v>13</v>
      </c>
      <c r="B16" s="67" t="s">
        <v>297</v>
      </c>
      <c r="C16" s="66">
        <v>32</v>
      </c>
      <c r="D16" s="68">
        <v>1.59012771061663E-3</v>
      </c>
      <c r="E16" s="68">
        <v>3.6328302311779997E-2</v>
      </c>
      <c r="F16" s="68">
        <v>1.59012771061663E-3</v>
      </c>
      <c r="G16" s="68">
        <v>3.6328302311779997E-2</v>
      </c>
      <c r="H16" s="69">
        <v>5</v>
      </c>
      <c r="I16" s="70" t="s">
        <v>290</v>
      </c>
    </row>
    <row r="17" spans="1:9" ht="30" customHeight="1">
      <c r="A17" s="66">
        <v>14</v>
      </c>
      <c r="B17" s="67" t="s">
        <v>298</v>
      </c>
      <c r="C17" s="66">
        <v>49</v>
      </c>
      <c r="D17" s="68">
        <v>2.0006852141561901E-3</v>
      </c>
      <c r="E17" s="68">
        <v>4.24431077574563E-2</v>
      </c>
      <c r="F17" s="68">
        <v>2.0006852141561901E-3</v>
      </c>
      <c r="G17" s="68">
        <v>4.24431077574563E-2</v>
      </c>
      <c r="H17" s="69">
        <v>6</v>
      </c>
      <c r="I17" s="70" t="s">
        <v>299</v>
      </c>
    </row>
    <row r="18" spans="1:9" ht="30" customHeight="1">
      <c r="A18" s="66">
        <v>15</v>
      </c>
      <c r="B18" s="67" t="s">
        <v>300</v>
      </c>
      <c r="C18" s="66">
        <v>68</v>
      </c>
      <c r="D18" s="68">
        <v>2.3678884779796501E-3</v>
      </c>
      <c r="E18" s="68">
        <v>4.6884191863997102E-2</v>
      </c>
      <c r="F18" s="68">
        <v>2.3678884779796501E-3</v>
      </c>
      <c r="G18" s="68">
        <v>4.6884191863997102E-2</v>
      </c>
      <c r="H18" s="69">
        <v>7</v>
      </c>
      <c r="I18" s="70" t="s">
        <v>301</v>
      </c>
    </row>
    <row r="19" spans="1:9" ht="30" customHeight="1">
      <c r="A19" s="66">
        <v>16</v>
      </c>
      <c r="B19" s="67" t="s">
        <v>302</v>
      </c>
      <c r="C19" s="66">
        <v>56</v>
      </c>
      <c r="D19" s="68">
        <v>3.9778293779263998E-3</v>
      </c>
      <c r="E19" s="68">
        <v>7.3838457827758802E-2</v>
      </c>
      <c r="F19" s="68">
        <v>3.9778293779263998E-3</v>
      </c>
      <c r="G19" s="68">
        <v>7.3838457827758802E-2</v>
      </c>
      <c r="H19" s="69">
        <v>6</v>
      </c>
      <c r="I19" s="70" t="s">
        <v>303</v>
      </c>
    </row>
    <row r="20" spans="1:9" ht="30" customHeight="1">
      <c r="A20" s="66">
        <v>17</v>
      </c>
      <c r="B20" s="67" t="s">
        <v>304</v>
      </c>
      <c r="C20" s="66">
        <v>40</v>
      </c>
      <c r="D20" s="68">
        <v>4.3660115185087597E-3</v>
      </c>
      <c r="E20" s="68">
        <v>7.6276789470417897E-2</v>
      </c>
      <c r="F20" s="68">
        <v>4.3660115185087701E-3</v>
      </c>
      <c r="G20" s="68">
        <v>7.6276789470417897E-2</v>
      </c>
      <c r="H20" s="69">
        <v>5</v>
      </c>
      <c r="I20" s="70" t="s">
        <v>305</v>
      </c>
    </row>
    <row r="21" spans="1:9" ht="30" customHeight="1">
      <c r="A21" s="66">
        <v>18</v>
      </c>
      <c r="B21" s="67" t="s">
        <v>306</v>
      </c>
      <c r="C21" s="66">
        <v>60</v>
      </c>
      <c r="D21" s="68">
        <v>5.6142761573887397E-3</v>
      </c>
      <c r="E21" s="68">
        <v>8.7542296638995695E-2</v>
      </c>
      <c r="F21" s="68">
        <v>5.6142761573887501E-3</v>
      </c>
      <c r="G21" s="68">
        <v>8.7542296638995695E-2</v>
      </c>
      <c r="H21" s="69">
        <v>6</v>
      </c>
      <c r="I21" s="70" t="s">
        <v>307</v>
      </c>
    </row>
    <row r="22" spans="1:9" ht="30" customHeight="1">
      <c r="A22" s="66">
        <v>19</v>
      </c>
      <c r="B22" s="67" t="s">
        <v>308</v>
      </c>
      <c r="C22" s="66">
        <v>27</v>
      </c>
      <c r="D22" s="68">
        <v>5.8152271614840597E-3</v>
      </c>
      <c r="E22" s="68">
        <v>8.7542296638995695E-2</v>
      </c>
      <c r="F22" s="68">
        <v>5.8152271614840701E-3</v>
      </c>
      <c r="G22" s="68">
        <v>8.7542296638995695E-2</v>
      </c>
      <c r="H22" s="69">
        <v>4</v>
      </c>
      <c r="I22" s="70" t="s">
        <v>309</v>
      </c>
    </row>
    <row r="23" spans="1:9" ht="30" customHeight="1">
      <c r="A23" s="66">
        <v>20</v>
      </c>
      <c r="B23" s="67" t="s">
        <v>310</v>
      </c>
      <c r="C23" s="66">
        <v>14</v>
      </c>
      <c r="D23" s="68">
        <v>5.8951041507741197E-3</v>
      </c>
      <c r="E23" s="68">
        <v>8.7542296638995695E-2</v>
      </c>
      <c r="F23" s="68">
        <v>5.8951041507741197E-3</v>
      </c>
      <c r="G23" s="68">
        <v>8.7542296638995695E-2</v>
      </c>
      <c r="H23" s="69">
        <v>3</v>
      </c>
      <c r="I23" s="70" t="s">
        <v>311</v>
      </c>
    </row>
    <row r="24" spans="1:9" ht="30" customHeight="1">
      <c r="A24" s="66">
        <v>21</v>
      </c>
      <c r="B24" s="67" t="s">
        <v>312</v>
      </c>
      <c r="C24" s="66">
        <v>44</v>
      </c>
      <c r="D24" s="68">
        <v>6.6073108138457399E-3</v>
      </c>
      <c r="E24" s="68">
        <v>9.3446252938675506E-2</v>
      </c>
      <c r="F24" s="68">
        <v>6.6073108138457399E-3</v>
      </c>
      <c r="G24" s="68">
        <v>9.3446252938675506E-2</v>
      </c>
      <c r="H24" s="69">
        <v>5</v>
      </c>
      <c r="I24" s="70" t="s">
        <v>313</v>
      </c>
    </row>
    <row r="25" spans="1:9" ht="30" customHeight="1">
      <c r="A25" s="66">
        <v>22</v>
      </c>
      <c r="B25" s="67" t="s">
        <v>314</v>
      </c>
      <c r="C25" s="66">
        <v>30</v>
      </c>
      <c r="D25" s="68">
        <v>8.5261307665488797E-3</v>
      </c>
      <c r="E25" s="68">
        <v>0.11510276534841</v>
      </c>
      <c r="F25" s="68">
        <v>8.5261307665488902E-3</v>
      </c>
      <c r="G25" s="68">
        <v>0.11510276534841</v>
      </c>
      <c r="H25" s="69">
        <v>4</v>
      </c>
      <c r="I25" s="70" t="s">
        <v>315</v>
      </c>
    </row>
    <row r="26" spans="1:9" ht="30" customHeight="1">
      <c r="A26" s="66">
        <v>23</v>
      </c>
      <c r="B26" s="67" t="s">
        <v>316</v>
      </c>
      <c r="C26" s="66">
        <v>31</v>
      </c>
      <c r="D26" s="68">
        <v>9.5861141146902796E-3</v>
      </c>
      <c r="E26" s="68">
        <v>0.12378590835056601</v>
      </c>
      <c r="F26" s="68">
        <v>9.5861141146902796E-3</v>
      </c>
      <c r="G26" s="68">
        <v>0.12378590835056601</v>
      </c>
      <c r="H26" s="69">
        <v>4</v>
      </c>
      <c r="I26" s="70" t="s">
        <v>317</v>
      </c>
    </row>
    <row r="27" spans="1:9" ht="30" customHeight="1">
      <c r="A27" s="66">
        <v>24</v>
      </c>
      <c r="B27" s="67" t="s">
        <v>318</v>
      </c>
      <c r="C27" s="66">
        <v>32</v>
      </c>
      <c r="D27" s="68">
        <v>1.07283978867008E-2</v>
      </c>
      <c r="E27" s="68">
        <v>0.13276392384792199</v>
      </c>
      <c r="F27" s="68">
        <v>1.07283978867008E-2</v>
      </c>
      <c r="G27" s="68">
        <v>0.13276392384792199</v>
      </c>
      <c r="H27" s="69">
        <v>4</v>
      </c>
      <c r="I27" s="70" t="s">
        <v>319</v>
      </c>
    </row>
    <row r="28" spans="1:9" ht="30" customHeight="1">
      <c r="A28" s="66">
        <v>25</v>
      </c>
      <c r="B28" s="67" t="s">
        <v>320</v>
      </c>
      <c r="C28" s="66">
        <v>70</v>
      </c>
      <c r="D28" s="68">
        <v>1.1793950011295899E-2</v>
      </c>
      <c r="E28" s="68">
        <v>0.14011212613419499</v>
      </c>
      <c r="F28" s="68">
        <v>1.1793950011295899E-2</v>
      </c>
      <c r="G28" s="68">
        <v>0.14011212613419499</v>
      </c>
      <c r="H28" s="69">
        <v>6</v>
      </c>
      <c r="I28" s="70" t="s">
        <v>321</v>
      </c>
    </row>
    <row r="29" spans="1:9" ht="30" customHeight="1">
      <c r="A29" s="66">
        <v>26</v>
      </c>
      <c r="B29" s="67" t="s">
        <v>322</v>
      </c>
      <c r="C29" s="66">
        <v>53</v>
      </c>
      <c r="D29" s="68">
        <v>1.43748501012865E-2</v>
      </c>
      <c r="E29" s="68">
        <v>0.16420501846469601</v>
      </c>
      <c r="F29" s="68">
        <v>1.43748501012865E-2</v>
      </c>
      <c r="G29" s="68">
        <v>0.16420501846469601</v>
      </c>
      <c r="H29" s="69">
        <v>5</v>
      </c>
      <c r="I29" s="70" t="s">
        <v>290</v>
      </c>
    </row>
    <row r="30" spans="1:9" ht="30" customHeight="1">
      <c r="A30" s="66">
        <v>27</v>
      </c>
      <c r="B30" s="67" t="s">
        <v>323</v>
      </c>
      <c r="C30" s="66">
        <v>20</v>
      </c>
      <c r="D30" s="68">
        <v>1.63839478098309E-2</v>
      </c>
      <c r="E30" s="68">
        <v>0.18022342590814</v>
      </c>
      <c r="F30" s="68">
        <v>1.63839478098309E-2</v>
      </c>
      <c r="G30" s="68">
        <v>0.18022342590814</v>
      </c>
      <c r="H30" s="69">
        <v>3</v>
      </c>
      <c r="I30" s="70" t="s">
        <v>324</v>
      </c>
    </row>
    <row r="31" spans="1:9" ht="30" customHeight="1">
      <c r="A31" s="66">
        <v>28</v>
      </c>
      <c r="B31" s="67" t="s">
        <v>325</v>
      </c>
      <c r="C31" s="66">
        <v>56</v>
      </c>
      <c r="D31" s="68">
        <v>1.7937919865346898E-2</v>
      </c>
      <c r="E31" s="68">
        <v>0.184448448604173</v>
      </c>
      <c r="F31" s="68">
        <v>1.7937919865346898E-2</v>
      </c>
      <c r="G31" s="68">
        <v>0.184448448604173</v>
      </c>
      <c r="H31" s="69">
        <v>5</v>
      </c>
      <c r="I31" s="70" t="s">
        <v>326</v>
      </c>
    </row>
    <row r="32" spans="1:9" ht="30" customHeight="1">
      <c r="A32" s="66">
        <v>29</v>
      </c>
      <c r="B32" s="67" t="s">
        <v>327</v>
      </c>
      <c r="C32" s="66">
        <v>122</v>
      </c>
      <c r="D32" s="68">
        <v>1.80101178771752E-2</v>
      </c>
      <c r="E32" s="68">
        <v>0.184448448604173</v>
      </c>
      <c r="F32" s="68">
        <v>1.80101178771752E-2</v>
      </c>
      <c r="G32" s="68">
        <v>0.184448448604173</v>
      </c>
      <c r="H32" s="69">
        <v>8</v>
      </c>
      <c r="I32" s="70" t="s">
        <v>328</v>
      </c>
    </row>
    <row r="33" spans="1:9" ht="30" customHeight="1">
      <c r="A33" s="66">
        <v>30</v>
      </c>
      <c r="B33" s="67" t="s">
        <v>329</v>
      </c>
      <c r="C33" s="66">
        <v>38</v>
      </c>
      <c r="D33" s="68">
        <v>1.94278828787188E-2</v>
      </c>
      <c r="E33" s="68">
        <v>0.18613165209611299</v>
      </c>
      <c r="F33" s="68">
        <v>1.94278828787188E-2</v>
      </c>
      <c r="G33" s="68">
        <v>0.18613165209611299</v>
      </c>
      <c r="H33" s="69">
        <v>4</v>
      </c>
      <c r="I33" s="70" t="s">
        <v>330</v>
      </c>
    </row>
    <row r="34" spans="1:9" ht="30" customHeight="1">
      <c r="A34" s="66">
        <v>31</v>
      </c>
      <c r="B34" s="67" t="s">
        <v>331</v>
      </c>
      <c r="C34" s="66">
        <v>38</v>
      </c>
      <c r="D34" s="68">
        <v>1.94278828787188E-2</v>
      </c>
      <c r="E34" s="68">
        <v>0.18613165209611299</v>
      </c>
      <c r="F34" s="68">
        <v>1.94278828787188E-2</v>
      </c>
      <c r="G34" s="68">
        <v>0.18613165209611299</v>
      </c>
      <c r="H34" s="69">
        <v>4</v>
      </c>
      <c r="I34" s="70" t="s">
        <v>332</v>
      </c>
    </row>
    <row r="35" spans="1:9" ht="30" customHeight="1">
      <c r="A35" s="66">
        <v>32</v>
      </c>
      <c r="B35" s="67" t="s">
        <v>333</v>
      </c>
      <c r="C35" s="66">
        <v>39</v>
      </c>
      <c r="D35" s="68">
        <v>2.1202028909850599E-2</v>
      </c>
      <c r="E35" s="68">
        <v>0.194174638802769</v>
      </c>
      <c r="F35" s="68">
        <v>2.1202028909850599E-2</v>
      </c>
      <c r="G35" s="68">
        <v>0.194174638802769</v>
      </c>
      <c r="H35" s="69">
        <v>4</v>
      </c>
      <c r="I35" s="70" t="s">
        <v>334</v>
      </c>
    </row>
    <row r="36" spans="1:9" ht="30" customHeight="1">
      <c r="A36" s="66">
        <v>33</v>
      </c>
      <c r="B36" s="67" t="s">
        <v>335</v>
      </c>
      <c r="C36" s="66">
        <v>59</v>
      </c>
      <c r="D36" s="68">
        <v>2.20428162134234E-2</v>
      </c>
      <c r="E36" s="68">
        <v>0.194174638802769</v>
      </c>
      <c r="F36" s="68">
        <v>2.20428162134234E-2</v>
      </c>
      <c r="G36" s="68">
        <v>0.194174638802769</v>
      </c>
      <c r="H36" s="69">
        <v>5</v>
      </c>
      <c r="I36" s="70" t="s">
        <v>336</v>
      </c>
    </row>
    <row r="37" spans="1:9" ht="30" customHeight="1">
      <c r="A37" s="66">
        <v>34</v>
      </c>
      <c r="B37" s="67" t="s">
        <v>337</v>
      </c>
      <c r="C37" s="66">
        <v>60</v>
      </c>
      <c r="D37" s="68">
        <v>2.35363198548811E-2</v>
      </c>
      <c r="E37" s="68">
        <v>0.194174638802769</v>
      </c>
      <c r="F37" s="68">
        <v>2.35363198548811E-2</v>
      </c>
      <c r="G37" s="68">
        <v>0.194174638802769</v>
      </c>
      <c r="H37" s="69">
        <v>5</v>
      </c>
      <c r="I37" s="70" t="s">
        <v>338</v>
      </c>
    </row>
    <row r="38" spans="1:9" ht="30" customHeight="1">
      <c r="A38" s="66">
        <v>35</v>
      </c>
      <c r="B38" s="67" t="s">
        <v>339</v>
      </c>
      <c r="C38" s="66">
        <v>60</v>
      </c>
      <c r="D38" s="68">
        <v>2.35363198548811E-2</v>
      </c>
      <c r="E38" s="68">
        <v>0.194174638802769</v>
      </c>
      <c r="F38" s="68">
        <v>2.35363198548811E-2</v>
      </c>
      <c r="G38" s="68">
        <v>0.194174638802769</v>
      </c>
      <c r="H38" s="69">
        <v>5</v>
      </c>
      <c r="I38" s="70" t="s">
        <v>340</v>
      </c>
    </row>
    <row r="39" spans="1:9" ht="30" customHeight="1">
      <c r="A39" s="66">
        <v>36</v>
      </c>
      <c r="B39" s="67" t="s">
        <v>341</v>
      </c>
      <c r="C39" s="66">
        <v>60</v>
      </c>
      <c r="D39" s="68">
        <v>2.35363198548811E-2</v>
      </c>
      <c r="E39" s="68">
        <v>0.194174638802769</v>
      </c>
      <c r="F39" s="68">
        <v>2.35363198548811E-2</v>
      </c>
      <c r="G39" s="68">
        <v>0.194174638802769</v>
      </c>
      <c r="H39" s="69">
        <v>5</v>
      </c>
      <c r="I39" s="70" t="s">
        <v>340</v>
      </c>
    </row>
    <row r="40" spans="1:9" ht="30" customHeight="1">
      <c r="A40" s="66">
        <v>37</v>
      </c>
      <c r="B40" s="67" t="s">
        <v>342</v>
      </c>
      <c r="C40" s="66">
        <v>61</v>
      </c>
      <c r="D40" s="68">
        <v>2.5093965276657498E-2</v>
      </c>
      <c r="E40" s="68">
        <v>0.196129149662296</v>
      </c>
      <c r="F40" s="68">
        <v>2.5093965276657498E-2</v>
      </c>
      <c r="G40" s="68">
        <v>0.196129149662296</v>
      </c>
      <c r="H40" s="69">
        <v>5</v>
      </c>
      <c r="I40" s="70" t="s">
        <v>343</v>
      </c>
    </row>
    <row r="41" spans="1:9" ht="30" customHeight="1">
      <c r="A41" s="66">
        <v>38</v>
      </c>
      <c r="B41" s="67" t="s">
        <v>344</v>
      </c>
      <c r="C41" s="66">
        <v>61</v>
      </c>
      <c r="D41" s="68">
        <v>2.5093965276657498E-2</v>
      </c>
      <c r="E41" s="68">
        <v>0.196129149662296</v>
      </c>
      <c r="F41" s="68">
        <v>2.5093965276657498E-2</v>
      </c>
      <c r="G41" s="68">
        <v>0.196129149662296</v>
      </c>
      <c r="H41" s="69">
        <v>5</v>
      </c>
      <c r="I41" s="70" t="s">
        <v>345</v>
      </c>
    </row>
    <row r="42" spans="1:9" ht="30" customHeight="1">
      <c r="A42" s="66">
        <v>39</v>
      </c>
      <c r="B42" s="67" t="s">
        <v>346</v>
      </c>
      <c r="C42" s="66">
        <v>62</v>
      </c>
      <c r="D42" s="68">
        <v>2.6716594991841001E-2</v>
      </c>
      <c r="E42" s="68">
        <v>0.199554230089487</v>
      </c>
      <c r="F42" s="68">
        <v>2.6716594991841001E-2</v>
      </c>
      <c r="G42" s="68">
        <v>0.199554230089487</v>
      </c>
      <c r="H42" s="69">
        <v>5</v>
      </c>
      <c r="I42" s="70" t="s">
        <v>347</v>
      </c>
    </row>
    <row r="43" spans="1:9" ht="30" customHeight="1">
      <c r="A43" s="66">
        <v>40</v>
      </c>
      <c r="B43" s="67" t="s">
        <v>348</v>
      </c>
      <c r="C43" s="66">
        <v>24</v>
      </c>
      <c r="D43" s="68">
        <v>2.6875990584442701E-2</v>
      </c>
      <c r="E43" s="68">
        <v>0.199554230089487</v>
      </c>
      <c r="F43" s="68">
        <v>2.6875990584442701E-2</v>
      </c>
      <c r="G43" s="68">
        <v>0.199554230089487</v>
      </c>
      <c r="H43" s="69">
        <v>3</v>
      </c>
      <c r="I43" s="70" t="s">
        <v>349</v>
      </c>
    </row>
    <row r="44" spans="1:9" ht="30" customHeight="1">
      <c r="A44" s="66">
        <v>41</v>
      </c>
      <c r="B44" s="67" t="s">
        <v>350</v>
      </c>
      <c r="C44" s="66">
        <v>43</v>
      </c>
      <c r="D44" s="68">
        <v>2.9274495432900099E-2</v>
      </c>
      <c r="E44" s="68">
        <v>0.21206158886759399</v>
      </c>
      <c r="F44" s="68">
        <v>2.9274495432900099E-2</v>
      </c>
      <c r="G44" s="68">
        <v>0.21206158886759399</v>
      </c>
      <c r="H44" s="69">
        <v>4</v>
      </c>
      <c r="I44" s="70" t="s">
        <v>332</v>
      </c>
    </row>
    <row r="45" spans="1:9" ht="30" customHeight="1">
      <c r="A45" s="66">
        <v>42</v>
      </c>
      <c r="B45" s="67" t="s">
        <v>351</v>
      </c>
      <c r="C45" s="66">
        <v>11</v>
      </c>
      <c r="D45" s="68">
        <v>3.5039636479336403E-2</v>
      </c>
      <c r="E45" s="68">
        <v>0.24778028653244999</v>
      </c>
      <c r="F45" s="68">
        <v>3.5039636479336403E-2</v>
      </c>
      <c r="G45" s="68">
        <v>0.24778028653244999</v>
      </c>
      <c r="H45" s="69">
        <v>2</v>
      </c>
      <c r="I45" s="70" t="s">
        <v>352</v>
      </c>
    </row>
    <row r="46" spans="1:9" ht="30" customHeight="1">
      <c r="A46" s="66">
        <v>43</v>
      </c>
      <c r="B46" s="67" t="s">
        <v>353</v>
      </c>
      <c r="C46" s="66">
        <v>69</v>
      </c>
      <c r="D46" s="68">
        <v>3.9953642820538503E-2</v>
      </c>
      <c r="E46" s="68">
        <v>0.26968708903863498</v>
      </c>
      <c r="F46" s="68">
        <v>3.9953642820538503E-2</v>
      </c>
      <c r="G46" s="68">
        <v>0.26968708903863498</v>
      </c>
      <c r="H46" s="69">
        <v>5</v>
      </c>
      <c r="I46" s="70" t="s">
        <v>354</v>
      </c>
    </row>
    <row r="47" spans="1:9" ht="30" customHeight="1">
      <c r="A47" s="66">
        <v>44</v>
      </c>
      <c r="B47" s="67" t="s">
        <v>355</v>
      </c>
      <c r="C47" s="66">
        <v>69</v>
      </c>
      <c r="D47" s="68">
        <v>3.9953642820538503E-2</v>
      </c>
      <c r="E47" s="68">
        <v>0.26968708903863498</v>
      </c>
      <c r="F47" s="68">
        <v>3.9953642820538503E-2</v>
      </c>
      <c r="G47" s="68">
        <v>0.26968708903863498</v>
      </c>
      <c r="H47" s="69">
        <v>5</v>
      </c>
      <c r="I47" s="70" t="s">
        <v>345</v>
      </c>
    </row>
    <row r="48" spans="1:9" ht="30" customHeight="1">
      <c r="A48" s="66">
        <v>45</v>
      </c>
      <c r="B48" s="67" t="s">
        <v>356</v>
      </c>
      <c r="C48" s="66">
        <v>48</v>
      </c>
      <c r="D48" s="68">
        <v>4.1620064623929601E-2</v>
      </c>
      <c r="E48" s="68">
        <v>0.27469242651793502</v>
      </c>
      <c r="F48" s="68">
        <v>4.1620064623929601E-2</v>
      </c>
      <c r="G48" s="68">
        <v>0.27469242651793502</v>
      </c>
      <c r="H48" s="69">
        <v>4</v>
      </c>
      <c r="I48" s="70" t="s">
        <v>357</v>
      </c>
    </row>
    <row r="49" spans="1:9" ht="30" customHeight="1">
      <c r="A49" s="66">
        <v>46</v>
      </c>
      <c r="B49" s="67" t="s">
        <v>358</v>
      </c>
      <c r="C49" s="66">
        <v>29</v>
      </c>
      <c r="D49" s="68">
        <v>4.3977755655750503E-2</v>
      </c>
      <c r="E49" s="68">
        <v>0.28394333542951899</v>
      </c>
      <c r="F49" s="68">
        <v>4.3977755655750503E-2</v>
      </c>
      <c r="G49" s="68">
        <v>0.28394333542951899</v>
      </c>
      <c r="H49" s="69">
        <v>3</v>
      </c>
      <c r="I49" s="70" t="s">
        <v>311</v>
      </c>
    </row>
    <row r="50" spans="1:9" ht="30" customHeight="1">
      <c r="A50" s="66">
        <v>47</v>
      </c>
      <c r="B50" s="67" t="s">
        <v>359</v>
      </c>
      <c r="C50" s="66">
        <v>13</v>
      </c>
      <c r="D50" s="68">
        <v>4.7956864687975602E-2</v>
      </c>
      <c r="E50" s="68">
        <v>0.30304657047507999</v>
      </c>
      <c r="F50" s="68">
        <v>4.7956864687975602E-2</v>
      </c>
      <c r="G50" s="68">
        <v>0.30304657047507999</v>
      </c>
      <c r="H50" s="69">
        <v>2</v>
      </c>
      <c r="I50" s="70" t="s">
        <v>360</v>
      </c>
    </row>
    <row r="51" spans="1:9" ht="30" customHeight="1">
      <c r="A51" s="66">
        <v>48</v>
      </c>
      <c r="B51" s="67" t="s">
        <v>361</v>
      </c>
      <c r="C51" s="66">
        <v>51</v>
      </c>
      <c r="D51" s="68">
        <v>5.02472616027251E-2</v>
      </c>
      <c r="E51" s="68">
        <v>0.31090493116686102</v>
      </c>
      <c r="F51" s="68">
        <v>5.02472616027251E-2</v>
      </c>
      <c r="G51" s="68">
        <v>0.31090493116686102</v>
      </c>
      <c r="H51" s="69">
        <v>4</v>
      </c>
      <c r="I51" s="70" t="s">
        <v>362</v>
      </c>
    </row>
    <row r="52" spans="1:9" ht="30" customHeight="1">
      <c r="A52" s="66">
        <v>49</v>
      </c>
      <c r="B52" s="67" t="s">
        <v>363</v>
      </c>
      <c r="C52" s="66">
        <v>52</v>
      </c>
      <c r="D52" s="68">
        <v>5.3326008583733299E-2</v>
      </c>
      <c r="E52" s="68">
        <v>0.31675649098737602</v>
      </c>
      <c r="F52" s="68">
        <v>5.3326008583733299E-2</v>
      </c>
      <c r="G52" s="68">
        <v>0.31675649098737602</v>
      </c>
      <c r="H52" s="69">
        <v>4</v>
      </c>
      <c r="I52" s="70" t="s">
        <v>364</v>
      </c>
    </row>
    <row r="53" spans="1:9" ht="30" customHeight="1" thickBot="1">
      <c r="A53" s="66">
        <v>50</v>
      </c>
      <c r="B53" s="67" t="s">
        <v>365</v>
      </c>
      <c r="C53" s="66">
        <v>52</v>
      </c>
      <c r="D53" s="68">
        <v>5.3326008583733299E-2</v>
      </c>
      <c r="E53" s="68">
        <v>0.31675649098737602</v>
      </c>
      <c r="F53" s="68">
        <v>5.3326008583733299E-2</v>
      </c>
      <c r="G53" s="68">
        <v>0.31675649098737602</v>
      </c>
      <c r="H53" s="69">
        <v>4</v>
      </c>
      <c r="I53" s="70" t="s">
        <v>366</v>
      </c>
    </row>
    <row r="54" spans="1:9">
      <c r="A54" s="56" t="s">
        <v>70</v>
      </c>
      <c r="B54" s="56" t="s">
        <v>70</v>
      </c>
      <c r="C54" s="56" t="s">
        <v>70</v>
      </c>
      <c r="D54" s="56" t="s">
        <v>70</v>
      </c>
      <c r="E54" s="56" t="s">
        <v>70</v>
      </c>
      <c r="F54" s="56" t="s">
        <v>70</v>
      </c>
      <c r="G54" s="56" t="s">
        <v>70</v>
      </c>
      <c r="H54" s="56" t="s">
        <v>70</v>
      </c>
      <c r="I54" s="56" t="s">
        <v>70</v>
      </c>
    </row>
  </sheetData>
  <autoFilter ref="A3:I13"/>
  <hyperlinks>
    <hyperlink ref="B4" r:id="rId1" display="http://portal.genego.com/cgi/network/net_net.cgi?term=10&amp;id=147192"/>
    <hyperlink ref="B5" r:id="rId2" display="http://portal.genego.com/cgi/network/net_net.cgi?term=10&amp;id=147223"/>
    <hyperlink ref="B6" r:id="rId3" display="http://portal.genego.com/cgi/network/net_net.cgi?term=10&amp;id=147248"/>
    <hyperlink ref="B7" r:id="rId4" display="http://portal.genego.com/cgi/network/net_net.cgi?term=10&amp;id=147267"/>
    <hyperlink ref="B8" r:id="rId5" display="http://portal.genego.com/cgi/network/net_net.cgi?term=10&amp;id=147063"/>
    <hyperlink ref="B9" r:id="rId6" display="http://portal.genego.com/cgi/network/net_net.cgi?term=10&amp;id=147320"/>
    <hyperlink ref="B10" r:id="rId7" display="http://portal.genego.com/cgi/network/net_net.cgi?term=10&amp;id=147285"/>
    <hyperlink ref="B11" r:id="rId8" display="http://portal.genego.com/cgi/network/net_net.cgi?term=10&amp;id=147007"/>
    <hyperlink ref="B12" r:id="rId9" display="http://portal.genego.com/cgi/network/net_net.cgi?term=10&amp;id=147027"/>
    <hyperlink ref="B13" r:id="rId10" display="http://portal.genego.com/cgi/network/net_net.cgi?term=10&amp;id=147394"/>
    <hyperlink ref="B14" r:id="rId11" display="http://portal.genego.com/cgi/network/net_net.cgi?term=10&amp;id=147106"/>
    <hyperlink ref="B15" r:id="rId12" display="http://portal.genego.com/cgi/network/net_net.cgi?term=10&amp;id=147178"/>
    <hyperlink ref="B16" r:id="rId13" display="http://portal.genego.com/cgi/network/net_net.cgi?term=10&amp;id=147095"/>
    <hyperlink ref="B17" r:id="rId14" display="http://portal.genego.com/cgi/network/net_net.cgi?term=10&amp;id=147205"/>
    <hyperlink ref="B18" r:id="rId15" display="http://portal.genego.com/cgi/network/net_net.cgi?term=10&amp;id=147238"/>
    <hyperlink ref="B19" r:id="rId16" display="http://portal.genego.com/cgi/network/net_net.cgi?term=10&amp;id=147265"/>
    <hyperlink ref="B20" r:id="rId17" display="http://portal.genego.com/cgi/network/net_net.cgi?term=10&amp;id=147092"/>
    <hyperlink ref="B21" r:id="rId18" display="http://portal.genego.com/cgi/network/net_net.cgi?term=10&amp;id=147307"/>
    <hyperlink ref="B22" r:id="rId19" display="http://portal.genego.com/cgi/network/net_net.cgi?term=10&amp;id=147222"/>
    <hyperlink ref="B23" r:id="rId20" display="http://portal.genego.com/cgi/network/net_net.cgi?term=10&amp;id=147034"/>
    <hyperlink ref="B24" r:id="rId21" display="http://portal.genego.com/cgi/network/net_net.cgi?term=10&amp;id=147057"/>
    <hyperlink ref="B25" r:id="rId22" display="http://portal.genego.com/cgi/network/net_net.cgi?term=10&amp;id=147112"/>
    <hyperlink ref="B26" r:id="rId23" display="http://portal.genego.com/cgi/network/net_net.cgi?term=10&amp;id=147244"/>
    <hyperlink ref="B27" r:id="rId24" display="http://portal.genego.com/cgi/network/net_net.cgi?term=10&amp;id=147110"/>
    <hyperlink ref="B28" r:id="rId25" display="http://portal.genego.com/cgi/network/net_net.cgi?term=10&amp;id=147163"/>
    <hyperlink ref="B29" r:id="rId26" display="http://portal.genego.com/cgi/network/net_net.cgi?term=10&amp;id=147017"/>
    <hyperlink ref="B30" r:id="rId27" display="http://portal.genego.com/cgi/network/net_net.cgi?term=10&amp;id=147358"/>
    <hyperlink ref="B31" r:id="rId28" display="http://portal.genego.com/cgi/network/net_net.cgi?term=10&amp;id=147345"/>
    <hyperlink ref="B32" r:id="rId29" display="http://portal.genego.com/cgi/network/net_net.cgi?term=10&amp;id=147239"/>
    <hyperlink ref="B33" r:id="rId30" display="http://portal.genego.com/cgi/network/net_net.cgi?term=10&amp;id=147224"/>
    <hyperlink ref="B34" r:id="rId31" display="http://portal.genego.com/cgi/network/net_net.cgi?term=10&amp;id=147312"/>
    <hyperlink ref="B35" r:id="rId32" display="http://portal.genego.com/cgi/network/net_net.cgi?term=10&amp;id=147255"/>
    <hyperlink ref="B36" r:id="rId33" display="http://portal.genego.com/cgi/network/net_net.cgi?term=10&amp;id=147220"/>
    <hyperlink ref="B37" r:id="rId34" display="http://portal.genego.com/cgi/network/net_net.cgi?term=10&amp;id=147334"/>
    <hyperlink ref="B38" r:id="rId35" display="http://portal.genego.com/cgi/network/net_net.cgi?term=10&amp;id=147233"/>
    <hyperlink ref="B39" r:id="rId36" display="http://portal.genego.com/cgi/network/net_net.cgi?term=10&amp;id=147151"/>
    <hyperlink ref="B40" r:id="rId37" display="http://portal.genego.com/cgi/network/net_net.cgi?term=10&amp;id=147096"/>
    <hyperlink ref="B41" r:id="rId38" display="http://portal.genego.com/cgi/network/net_net.cgi?term=10&amp;id=147152"/>
    <hyperlink ref="B42" r:id="rId39" display="http://portal.genego.com/cgi/network/net_net.cgi?term=10&amp;id=147172"/>
    <hyperlink ref="B43" r:id="rId40" display="http://portal.genego.com/cgi/network/net_net.cgi?term=10&amp;id=147338"/>
    <hyperlink ref="B44" r:id="rId41" display="http://portal.genego.com/cgi/network/net_net.cgi?term=10&amp;id=147148"/>
    <hyperlink ref="B45" r:id="rId42" display="http://portal.genego.com/cgi/network/net_net.cgi?term=10&amp;id=147130"/>
    <hyperlink ref="B46" r:id="rId43" display="http://portal.genego.com/cgi/network/net_net.cgi?term=10&amp;id=147379"/>
    <hyperlink ref="B47" r:id="rId44" display="http://portal.genego.com/cgi/network/net_net.cgi?term=10&amp;id=147071"/>
    <hyperlink ref="B48" r:id="rId45" display="http://portal.genego.com/cgi/network/net_net.cgi?term=10&amp;id=147337"/>
    <hyperlink ref="B49" r:id="rId46" display="http://portal.genego.com/cgi/network/net_net.cgi?term=10&amp;id=147315"/>
    <hyperlink ref="B50" r:id="rId47" display="http://portal.genego.com/cgi/network/net_net.cgi?term=10&amp;id=147247"/>
    <hyperlink ref="B51" r:id="rId48" display="http://portal.genego.com/cgi/network/net_net.cgi?term=10&amp;id=147375"/>
    <hyperlink ref="B52" r:id="rId49" display="http://portal.genego.com/cgi/network/net_net.cgi?term=10&amp;id=147180"/>
    <hyperlink ref="B53" r:id="rId50" display="http://portal.genego.com/cgi/network/net_net.cgi?term=10&amp;id=147336"/>
  </hyperlinks>
  <printOptions gridLines="1" gridLinesSet="0"/>
  <pageMargins left="0.75" right="0.75" top="1" bottom="1" header="0.5" footer="0.5"/>
  <pageSetup paperSize="0" fitToWidth="0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="90" workbookViewId="0">
      <pane xSplit="5" ySplit="3" topLeftCell="F4" activePane="bottomRight" state="frozen"/>
      <selection pane="topRight"/>
      <selection pane="bottomLeft"/>
      <selection pane="bottomRight" activeCell="F2" sqref="F2"/>
    </sheetView>
  </sheetViews>
  <sheetFormatPr baseColWidth="10" defaultColWidth="8.83203125" defaultRowHeight="12" x14ac:dyDescent="0"/>
  <cols>
    <col min="1" max="1" width="7.1640625" customWidth="1"/>
    <col min="2" max="2" width="57.1640625" customWidth="1"/>
    <col min="3" max="8" width="11.5" customWidth="1"/>
    <col min="9" max="9" width="17.1640625" customWidth="1"/>
  </cols>
  <sheetData>
    <row r="1" spans="1:10" ht="20" customHeight="1" thickBot="1">
      <c r="A1" s="40" t="s">
        <v>68</v>
      </c>
    </row>
    <row r="2" spans="1:10" ht="30" customHeight="1" thickBot="1">
      <c r="A2" s="42" t="s">
        <v>69</v>
      </c>
      <c r="F2" s="71" t="s">
        <v>456</v>
      </c>
      <c r="G2" s="43"/>
      <c r="H2" s="43"/>
      <c r="I2" s="43"/>
      <c r="J2" s="58" t="s">
        <v>70</v>
      </c>
    </row>
    <row r="3" spans="1:10" ht="30" customHeight="1" thickBot="1">
      <c r="A3" s="62" t="s">
        <v>71</v>
      </c>
      <c r="B3" s="62" t="s">
        <v>72</v>
      </c>
      <c r="C3" s="62" t="s">
        <v>73</v>
      </c>
      <c r="D3" s="62" t="s">
        <v>272</v>
      </c>
      <c r="E3" s="63" t="s">
        <v>75</v>
      </c>
      <c r="F3" s="64" t="s">
        <v>1</v>
      </c>
      <c r="G3" s="64" t="s">
        <v>76</v>
      </c>
      <c r="H3" s="64" t="s">
        <v>77</v>
      </c>
      <c r="I3" s="65" t="s">
        <v>78</v>
      </c>
      <c r="J3" s="58" t="s">
        <v>70</v>
      </c>
    </row>
    <row r="4" spans="1:10" ht="30" customHeight="1">
      <c r="A4" s="66">
        <v>1</v>
      </c>
      <c r="B4" s="67" t="s">
        <v>375</v>
      </c>
      <c r="C4" s="66">
        <v>51</v>
      </c>
      <c r="D4" s="68">
        <v>1.1232158311974599E-7</v>
      </c>
      <c r="E4" s="68">
        <v>9.1429768659473103E-5</v>
      </c>
      <c r="F4" s="68">
        <v>1.1232158311974599E-7</v>
      </c>
      <c r="G4" s="68">
        <v>9.1429768659473103E-5</v>
      </c>
      <c r="H4" s="69">
        <v>9</v>
      </c>
      <c r="I4" s="70" t="s">
        <v>376</v>
      </c>
    </row>
    <row r="5" spans="1:10" ht="30" customHeight="1">
      <c r="A5" s="66">
        <v>2</v>
      </c>
      <c r="B5" s="67" t="s">
        <v>117</v>
      </c>
      <c r="C5" s="66">
        <v>32</v>
      </c>
      <c r="D5" s="68">
        <v>6.5060609873311597E-7</v>
      </c>
      <c r="E5" s="68">
        <v>2.64796682184379E-4</v>
      </c>
      <c r="F5" s="68">
        <v>6.5060609873311703E-7</v>
      </c>
      <c r="G5" s="68">
        <v>2.64796682184379E-4</v>
      </c>
      <c r="H5" s="69">
        <v>7</v>
      </c>
      <c r="I5" s="70" t="s">
        <v>377</v>
      </c>
    </row>
    <row r="6" spans="1:10" ht="30" customHeight="1">
      <c r="A6" s="66">
        <v>3</v>
      </c>
      <c r="B6" s="67" t="s">
        <v>378</v>
      </c>
      <c r="C6" s="66">
        <v>37</v>
      </c>
      <c r="D6" s="68">
        <v>1.85791686641907E-6</v>
      </c>
      <c r="E6" s="68">
        <v>3.2967827179443702E-4</v>
      </c>
      <c r="F6" s="68">
        <v>1.85791686641907E-6</v>
      </c>
      <c r="G6" s="68">
        <v>3.2967827179443702E-4</v>
      </c>
      <c r="H6" s="69">
        <v>7</v>
      </c>
      <c r="I6" s="70" t="s">
        <v>379</v>
      </c>
    </row>
    <row r="7" spans="1:10" ht="30" customHeight="1">
      <c r="A7" s="66">
        <v>4</v>
      </c>
      <c r="B7" s="67" t="s">
        <v>380</v>
      </c>
      <c r="C7" s="66">
        <v>37</v>
      </c>
      <c r="D7" s="68">
        <v>1.85791686641907E-6</v>
      </c>
      <c r="E7" s="68">
        <v>3.2967827179443702E-4</v>
      </c>
      <c r="F7" s="68">
        <v>1.85791686641907E-6</v>
      </c>
      <c r="G7" s="68">
        <v>3.2967827179443702E-4</v>
      </c>
      <c r="H7" s="69">
        <v>7</v>
      </c>
      <c r="I7" s="70" t="s">
        <v>381</v>
      </c>
    </row>
    <row r="8" spans="1:10" ht="30" customHeight="1">
      <c r="A8" s="66">
        <v>5</v>
      </c>
      <c r="B8" s="67" t="s">
        <v>265</v>
      </c>
      <c r="C8" s="66">
        <v>53</v>
      </c>
      <c r="D8" s="68">
        <v>2.0250508095481401E-6</v>
      </c>
      <c r="E8" s="68">
        <v>3.2967827179443702E-4</v>
      </c>
      <c r="F8" s="68">
        <v>2.0250508095481401E-6</v>
      </c>
      <c r="G8" s="68">
        <v>3.2967827179443702E-4</v>
      </c>
      <c r="H8" s="69">
        <v>8</v>
      </c>
      <c r="I8" s="70" t="s">
        <v>382</v>
      </c>
    </row>
    <row r="9" spans="1:10" ht="30" customHeight="1">
      <c r="A9" s="66">
        <v>6</v>
      </c>
      <c r="B9" s="67" t="s">
        <v>383</v>
      </c>
      <c r="C9" s="66">
        <v>55</v>
      </c>
      <c r="D9" s="68">
        <v>2.7057687871877198E-6</v>
      </c>
      <c r="E9" s="68">
        <v>3.6708263212846803E-4</v>
      </c>
      <c r="F9" s="68">
        <v>2.7057687871877198E-6</v>
      </c>
      <c r="G9" s="68">
        <v>3.6708263212846803E-4</v>
      </c>
      <c r="H9" s="69">
        <v>8</v>
      </c>
      <c r="I9" s="70" t="s">
        <v>384</v>
      </c>
    </row>
    <row r="10" spans="1:10" ht="30" customHeight="1">
      <c r="A10" s="66">
        <v>7</v>
      </c>
      <c r="B10" s="67" t="s">
        <v>87</v>
      </c>
      <c r="C10" s="66">
        <v>40</v>
      </c>
      <c r="D10" s="68">
        <v>3.22860125158501E-6</v>
      </c>
      <c r="E10" s="68">
        <v>3.7544020268431399E-4</v>
      </c>
      <c r="F10" s="68">
        <v>3.22860125158501E-6</v>
      </c>
      <c r="G10" s="68">
        <v>3.7544020268431399E-4</v>
      </c>
      <c r="H10" s="69">
        <v>7</v>
      </c>
      <c r="I10" s="70" t="s">
        <v>385</v>
      </c>
    </row>
    <row r="11" spans="1:10" ht="30" customHeight="1">
      <c r="A11" s="66">
        <v>8</v>
      </c>
      <c r="B11" s="67" t="s">
        <v>386</v>
      </c>
      <c r="C11" s="66">
        <v>33</v>
      </c>
      <c r="D11" s="68">
        <v>1.3297137201875402E-5</v>
      </c>
      <c r="E11" s="68">
        <v>1.35298371029082E-3</v>
      </c>
      <c r="F11" s="68">
        <v>1.3297137201875402E-5</v>
      </c>
      <c r="G11" s="68">
        <v>1.35298371029082E-3</v>
      </c>
      <c r="H11" s="69">
        <v>6</v>
      </c>
      <c r="I11" s="70" t="s">
        <v>387</v>
      </c>
    </row>
    <row r="12" spans="1:10" ht="30" customHeight="1">
      <c r="A12" s="66">
        <v>9</v>
      </c>
      <c r="B12" s="67" t="s">
        <v>388</v>
      </c>
      <c r="C12" s="66">
        <v>54</v>
      </c>
      <c r="D12" s="68">
        <v>2.5311138501199403E-5</v>
      </c>
      <c r="E12" s="68">
        <v>1.75009053154929E-3</v>
      </c>
      <c r="F12" s="68">
        <v>2.5311138501199403E-5</v>
      </c>
      <c r="G12" s="68">
        <v>1.75009053154929E-3</v>
      </c>
      <c r="H12" s="69">
        <v>7</v>
      </c>
      <c r="I12" s="70" t="s">
        <v>389</v>
      </c>
    </row>
    <row r="13" spans="1:10" ht="30" customHeight="1">
      <c r="A13" s="66">
        <v>10</v>
      </c>
      <c r="B13" s="67" t="s">
        <v>179</v>
      </c>
      <c r="C13" s="66">
        <v>74</v>
      </c>
      <c r="D13" s="68">
        <v>2.5742817769460701E-5</v>
      </c>
      <c r="E13" s="68">
        <v>1.75009053154929E-3</v>
      </c>
      <c r="F13" s="68">
        <v>2.5742817769460701E-5</v>
      </c>
      <c r="G13" s="68">
        <v>1.75009053154929E-3</v>
      </c>
      <c r="H13" s="69">
        <v>8</v>
      </c>
      <c r="I13" s="70" t="s">
        <v>390</v>
      </c>
    </row>
    <row r="14" spans="1:10" ht="30" customHeight="1">
      <c r="A14" s="66">
        <v>11</v>
      </c>
      <c r="B14" s="67" t="s">
        <v>391</v>
      </c>
      <c r="C14" s="66">
        <v>23</v>
      </c>
      <c r="D14" s="68">
        <v>2.8953032481727901E-5</v>
      </c>
      <c r="E14" s="68">
        <v>1.75009053154929E-3</v>
      </c>
      <c r="F14" s="68">
        <v>2.8953032481727901E-5</v>
      </c>
      <c r="G14" s="68">
        <v>1.75009053154929E-3</v>
      </c>
      <c r="H14" s="69">
        <v>5</v>
      </c>
      <c r="I14" s="70" t="s">
        <v>392</v>
      </c>
    </row>
    <row r="15" spans="1:10" ht="30" customHeight="1">
      <c r="A15" s="66">
        <v>12</v>
      </c>
      <c r="B15" s="67" t="s">
        <v>393</v>
      </c>
      <c r="C15" s="66">
        <v>23</v>
      </c>
      <c r="D15" s="68">
        <v>2.8953032481727901E-5</v>
      </c>
      <c r="E15" s="68">
        <v>1.75009053154929E-3</v>
      </c>
      <c r="F15" s="68">
        <v>2.8953032481727901E-5</v>
      </c>
      <c r="G15" s="68">
        <v>1.75009053154929E-3</v>
      </c>
      <c r="H15" s="69">
        <v>5</v>
      </c>
      <c r="I15" s="70" t="s">
        <v>394</v>
      </c>
    </row>
    <row r="16" spans="1:10" ht="30" customHeight="1">
      <c r="A16" s="66">
        <v>13</v>
      </c>
      <c r="B16" s="67" t="s">
        <v>131</v>
      </c>
      <c r="C16" s="66">
        <v>38</v>
      </c>
      <c r="D16" s="68">
        <v>3.0978872442918698E-5</v>
      </c>
      <c r="E16" s="68">
        <v>1.75009053154929E-3</v>
      </c>
      <c r="F16" s="68">
        <v>3.0978872442918698E-5</v>
      </c>
      <c r="G16" s="68">
        <v>1.75009053154929E-3</v>
      </c>
      <c r="H16" s="69">
        <v>6</v>
      </c>
      <c r="I16" s="70" t="s">
        <v>395</v>
      </c>
    </row>
    <row r="17" spans="1:9" ht="30" customHeight="1">
      <c r="A17" s="66">
        <v>14</v>
      </c>
      <c r="B17" s="67" t="s">
        <v>396</v>
      </c>
      <c r="C17" s="66">
        <v>38</v>
      </c>
      <c r="D17" s="68">
        <v>3.0978872442918698E-5</v>
      </c>
      <c r="E17" s="68">
        <v>1.75009053154929E-3</v>
      </c>
      <c r="F17" s="68">
        <v>3.0978872442918698E-5</v>
      </c>
      <c r="G17" s="68">
        <v>1.75009053154929E-3</v>
      </c>
      <c r="H17" s="69">
        <v>6</v>
      </c>
      <c r="I17" s="70" t="s">
        <v>397</v>
      </c>
    </row>
    <row r="18" spans="1:9" ht="30" customHeight="1">
      <c r="A18" s="66">
        <v>15</v>
      </c>
      <c r="B18" s="67" t="s">
        <v>167</v>
      </c>
      <c r="C18" s="66">
        <v>56</v>
      </c>
      <c r="D18" s="68">
        <v>3.2249825519950103E-5</v>
      </c>
      <c r="E18" s="68">
        <v>1.75009053154929E-3</v>
      </c>
      <c r="F18" s="68">
        <v>3.2249825519950103E-5</v>
      </c>
      <c r="G18" s="68">
        <v>1.75009053154929E-3</v>
      </c>
      <c r="H18" s="69">
        <v>7</v>
      </c>
      <c r="I18" s="70" t="s">
        <v>398</v>
      </c>
    </row>
    <row r="19" spans="1:9" ht="30" customHeight="1">
      <c r="A19" s="66">
        <v>16</v>
      </c>
      <c r="B19" s="67" t="s">
        <v>399</v>
      </c>
      <c r="C19" s="66">
        <v>60</v>
      </c>
      <c r="D19" s="68">
        <v>5.0842953545607802E-5</v>
      </c>
      <c r="E19" s="68">
        <v>2.5866352616327999E-3</v>
      </c>
      <c r="F19" s="68">
        <v>5.0842953545607802E-5</v>
      </c>
      <c r="G19" s="68">
        <v>2.5866352616327999E-3</v>
      </c>
      <c r="H19" s="69">
        <v>7</v>
      </c>
      <c r="I19" s="70" t="s">
        <v>400</v>
      </c>
    </row>
    <row r="20" spans="1:9" ht="30" customHeight="1">
      <c r="A20" s="66">
        <v>17</v>
      </c>
      <c r="B20" s="67" t="s">
        <v>401</v>
      </c>
      <c r="C20" s="66">
        <v>43</v>
      </c>
      <c r="D20" s="68">
        <v>6.3947304521494504E-5</v>
      </c>
      <c r="E20" s="68">
        <v>3.0619474047350898E-3</v>
      </c>
      <c r="F20" s="68">
        <v>6.3947304521494599E-5</v>
      </c>
      <c r="G20" s="68">
        <v>3.0619474047350898E-3</v>
      </c>
      <c r="H20" s="69">
        <v>6</v>
      </c>
      <c r="I20" s="70" t="s">
        <v>402</v>
      </c>
    </row>
    <row r="21" spans="1:9" ht="30" customHeight="1">
      <c r="A21" s="66">
        <v>18</v>
      </c>
      <c r="B21" s="67" t="s">
        <v>403</v>
      </c>
      <c r="C21" s="66">
        <v>64</v>
      </c>
      <c r="D21" s="68">
        <v>7.7425949237688789E-5</v>
      </c>
      <c r="E21" s="68">
        <v>3.46062004179601E-3</v>
      </c>
      <c r="F21" s="68">
        <v>7.7425949237688789E-5</v>
      </c>
      <c r="G21" s="68">
        <v>3.46062004179601E-3</v>
      </c>
      <c r="H21" s="69">
        <v>7</v>
      </c>
      <c r="I21" s="70" t="s">
        <v>404</v>
      </c>
    </row>
    <row r="22" spans="1:9" ht="30" customHeight="1">
      <c r="A22" s="66">
        <v>19</v>
      </c>
      <c r="B22" s="67" t="s">
        <v>214</v>
      </c>
      <c r="C22" s="66">
        <v>111</v>
      </c>
      <c r="D22" s="68">
        <v>8.077614348172501E-5</v>
      </c>
      <c r="E22" s="68">
        <v>3.46062004179601E-3</v>
      </c>
      <c r="F22" s="68">
        <v>8.0776143481725105E-5</v>
      </c>
      <c r="G22" s="68">
        <v>3.46062004179601E-3</v>
      </c>
      <c r="H22" s="69">
        <v>9</v>
      </c>
      <c r="I22" s="70" t="s">
        <v>405</v>
      </c>
    </row>
    <row r="23" spans="1:9" ht="30" customHeight="1">
      <c r="A23" s="66">
        <v>20</v>
      </c>
      <c r="B23" s="67" t="s">
        <v>406</v>
      </c>
      <c r="C23" s="66">
        <v>29</v>
      </c>
      <c r="D23" s="68">
        <v>9.4395810002501711E-5</v>
      </c>
      <c r="E23" s="68">
        <v>3.84190946710182E-3</v>
      </c>
      <c r="F23" s="68">
        <v>9.4395810002501711E-5</v>
      </c>
      <c r="G23" s="68">
        <v>3.84190946710182E-3</v>
      </c>
      <c r="H23" s="69">
        <v>5</v>
      </c>
      <c r="I23" s="70" t="s">
        <v>407</v>
      </c>
    </row>
    <row r="24" spans="1:9" ht="30" customHeight="1">
      <c r="A24" s="66">
        <v>21</v>
      </c>
      <c r="B24" s="67" t="s">
        <v>408</v>
      </c>
      <c r="C24" s="66">
        <v>67</v>
      </c>
      <c r="D24" s="68">
        <v>1.04033467029273E-4</v>
      </c>
      <c r="E24" s="68">
        <v>3.94851809236243E-3</v>
      </c>
      <c r="F24" s="68">
        <v>1.04033467029273E-4</v>
      </c>
      <c r="G24" s="68">
        <v>3.94851809236243E-3</v>
      </c>
      <c r="H24" s="69">
        <v>7</v>
      </c>
      <c r="I24" s="70" t="s">
        <v>409</v>
      </c>
    </row>
    <row r="25" spans="1:9" ht="30" customHeight="1">
      <c r="A25" s="66">
        <v>22</v>
      </c>
      <c r="B25" s="67" t="s">
        <v>410</v>
      </c>
      <c r="C25" s="66">
        <v>47</v>
      </c>
      <c r="D25" s="68">
        <v>1.0671670519898499E-4</v>
      </c>
      <c r="E25" s="68">
        <v>3.94851809236243E-3</v>
      </c>
      <c r="F25" s="68">
        <v>1.0671670519898499E-4</v>
      </c>
      <c r="G25" s="68">
        <v>3.94851809236243E-3</v>
      </c>
      <c r="H25" s="69">
        <v>6</v>
      </c>
      <c r="I25" s="70" t="s">
        <v>402</v>
      </c>
    </row>
    <row r="26" spans="1:9" ht="30" customHeight="1">
      <c r="A26" s="66">
        <v>23</v>
      </c>
      <c r="B26" s="67" t="s">
        <v>263</v>
      </c>
      <c r="C26" s="66">
        <v>48</v>
      </c>
      <c r="D26" s="68">
        <v>1.2032979918091701E-4</v>
      </c>
      <c r="E26" s="68">
        <v>4.2586285449246397E-3</v>
      </c>
      <c r="F26" s="68">
        <v>1.2032979918091701E-4</v>
      </c>
      <c r="G26" s="68">
        <v>4.2586285449246397E-3</v>
      </c>
      <c r="H26" s="69">
        <v>6</v>
      </c>
      <c r="I26" s="70" t="s">
        <v>411</v>
      </c>
    </row>
    <row r="27" spans="1:9" ht="30" customHeight="1">
      <c r="A27" s="66">
        <v>24</v>
      </c>
      <c r="B27" s="67" t="s">
        <v>412</v>
      </c>
      <c r="C27" s="66">
        <v>31</v>
      </c>
      <c r="D27" s="68">
        <v>1.3154180328745001E-4</v>
      </c>
      <c r="E27" s="68">
        <v>4.4048939932307303E-3</v>
      </c>
      <c r="F27" s="68">
        <v>1.3154180328745001E-4</v>
      </c>
      <c r="G27" s="68">
        <v>4.4048939932307303E-3</v>
      </c>
      <c r="H27" s="69">
        <v>5</v>
      </c>
      <c r="I27" s="70" t="s">
        <v>413</v>
      </c>
    </row>
    <row r="28" spans="1:9" ht="30" customHeight="1">
      <c r="A28" s="66">
        <v>25</v>
      </c>
      <c r="B28" s="67" t="s">
        <v>414</v>
      </c>
      <c r="C28" s="66">
        <v>49</v>
      </c>
      <c r="D28" s="68">
        <v>1.3528544205254099E-4</v>
      </c>
      <c r="E28" s="68">
        <v>4.4048939932307303E-3</v>
      </c>
      <c r="F28" s="68">
        <v>1.3528544205254099E-4</v>
      </c>
      <c r="G28" s="68">
        <v>4.4048939932307303E-3</v>
      </c>
      <c r="H28" s="69">
        <v>6</v>
      </c>
      <c r="I28" s="70" t="s">
        <v>415</v>
      </c>
    </row>
    <row r="29" spans="1:9" ht="30" customHeight="1">
      <c r="A29" s="66">
        <v>26</v>
      </c>
      <c r="B29" s="67" t="s">
        <v>416</v>
      </c>
      <c r="C29" s="66">
        <v>52</v>
      </c>
      <c r="D29" s="68">
        <v>1.89160668957489E-4</v>
      </c>
      <c r="E29" s="68">
        <v>5.9221840204383199E-3</v>
      </c>
      <c r="F29" s="68">
        <v>1.89160668957489E-4</v>
      </c>
      <c r="G29" s="68">
        <v>5.9221840204383199E-3</v>
      </c>
      <c r="H29" s="69">
        <v>6</v>
      </c>
      <c r="I29" s="70" t="s">
        <v>417</v>
      </c>
    </row>
    <row r="30" spans="1:9" ht="30" customHeight="1">
      <c r="A30" s="66">
        <v>27</v>
      </c>
      <c r="B30" s="67" t="s">
        <v>123</v>
      </c>
      <c r="C30" s="66">
        <v>53</v>
      </c>
      <c r="D30" s="68">
        <v>2.1045769302199E-4</v>
      </c>
      <c r="E30" s="68">
        <v>6.15275590691135E-3</v>
      </c>
      <c r="F30" s="68">
        <v>2.1045769302199E-4</v>
      </c>
      <c r="G30" s="68">
        <v>6.15275590691135E-3</v>
      </c>
      <c r="H30" s="69">
        <v>6</v>
      </c>
      <c r="I30" s="70" t="s">
        <v>418</v>
      </c>
    </row>
    <row r="31" spans="1:9" ht="30" customHeight="1">
      <c r="A31" s="66">
        <v>28</v>
      </c>
      <c r="B31" s="67" t="s">
        <v>419</v>
      </c>
      <c r="C31" s="66">
        <v>19</v>
      </c>
      <c r="D31" s="68">
        <v>2.1920137751895501E-4</v>
      </c>
      <c r="E31" s="68">
        <v>6.15275590691135E-3</v>
      </c>
      <c r="F31" s="68">
        <v>2.1920137751895501E-4</v>
      </c>
      <c r="G31" s="68">
        <v>6.15275590691135E-3</v>
      </c>
      <c r="H31" s="69">
        <v>4</v>
      </c>
      <c r="I31" s="70" t="s">
        <v>420</v>
      </c>
    </row>
    <row r="32" spans="1:9" ht="30" customHeight="1">
      <c r="A32" s="66">
        <v>29</v>
      </c>
      <c r="B32" s="67" t="s">
        <v>421</v>
      </c>
      <c r="C32" s="66">
        <v>19</v>
      </c>
      <c r="D32" s="68">
        <v>2.1920137751895501E-4</v>
      </c>
      <c r="E32" s="68">
        <v>6.15275590691135E-3</v>
      </c>
      <c r="F32" s="68">
        <v>2.1920137751895501E-4</v>
      </c>
      <c r="G32" s="68">
        <v>6.15275590691135E-3</v>
      </c>
      <c r="H32" s="69">
        <v>4</v>
      </c>
      <c r="I32" s="70" t="s">
        <v>422</v>
      </c>
    </row>
    <row r="33" spans="1:9" ht="30" customHeight="1">
      <c r="A33" s="66">
        <v>30</v>
      </c>
      <c r="B33" s="67" t="s">
        <v>129</v>
      </c>
      <c r="C33" s="66">
        <v>77</v>
      </c>
      <c r="D33" s="68">
        <v>2.5095626086636599E-4</v>
      </c>
      <c r="E33" s="68">
        <v>6.7401931894216201E-3</v>
      </c>
      <c r="F33" s="68">
        <v>2.5095626086636599E-4</v>
      </c>
      <c r="G33" s="68">
        <v>6.7401931894216201E-3</v>
      </c>
      <c r="H33" s="69">
        <v>7</v>
      </c>
      <c r="I33" s="70" t="s">
        <v>423</v>
      </c>
    </row>
    <row r="34" spans="1:9" ht="30" customHeight="1">
      <c r="A34" s="66">
        <v>31</v>
      </c>
      <c r="B34" s="67" t="s">
        <v>107</v>
      </c>
      <c r="C34" s="66">
        <v>36</v>
      </c>
      <c r="D34" s="68">
        <v>2.7325107524682197E-4</v>
      </c>
      <c r="E34" s="68">
        <v>6.7401931894216201E-3</v>
      </c>
      <c r="F34" s="68">
        <v>2.7325107524682197E-4</v>
      </c>
      <c r="G34" s="68">
        <v>6.7401931894216201E-3</v>
      </c>
      <c r="H34" s="69">
        <v>5</v>
      </c>
      <c r="I34" s="70" t="s">
        <v>424</v>
      </c>
    </row>
    <row r="35" spans="1:9" ht="30" customHeight="1">
      <c r="A35" s="66">
        <v>32</v>
      </c>
      <c r="B35" s="67" t="s">
        <v>173</v>
      </c>
      <c r="C35" s="66">
        <v>36</v>
      </c>
      <c r="D35" s="68">
        <v>2.7325107524682197E-4</v>
      </c>
      <c r="E35" s="68">
        <v>6.7401931894216201E-3</v>
      </c>
      <c r="F35" s="68">
        <v>2.7325107524682197E-4</v>
      </c>
      <c r="G35" s="68">
        <v>6.7401931894216201E-3</v>
      </c>
      <c r="H35" s="69">
        <v>5</v>
      </c>
      <c r="I35" s="70" t="s">
        <v>425</v>
      </c>
    </row>
    <row r="36" spans="1:9" ht="30" customHeight="1">
      <c r="A36" s="66">
        <v>33</v>
      </c>
      <c r="B36" s="67" t="s">
        <v>109</v>
      </c>
      <c r="C36" s="66">
        <v>36</v>
      </c>
      <c r="D36" s="68">
        <v>2.7325107524682197E-4</v>
      </c>
      <c r="E36" s="68">
        <v>6.7401931894216201E-3</v>
      </c>
      <c r="F36" s="68">
        <v>2.7325107524682197E-4</v>
      </c>
      <c r="G36" s="68">
        <v>6.7401931894216201E-3</v>
      </c>
      <c r="H36" s="69">
        <v>5</v>
      </c>
      <c r="I36" s="70" t="s">
        <v>426</v>
      </c>
    </row>
    <row r="37" spans="1:9" ht="30" customHeight="1">
      <c r="A37" s="66">
        <v>34</v>
      </c>
      <c r="B37" s="67" t="s">
        <v>224</v>
      </c>
      <c r="C37" s="66">
        <v>37</v>
      </c>
      <c r="D37" s="68">
        <v>3.1181496786945499E-4</v>
      </c>
      <c r="E37" s="68">
        <v>7.4652171719334203E-3</v>
      </c>
      <c r="F37" s="68">
        <v>3.1181496786945499E-4</v>
      </c>
      <c r="G37" s="68">
        <v>7.4652171719334203E-3</v>
      </c>
      <c r="H37" s="69">
        <v>5</v>
      </c>
      <c r="I37" s="70" t="s">
        <v>427</v>
      </c>
    </row>
    <row r="38" spans="1:9" ht="30" customHeight="1">
      <c r="A38" s="66">
        <v>35</v>
      </c>
      <c r="B38" s="67" t="s">
        <v>428</v>
      </c>
      <c r="C38" s="66">
        <v>38</v>
      </c>
      <c r="D38" s="68">
        <v>3.5436589141892998E-4</v>
      </c>
      <c r="E38" s="68">
        <v>8.24153816042884E-3</v>
      </c>
      <c r="F38" s="68">
        <v>3.5436589141893101E-4</v>
      </c>
      <c r="G38" s="68">
        <v>8.24153816042884E-3</v>
      </c>
      <c r="H38" s="69">
        <v>5</v>
      </c>
      <c r="I38" s="70" t="s">
        <v>429</v>
      </c>
    </row>
    <row r="39" spans="1:9" ht="30" customHeight="1">
      <c r="A39" s="66">
        <v>36</v>
      </c>
      <c r="B39" s="67" t="s">
        <v>264</v>
      </c>
      <c r="C39" s="66">
        <v>39</v>
      </c>
      <c r="D39" s="68">
        <v>4.0116669777403099E-4</v>
      </c>
      <c r="E39" s="68">
        <v>9.0708247774461508E-3</v>
      </c>
      <c r="F39" s="68">
        <v>4.0116669777403099E-4</v>
      </c>
      <c r="G39" s="68">
        <v>9.0708247774461508E-3</v>
      </c>
      <c r="H39" s="69">
        <v>5</v>
      </c>
      <c r="I39" s="70" t="s">
        <v>430</v>
      </c>
    </row>
    <row r="40" spans="1:9" ht="30" customHeight="1">
      <c r="A40" s="66">
        <v>37</v>
      </c>
      <c r="B40" s="67" t="s">
        <v>431</v>
      </c>
      <c r="C40" s="66">
        <v>60</v>
      </c>
      <c r="D40" s="68">
        <v>4.1773150107115599E-4</v>
      </c>
      <c r="E40" s="68">
        <v>9.1900930235654394E-3</v>
      </c>
      <c r="F40" s="68">
        <v>4.1773150107115599E-4</v>
      </c>
      <c r="G40" s="68">
        <v>9.1900930235654394E-3</v>
      </c>
      <c r="H40" s="69">
        <v>6</v>
      </c>
      <c r="I40" s="70" t="s">
        <v>432</v>
      </c>
    </row>
    <row r="41" spans="1:9" ht="30" customHeight="1">
      <c r="A41" s="66">
        <v>38</v>
      </c>
      <c r="B41" s="67" t="s">
        <v>267</v>
      </c>
      <c r="C41" s="66">
        <v>40</v>
      </c>
      <c r="D41" s="68">
        <v>4.5248696249527802E-4</v>
      </c>
      <c r="E41" s="68">
        <v>9.2081096867789106E-3</v>
      </c>
      <c r="F41" s="68">
        <v>4.5248696249527802E-4</v>
      </c>
      <c r="G41" s="68">
        <v>9.2081096867789106E-3</v>
      </c>
      <c r="H41" s="69">
        <v>5</v>
      </c>
      <c r="I41" s="70" t="s">
        <v>433</v>
      </c>
    </row>
    <row r="42" spans="1:9" ht="30" customHeight="1">
      <c r="A42" s="66">
        <v>39</v>
      </c>
      <c r="B42" s="67" t="s">
        <v>434</v>
      </c>
      <c r="C42" s="66">
        <v>40</v>
      </c>
      <c r="D42" s="68">
        <v>4.5248696249527802E-4</v>
      </c>
      <c r="E42" s="68">
        <v>9.2081096867789106E-3</v>
      </c>
      <c r="F42" s="68">
        <v>4.5248696249527802E-4</v>
      </c>
      <c r="G42" s="68">
        <v>9.2081096867789106E-3</v>
      </c>
      <c r="H42" s="69">
        <v>5</v>
      </c>
      <c r="I42" s="70" t="s">
        <v>435</v>
      </c>
    </row>
    <row r="43" spans="1:9" ht="30" customHeight="1">
      <c r="A43" s="66">
        <v>40</v>
      </c>
      <c r="B43" s="67" t="s">
        <v>436</v>
      </c>
      <c r="C43" s="66">
        <v>40</v>
      </c>
      <c r="D43" s="68">
        <v>4.5248696249527802E-4</v>
      </c>
      <c r="E43" s="68">
        <v>9.2081096867789106E-3</v>
      </c>
      <c r="F43" s="68">
        <v>4.5248696249527802E-4</v>
      </c>
      <c r="G43" s="68">
        <v>9.2081096867789106E-3</v>
      </c>
      <c r="H43" s="69">
        <v>5</v>
      </c>
      <c r="I43" s="70" t="s">
        <v>437</v>
      </c>
    </row>
    <row r="44" spans="1:9" ht="30" customHeight="1">
      <c r="A44" s="66">
        <v>41</v>
      </c>
      <c r="B44" s="67" t="s">
        <v>438</v>
      </c>
      <c r="C44" s="66">
        <v>41</v>
      </c>
      <c r="D44" s="68">
        <v>5.0860270213682799E-4</v>
      </c>
      <c r="E44" s="68">
        <v>1.00976243790092E-2</v>
      </c>
      <c r="F44" s="68">
        <v>5.0860270213682799E-4</v>
      </c>
      <c r="G44" s="68">
        <v>1.00976243790092E-2</v>
      </c>
      <c r="H44" s="69">
        <v>5</v>
      </c>
      <c r="I44" s="70" t="s">
        <v>439</v>
      </c>
    </row>
    <row r="45" spans="1:9" ht="30" customHeight="1">
      <c r="A45" s="66">
        <v>42</v>
      </c>
      <c r="B45" s="67" t="s">
        <v>440</v>
      </c>
      <c r="C45" s="66">
        <v>64</v>
      </c>
      <c r="D45" s="68">
        <v>5.9287777326261096E-4</v>
      </c>
      <c r="E45" s="68">
        <v>1.14790524168022E-2</v>
      </c>
      <c r="F45" s="68">
        <v>5.9287777326261096E-4</v>
      </c>
      <c r="G45" s="68">
        <v>1.14790524168022E-2</v>
      </c>
      <c r="H45" s="69">
        <v>6</v>
      </c>
      <c r="I45" s="70" t="s">
        <v>441</v>
      </c>
    </row>
    <row r="46" spans="1:9" ht="30" customHeight="1">
      <c r="A46" s="66">
        <v>43</v>
      </c>
      <c r="B46" s="67" t="s">
        <v>442</v>
      </c>
      <c r="C46" s="66">
        <v>89</v>
      </c>
      <c r="D46" s="68">
        <v>6.1055485960556405E-4</v>
      </c>
      <c r="E46" s="68">
        <v>1.14790524168022E-2</v>
      </c>
      <c r="F46" s="68">
        <v>6.1055485960556405E-4</v>
      </c>
      <c r="G46" s="68">
        <v>1.14790524168022E-2</v>
      </c>
      <c r="H46" s="69">
        <v>7</v>
      </c>
      <c r="I46" s="70" t="s">
        <v>443</v>
      </c>
    </row>
    <row r="47" spans="1:9" ht="30" customHeight="1">
      <c r="A47" s="66">
        <v>44</v>
      </c>
      <c r="B47" s="67" t="s">
        <v>444</v>
      </c>
      <c r="C47" s="66">
        <v>43</v>
      </c>
      <c r="D47" s="68">
        <v>6.3635513484113903E-4</v>
      </c>
      <c r="E47" s="68">
        <v>1.14790524168022E-2</v>
      </c>
      <c r="F47" s="68">
        <v>6.3635513484113903E-4</v>
      </c>
      <c r="G47" s="68">
        <v>1.14790524168022E-2</v>
      </c>
      <c r="H47" s="69">
        <v>5</v>
      </c>
      <c r="I47" s="70" t="s">
        <v>445</v>
      </c>
    </row>
    <row r="48" spans="1:9" ht="30" customHeight="1">
      <c r="A48" s="66">
        <v>45</v>
      </c>
      <c r="B48" s="67" t="s">
        <v>446</v>
      </c>
      <c r="C48" s="66">
        <v>65</v>
      </c>
      <c r="D48" s="68">
        <v>6.4446616541641603E-4</v>
      </c>
      <c r="E48" s="68">
        <v>1.14790524168022E-2</v>
      </c>
      <c r="F48" s="68">
        <v>6.4446616541641701E-4</v>
      </c>
      <c r="G48" s="68">
        <v>1.14790524168022E-2</v>
      </c>
      <c r="H48" s="69">
        <v>6</v>
      </c>
      <c r="I48" s="70" t="s">
        <v>447</v>
      </c>
    </row>
    <row r="49" spans="1:9" ht="30" customHeight="1">
      <c r="A49" s="66">
        <v>46</v>
      </c>
      <c r="B49" s="67" t="s">
        <v>448</v>
      </c>
      <c r="C49" s="66">
        <v>25</v>
      </c>
      <c r="D49" s="68">
        <v>6.6279540981535904E-4</v>
      </c>
      <c r="E49" s="68">
        <v>1.14790524168022E-2</v>
      </c>
      <c r="F49" s="68">
        <v>6.6279540981535904E-4</v>
      </c>
      <c r="G49" s="68">
        <v>1.14790524168022E-2</v>
      </c>
      <c r="H49" s="69">
        <v>4</v>
      </c>
      <c r="I49" s="70" t="s">
        <v>449</v>
      </c>
    </row>
    <row r="50" spans="1:9" ht="30" customHeight="1">
      <c r="A50" s="66">
        <v>47</v>
      </c>
      <c r="B50" s="67" t="s">
        <v>450</v>
      </c>
      <c r="C50" s="66">
        <v>25</v>
      </c>
      <c r="D50" s="68">
        <v>6.6279540981535904E-4</v>
      </c>
      <c r="E50" s="68">
        <v>1.14790524168022E-2</v>
      </c>
      <c r="F50" s="68">
        <v>6.6279540981535904E-4</v>
      </c>
      <c r="G50" s="68">
        <v>1.14790524168022E-2</v>
      </c>
      <c r="H50" s="69">
        <v>4</v>
      </c>
      <c r="I50" s="70" t="s">
        <v>451</v>
      </c>
    </row>
    <row r="51" spans="1:9" ht="30" customHeight="1">
      <c r="A51" s="66">
        <v>48</v>
      </c>
      <c r="B51" s="67" t="s">
        <v>89</v>
      </c>
      <c r="C51" s="66">
        <v>66</v>
      </c>
      <c r="D51" s="68">
        <v>6.99468116607289E-4</v>
      </c>
      <c r="E51" s="68">
        <v>1.1770995388734501E-2</v>
      </c>
      <c r="F51" s="68">
        <v>6.99468116607289E-4</v>
      </c>
      <c r="G51" s="68">
        <v>1.1770995388734501E-2</v>
      </c>
      <c r="H51" s="69">
        <v>6</v>
      </c>
      <c r="I51" s="70" t="s">
        <v>452</v>
      </c>
    </row>
    <row r="52" spans="1:9" ht="30" customHeight="1">
      <c r="A52" s="66">
        <v>49</v>
      </c>
      <c r="B52" s="67" t="s">
        <v>453</v>
      </c>
      <c r="C52" s="66">
        <v>44</v>
      </c>
      <c r="D52" s="68">
        <v>7.0857343249138601E-4</v>
      </c>
      <c r="E52" s="68">
        <v>1.1770995388734501E-2</v>
      </c>
      <c r="F52" s="68">
        <v>7.0857343249138601E-4</v>
      </c>
      <c r="G52" s="68">
        <v>1.1770995388734501E-2</v>
      </c>
      <c r="H52" s="69">
        <v>5</v>
      </c>
      <c r="I52" s="70" t="s">
        <v>454</v>
      </c>
    </row>
    <row r="53" spans="1:9" ht="30" customHeight="1" thickBot="1">
      <c r="A53" s="66">
        <v>50</v>
      </c>
      <c r="B53" s="67" t="s">
        <v>266</v>
      </c>
      <c r="C53" s="66">
        <v>45</v>
      </c>
      <c r="D53" s="68">
        <v>7.8674980932591E-4</v>
      </c>
      <c r="E53" s="68">
        <v>1.2808286895825799E-2</v>
      </c>
      <c r="F53" s="68">
        <v>7.8674980932591097E-4</v>
      </c>
      <c r="G53" s="68">
        <v>1.2808286895825799E-2</v>
      </c>
      <c r="H53" s="69">
        <v>5</v>
      </c>
      <c r="I53" s="70" t="s">
        <v>455</v>
      </c>
    </row>
    <row r="54" spans="1:9">
      <c r="A54" s="56" t="s">
        <v>70</v>
      </c>
      <c r="B54" s="56" t="s">
        <v>70</v>
      </c>
      <c r="C54" s="56" t="s">
        <v>70</v>
      </c>
      <c r="D54" s="56" t="s">
        <v>70</v>
      </c>
      <c r="E54" s="56" t="s">
        <v>70</v>
      </c>
      <c r="F54" s="56" t="s">
        <v>70</v>
      </c>
      <c r="G54" s="56" t="s">
        <v>70</v>
      </c>
      <c r="H54" s="56" t="s">
        <v>70</v>
      </c>
      <c r="I54" s="56" t="s">
        <v>70</v>
      </c>
    </row>
  </sheetData>
  <autoFilter ref="A3:I13"/>
  <hyperlinks>
    <hyperlink ref="B4" r:id="rId1" display="http://portal.genego.com/cgi/imagemap.cgi?id=6606"/>
    <hyperlink ref="B5" r:id="rId2" display="http://portal.genego.com/cgi/imagemap.cgi?id=3109"/>
    <hyperlink ref="B6" r:id="rId3" display="http://portal.genego.com/cgi/imagemap.cgi?id=3289"/>
    <hyperlink ref="B7" r:id="rId4" display="http://portal.genego.com/cgi/imagemap.cgi?id=3089"/>
    <hyperlink ref="B8" r:id="rId5" display="http://portal.genego.com/cgi/imagemap.cgi?id=3292"/>
    <hyperlink ref="B9" r:id="rId6" display="http://portal.genego.com/cgi/imagemap.cgi?id=2373"/>
    <hyperlink ref="B10" r:id="rId7" display="http://portal.genego.com/cgi/imagemap.cgi?id=3163"/>
    <hyperlink ref="B11" r:id="rId8" display="http://portal.genego.com/cgi/imagemap.cgi?id=6311"/>
    <hyperlink ref="B12" r:id="rId9" display="http://portal.genego.com/cgi/imagemap.cgi?id=3118"/>
    <hyperlink ref="B13" r:id="rId10" display="http://portal.genego.com/cgi/imagemap.cgi?id=6201"/>
    <hyperlink ref="B14" r:id="rId11" display="http://portal.genego.com/cgi/imagemap.cgi?id=6939"/>
    <hyperlink ref="B15" r:id="rId12" display="http://portal.genego.com/cgi/imagemap.cgi?id=3127"/>
    <hyperlink ref="B16" r:id="rId13" display="http://portal.genego.com/cgi/imagemap.cgi?id=6447"/>
    <hyperlink ref="B17" r:id="rId14" display="http://portal.genego.com/cgi/imagemap.cgi?id=414"/>
    <hyperlink ref="B18" r:id="rId15" display="http://portal.genego.com/cgi/imagemap.cgi?id=7285"/>
    <hyperlink ref="B19" r:id="rId16" display="http://portal.genego.com/cgi/imagemap.cgi?id=6490"/>
    <hyperlink ref="B20" r:id="rId17" display="http://portal.genego.com/cgi/imagemap.cgi?id=554"/>
    <hyperlink ref="B21" r:id="rId18" display="http://portal.genego.com/cgi/imagemap.cgi?id=6555"/>
    <hyperlink ref="B22" r:id="rId19" display="http://portal.genego.com/cgi/imagemap.cgi?id=715"/>
    <hyperlink ref="B23" r:id="rId20" display="http://portal.genego.com/cgi/imagemap.cgi?id=5951"/>
    <hyperlink ref="B24" r:id="rId21" display="http://portal.genego.com/cgi/imagemap.cgi?id=3101"/>
    <hyperlink ref="B25" r:id="rId22" display="http://portal.genego.com/cgi/imagemap.cgi?id=701"/>
    <hyperlink ref="B26" r:id="rId23" display="http://portal.genego.com/cgi/imagemap.cgi?id=6192"/>
    <hyperlink ref="B27" r:id="rId24" display="http://portal.genego.com/cgi/imagemap.cgi?id=6994"/>
    <hyperlink ref="B28" r:id="rId25" display="http://portal.genego.com/cgi/imagemap.cgi?id=6691"/>
    <hyperlink ref="B29" r:id="rId26" display="http://portal.genego.com/cgi/imagemap.cgi?id=540"/>
    <hyperlink ref="B30" r:id="rId27" display="http://portal.genego.com/cgi/imagemap.cgi?id=516"/>
    <hyperlink ref="B31" r:id="rId28" display="http://portal.genego.com/cgi/imagemap.cgi?id=515"/>
    <hyperlink ref="B32" r:id="rId29" display="http://portal.genego.com/cgi/imagemap.cgi?id=143"/>
    <hyperlink ref="B33" r:id="rId30" display="http://portal.genego.com/cgi/imagemap.cgi?id=6026"/>
    <hyperlink ref="B34" r:id="rId31" display="http://portal.genego.com/cgi/imagemap.cgi?id=3159"/>
    <hyperlink ref="B35" r:id="rId32" display="http://portal.genego.com/cgi/imagemap.cgi?id=1496"/>
    <hyperlink ref="B36" r:id="rId33" display="http://portal.genego.com/cgi/imagemap.cgi?id=3117"/>
    <hyperlink ref="B37" r:id="rId34" display="http://portal.genego.com/cgi/imagemap.cgi?id=6489"/>
    <hyperlink ref="B38" r:id="rId35" display="http://portal.genego.com/cgi/imagemap.cgi?id=544"/>
    <hyperlink ref="B39" r:id="rId36" display="http://portal.genego.com/cgi/imagemap.cgi?id=3096"/>
    <hyperlink ref="B40" r:id="rId37" display="http://portal.genego.com/cgi/imagemap.cgi?id=6315"/>
    <hyperlink ref="B41" r:id="rId38" display="http://portal.genego.com/cgi/imagemap.cgi?id=3145"/>
    <hyperlink ref="B42" r:id="rId39" display="http://portal.genego.com/cgi/imagemap.cgi?id=4433"/>
    <hyperlink ref="B43" r:id="rId40" display="http://portal.genego.com/cgi/imagemap.cgi?id=3202"/>
    <hyperlink ref="B44" r:id="rId41" display="http://portal.genego.com/cgi/imagemap.cgi?id=2689"/>
    <hyperlink ref="B45" r:id="rId42" display="http://portal.genego.com/cgi/imagemap.cgi?id=6935"/>
    <hyperlink ref="B46" r:id="rId43" display="http://portal.genego.com/cgi/imagemap.cgi?id=726"/>
    <hyperlink ref="B47" r:id="rId44" display="http://portal.genego.com/cgi/imagemap.cgi?id=7054"/>
    <hyperlink ref="B48" r:id="rId45" display="http://portal.genego.com/cgi/imagemap.cgi?id=3051"/>
    <hyperlink ref="B49" r:id="rId46" display="http://portal.genego.com/cgi/imagemap.cgi?id=442"/>
    <hyperlink ref="B50" r:id="rId47" display="http://portal.genego.com/cgi/imagemap.cgi?id=3168"/>
    <hyperlink ref="B51" r:id="rId48" display="http://portal.genego.com/cgi/imagemap.cgi?id=6301"/>
    <hyperlink ref="B52" r:id="rId49" display="http://portal.genego.com/cgi/imagemap.cgi?id=5329"/>
    <hyperlink ref="B53" r:id="rId50" display="http://portal.genego.com/cgi/imagemap.cgi?id=2772"/>
  </hyperlinks>
  <printOptions gridLines="1" gridLinesSet="0"/>
  <pageMargins left="0.75" right="0.75" top="1" bottom="1" header="0.5" footer="0.5"/>
  <pageSetup paperSize="0" fitToWidth="0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Information</vt:lpstr>
      <vt:lpstr>SW620_Transcription factor</vt:lpstr>
      <vt:lpstr>SW620_Pathway</vt:lpstr>
      <vt:lpstr>Colo205_Transcription factor</vt:lpstr>
      <vt:lpstr>Colo205_Pathway</vt:lpstr>
      <vt:lpstr>CDK8_SE_Transcription factor</vt:lpstr>
      <vt:lpstr>CDK8_SE_Toxicity Networks</vt:lpstr>
      <vt:lpstr>CDK8_SE_Pathway Maps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Clarke</cp:lastModifiedBy>
  <dcterms:created xsi:type="dcterms:W3CDTF">2015-11-05T14:40:04Z</dcterms:created>
  <dcterms:modified xsi:type="dcterms:W3CDTF">2016-09-11T19:46:05Z</dcterms:modified>
</cp:coreProperties>
</file>