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02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c115/Dropbox/current drafts/codon v12/supplementary files/"/>
    </mc:Choice>
  </mc:AlternateContent>
  <bookViews>
    <workbookView xWindow="8080" yWindow="940" windowWidth="25600" windowHeight="14720" tabRatio="500"/>
  </bookViews>
  <sheets>
    <sheet name="SF6 key" sheetId="16" r:id="rId1"/>
    <sheet name="SF 6A GFP FC" sheetId="3" r:id="rId2"/>
    <sheet name="SF 6B GFP FC summary" sheetId="15" r:id="rId3"/>
    <sheet name="SF 6C 5'UTR hairpin FC" sheetId="5" r:id="rId4"/>
    <sheet name="SF 6D Hairpin FC summary" sheetId="12" r:id="rId5"/>
    <sheet name="SF 6E hairpin mRNA" sheetId="19" r:id="rId6"/>
    <sheet name="SF 6F Titred Hairpin FC" sheetId="17" r:id="rId7"/>
    <sheet name="SF 6G Titred hairpin mRNA" sheetId="18" r:id="rId8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6" i="19" l="1"/>
  <c r="G13" i="19"/>
  <c r="G10" i="19"/>
  <c r="G7" i="19"/>
  <c r="G4" i="19"/>
  <c r="C18" i="18"/>
  <c r="C16" i="18"/>
  <c r="D17" i="18" s="1"/>
  <c r="F17" i="18" s="1"/>
  <c r="C17" i="18"/>
  <c r="E17" i="18" s="1"/>
  <c r="G17" i="18" s="1"/>
  <c r="C13" i="18"/>
  <c r="C11" i="18"/>
  <c r="D12" i="18"/>
  <c r="F12" i="18" s="1"/>
  <c r="C12" i="18"/>
  <c r="C9" i="18"/>
  <c r="C7" i="18"/>
  <c r="D8" i="18" s="1"/>
  <c r="C8" i="18"/>
  <c r="W28" i="15"/>
  <c r="W29" i="15" s="1"/>
  <c r="F14" i="17"/>
  <c r="F15" i="17"/>
  <c r="H15" i="17"/>
  <c r="F16" i="17"/>
  <c r="F5" i="17"/>
  <c r="F6" i="17"/>
  <c r="H6" i="17"/>
  <c r="F7" i="17"/>
  <c r="F9" i="17"/>
  <c r="F10" i="17"/>
  <c r="H10" i="17" s="1"/>
  <c r="F11" i="17"/>
  <c r="P28" i="15"/>
  <c r="P29" i="15"/>
  <c r="J28" i="15"/>
  <c r="J29" i="15" s="1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9" i="15"/>
  <c r="G8" i="15"/>
  <c r="G7" i="15"/>
  <c r="G6" i="15"/>
  <c r="G5" i="15"/>
  <c r="G4" i="15"/>
  <c r="E120" i="3"/>
  <c r="H121" i="3" s="1"/>
  <c r="I121" i="3" s="1"/>
  <c r="E121" i="3"/>
  <c r="E122" i="3"/>
  <c r="E116" i="3"/>
  <c r="E117" i="3"/>
  <c r="F117" i="3" s="1"/>
  <c r="G117" i="3" s="1"/>
  <c r="H117" i="3"/>
  <c r="I117" i="3" s="1"/>
  <c r="E118" i="3"/>
  <c r="E110" i="3"/>
  <c r="H111" i="3" s="1"/>
  <c r="I111" i="3" s="1"/>
  <c r="F111" i="3"/>
  <c r="G111" i="3" s="1"/>
  <c r="E111" i="3"/>
  <c r="E112" i="3"/>
  <c r="E104" i="3"/>
  <c r="F105" i="3" s="1"/>
  <c r="G105" i="3" s="1"/>
  <c r="E105" i="3"/>
  <c r="H105" i="3"/>
  <c r="I105" i="3" s="1"/>
  <c r="E106" i="3"/>
  <c r="E100" i="3"/>
  <c r="F101" i="3" s="1"/>
  <c r="G101" i="3" s="1"/>
  <c r="H101" i="3"/>
  <c r="I101" i="3" s="1"/>
  <c r="E101" i="3"/>
  <c r="E102" i="3"/>
  <c r="E92" i="3"/>
  <c r="F93" i="3" s="1"/>
  <c r="G93" i="3" s="1"/>
  <c r="E93" i="3"/>
  <c r="E94" i="3"/>
  <c r="E88" i="3"/>
  <c r="H89" i="3" s="1"/>
  <c r="I89" i="3" s="1"/>
  <c r="F89" i="3"/>
  <c r="G89" i="3" s="1"/>
  <c r="E89" i="3"/>
  <c r="E90" i="3"/>
  <c r="E80" i="3"/>
  <c r="F81" i="3" s="1"/>
  <c r="G81" i="3" s="1"/>
  <c r="E81" i="3"/>
  <c r="E82" i="3"/>
  <c r="E72" i="3"/>
  <c r="H73" i="3" s="1"/>
  <c r="I73" i="3" s="1"/>
  <c r="E73" i="3"/>
  <c r="E74" i="3"/>
  <c r="E66" i="3"/>
  <c r="E67" i="3"/>
  <c r="F67" i="3" s="1"/>
  <c r="G67" i="3" s="1"/>
  <c r="H67" i="3"/>
  <c r="I67" i="3" s="1"/>
  <c r="E68" i="3"/>
  <c r="E54" i="3"/>
  <c r="F55" i="3"/>
  <c r="G55" i="3" s="1"/>
  <c r="E55" i="3"/>
  <c r="E56" i="3"/>
  <c r="H55" i="3"/>
  <c r="I55" i="3" s="1"/>
  <c r="E50" i="3"/>
  <c r="E51" i="3"/>
  <c r="H51" i="3"/>
  <c r="I51" i="3" s="1"/>
  <c r="E52" i="3"/>
  <c r="E44" i="3"/>
  <c r="H45" i="3" s="1"/>
  <c r="I45" i="3" s="1"/>
  <c r="F45" i="3"/>
  <c r="G45" i="3" s="1"/>
  <c r="E45" i="3"/>
  <c r="E46" i="3"/>
  <c r="F39" i="3"/>
  <c r="G39" i="3" s="1"/>
  <c r="F35" i="3"/>
  <c r="G35" i="3"/>
  <c r="F31" i="3"/>
  <c r="G31" i="3" s="1"/>
  <c r="E26" i="3"/>
  <c r="E27" i="3"/>
  <c r="F27" i="3"/>
  <c r="G27" i="3" s="1"/>
  <c r="E28" i="3"/>
  <c r="E22" i="3"/>
  <c r="F23" i="3"/>
  <c r="G23" i="3" s="1"/>
  <c r="E23" i="3"/>
  <c r="E24" i="3"/>
  <c r="H23" i="3"/>
  <c r="I23" i="3" s="1"/>
  <c r="E18" i="3"/>
  <c r="E19" i="3"/>
  <c r="H19" i="3"/>
  <c r="I19" i="3" s="1"/>
  <c r="E20" i="3"/>
  <c r="E14" i="3"/>
  <c r="F15" i="3"/>
  <c r="G15" i="3" s="1"/>
  <c r="E15" i="3"/>
  <c r="H15" i="3"/>
  <c r="I15" i="3"/>
  <c r="E16" i="3"/>
  <c r="E10" i="3"/>
  <c r="H11" i="3"/>
  <c r="I11" i="3"/>
  <c r="E11" i="3"/>
  <c r="F11" i="3" s="1"/>
  <c r="G11" i="3" s="1"/>
  <c r="E12" i="3"/>
  <c r="E6" i="3"/>
  <c r="F7" i="3"/>
  <c r="G7" i="3" s="1"/>
  <c r="E7" i="3"/>
  <c r="E8" i="3"/>
  <c r="E60" i="3"/>
  <c r="F61" i="3" s="1"/>
  <c r="E61" i="3"/>
  <c r="E62" i="3"/>
  <c r="H39" i="3"/>
  <c r="I39" i="3"/>
  <c r="H35" i="3"/>
  <c r="I35" i="3" s="1"/>
  <c r="H7" i="3"/>
  <c r="I7" i="3"/>
  <c r="H31" i="3"/>
  <c r="F51" i="3"/>
  <c r="G51" i="3" s="1"/>
  <c r="G6" i="17"/>
  <c r="I15" i="17" s="1"/>
  <c r="H81" i="3"/>
  <c r="I81" i="3" s="1"/>
  <c r="F73" i="3"/>
  <c r="G73" i="3" s="1"/>
  <c r="F121" i="3"/>
  <c r="G121" i="3" s="1"/>
  <c r="G15" i="17"/>
  <c r="H27" i="3"/>
  <c r="I27" i="3" s="1"/>
  <c r="F19" i="3"/>
  <c r="G19" i="3" s="1"/>
  <c r="H93" i="3" l="1"/>
  <c r="I93" i="3" s="1"/>
  <c r="G10" i="17"/>
  <c r="E12" i="18"/>
  <c r="G12" i="18" s="1"/>
  <c r="H61" i="3"/>
  <c r="I61" i="3" s="1"/>
  <c r="E8" i="18"/>
  <c r="G8" i="18" s="1"/>
</calcChain>
</file>

<file path=xl/sharedStrings.xml><?xml version="1.0" encoding="utf-8"?>
<sst xmlns="http://schemas.openxmlformats.org/spreadsheetml/2006/main" count="300" uniqueCount="158">
  <si>
    <t>Standard Deviation</t>
  </si>
  <si>
    <t>Median</t>
  </si>
  <si>
    <t>Mean</t>
  </si>
  <si>
    <t>GFP</t>
  </si>
  <si>
    <t>eGFP</t>
  </si>
  <si>
    <t>GFP_183</t>
  </si>
  <si>
    <t>GFP_188</t>
  </si>
  <si>
    <t>GFP_194</t>
  </si>
  <si>
    <t>GFP_226</t>
  </si>
  <si>
    <t>GFP_102</t>
  </si>
  <si>
    <t>GFP_S1</t>
  </si>
  <si>
    <t>GFP_S2</t>
  </si>
  <si>
    <t>GFP_S3</t>
  </si>
  <si>
    <t>GFP_S4</t>
  </si>
  <si>
    <t>GFP_S5</t>
  </si>
  <si>
    <t>GFP_P1</t>
  </si>
  <si>
    <t>GFP_P2</t>
  </si>
  <si>
    <t>GFP_P3</t>
  </si>
  <si>
    <t>GFP_163</t>
  </si>
  <si>
    <t>GFP_205</t>
  </si>
  <si>
    <t>GFP_211</t>
  </si>
  <si>
    <t>GFP_224</t>
  </si>
  <si>
    <t>GFP_065</t>
  </si>
  <si>
    <t>GFP_075</t>
  </si>
  <si>
    <t>GFP_095</t>
  </si>
  <si>
    <t>This is the normalized value for background</t>
  </si>
  <si>
    <t xml:space="preserve">eGFP </t>
  </si>
  <si>
    <t>eGFP + hairpin</t>
  </si>
  <si>
    <t>All values were normalized based on the measurements of 4432</t>
  </si>
  <si>
    <t>Date</t>
  </si>
  <si>
    <t>Cell line</t>
  </si>
  <si>
    <t>beads</t>
  </si>
  <si>
    <t>GFP_071</t>
  </si>
  <si>
    <t>Standard Error</t>
  </si>
  <si>
    <t>GFP P2</t>
  </si>
  <si>
    <t>hairpin in 5'UTR?</t>
  </si>
  <si>
    <t>no</t>
  </si>
  <si>
    <t>yes</t>
  </si>
  <si>
    <t>Median Normalized</t>
  </si>
  <si>
    <t>Median Normalized Average</t>
  </si>
  <si>
    <t xml:space="preserve">Normalized Median </t>
  </si>
  <si>
    <t>Average Normalized Median</t>
  </si>
  <si>
    <t>parental</t>
  </si>
  <si>
    <t>All values for GFP fluorescence were normalized to the measurements of cell line 4432.1 on 20/12/2012</t>
  </si>
  <si>
    <t xml:space="preserve">Flow cytometry measurements of GFP fluorescence </t>
  </si>
  <si>
    <t xml:space="preserve">Average Normalized Median background adjusted </t>
  </si>
  <si>
    <t>Median Fluorescence +/- SE</t>
  </si>
  <si>
    <t>Expression normalised to eGFP</t>
  </si>
  <si>
    <t>geCAI</t>
  </si>
  <si>
    <t>411.99  ± 0.00</t>
  </si>
  <si>
    <t>GFP P3</t>
  </si>
  <si>
    <t>425.60 ± 6.59</t>
  </si>
  <si>
    <t>GFP 075</t>
  </si>
  <si>
    <t>354.47 ± 3.33</t>
  </si>
  <si>
    <t>GFP 095</t>
  </si>
  <si>
    <t>214.86 ± 1.84</t>
  </si>
  <si>
    <t>GFP 065</t>
  </si>
  <si>
    <t>176.62 ± 0.58</t>
  </si>
  <si>
    <t>158.00 ± 0.51</t>
  </si>
  <si>
    <t>GFP 163</t>
  </si>
  <si>
    <t>139.90 ± 0.47</t>
  </si>
  <si>
    <t>GFP 224</t>
  </si>
  <si>
    <t>134.35 ± 0.91</t>
  </si>
  <si>
    <t>GFP211</t>
  </si>
  <si>
    <t>133.47 ± 2.40</t>
  </si>
  <si>
    <t>GFP 205</t>
  </si>
  <si>
    <t>140.49 ± 3.88</t>
  </si>
  <si>
    <t>GFP188</t>
  </si>
  <si>
    <t>129.43 ± 1.16</t>
  </si>
  <si>
    <t>GFP 183</t>
  </si>
  <si>
    <t>98.47 ± 0.92</t>
  </si>
  <si>
    <t>GFP 71</t>
  </si>
  <si>
    <t>99.92 ± 2.52</t>
  </si>
  <si>
    <t>GFP226</t>
  </si>
  <si>
    <t>93.38 + 0.33</t>
  </si>
  <si>
    <t>GFP S4</t>
  </si>
  <si>
    <t>47.19 ± 0.20</t>
  </si>
  <si>
    <t>GFP 194</t>
  </si>
  <si>
    <t>49.36 ± 0.00</t>
  </si>
  <si>
    <t>GFP P1</t>
  </si>
  <si>
    <t>45.66 ± 0.19</t>
  </si>
  <si>
    <t>GFP 102</t>
  </si>
  <si>
    <t>29.48 ± 0.37</t>
  </si>
  <si>
    <t>GFP S1</t>
  </si>
  <si>
    <t>24.81 ± 0.22</t>
  </si>
  <si>
    <t>GFP S3</t>
  </si>
  <si>
    <t>20.40 ± 0.75</t>
  </si>
  <si>
    <t>GFP S2</t>
  </si>
  <si>
    <t>20.50 ± 0.19</t>
  </si>
  <si>
    <t>GFP S5</t>
  </si>
  <si>
    <t>11.63 ± 0.17</t>
  </si>
  <si>
    <t>GFP flow cytometry</t>
  </si>
  <si>
    <t>5'UTR hairpin flow cytometry</t>
  </si>
  <si>
    <t xml:space="preserve">Average Normailised Median background adjusted </t>
  </si>
  <si>
    <t xml:space="preserve">Value of 4432 of the day 20/12/2012 was used as reference (see sheet 1) </t>
  </si>
  <si>
    <t>5'UTR hairpin flow cytometry summary</t>
  </si>
  <si>
    <t>CAI</t>
  </si>
  <si>
    <t>log10 (100 x normalised expression)</t>
  </si>
  <si>
    <t>calculations</t>
  </si>
  <si>
    <t>18 bp</t>
  </si>
  <si>
    <t>12 bp</t>
  </si>
  <si>
    <t>n/a</t>
  </si>
  <si>
    <t>Median Background adjusted</t>
  </si>
  <si>
    <t xml:space="preserve">Average Median background adjusted </t>
  </si>
  <si>
    <t>relative expression</t>
  </si>
  <si>
    <t>structure in 5'UTR?</t>
  </si>
  <si>
    <t>tAI</t>
  </si>
  <si>
    <t xml:space="preserve">GFP fluorescence with titred secondary structure </t>
  </si>
  <si>
    <t>GFP mRNA with titred secondary structure</t>
  </si>
  <si>
    <t>wt</t>
  </si>
  <si>
    <t>GFP/rRNA</t>
  </si>
  <si>
    <t>average</t>
  </si>
  <si>
    <t>SE</t>
  </si>
  <si>
    <t>relative</t>
  </si>
  <si>
    <t>SE relative</t>
  </si>
  <si>
    <t>p = 0.68</t>
  </si>
  <si>
    <t>p = 0.13</t>
  </si>
  <si>
    <t xml:space="preserve">GFP </t>
  </si>
  <si>
    <t xml:space="preserve">rRNA </t>
  </si>
  <si>
    <t>Phosphorimager data and analysis from Figure 6</t>
  </si>
  <si>
    <t xml:space="preserve">The risk to reject the null hypothesis of no difference to wt while it is true
</t>
  </si>
  <si>
    <t>GFP_102 + hairpin</t>
  </si>
  <si>
    <t>GFP_226 + hairpin</t>
  </si>
  <si>
    <t>GFP_P2 + hairpin</t>
  </si>
  <si>
    <t>GFP_065 + hairpin</t>
  </si>
  <si>
    <t>cell lines</t>
  </si>
  <si>
    <t>transgene</t>
  </si>
  <si>
    <t>average mRNA abundance*</t>
  </si>
  <si>
    <t xml:space="preserve">standard error </t>
  </si>
  <si>
    <t>ratio   hairpin / control</t>
  </si>
  <si>
    <t>p4432</t>
  </si>
  <si>
    <t>p4724</t>
  </si>
  <si>
    <t>p4725</t>
  </si>
  <si>
    <t>p4771</t>
  </si>
  <si>
    <t>GFP 065 + hairpin</t>
  </si>
  <si>
    <t>p4532</t>
  </si>
  <si>
    <t>p4772</t>
  </si>
  <si>
    <t>GFP P2 + hairpin</t>
  </si>
  <si>
    <t>p4437</t>
  </si>
  <si>
    <t>GFP 226</t>
  </si>
  <si>
    <t>p4770</t>
  </si>
  <si>
    <t>GFP 226 + hairpin</t>
  </si>
  <si>
    <t>p4439</t>
  </si>
  <si>
    <t>p4769</t>
  </si>
  <si>
    <t>GFP 102 + hairpin</t>
  </si>
  <si>
    <t>* The mRNA abundance is only comparable between pairs of trangenes, + / - hairpin,  as cognate GFP probes were used for each transgene. Three independent clones for each cell line were measured.</t>
  </si>
  <si>
    <t xml:space="preserve">5'UTR hairpin mRNA </t>
  </si>
  <si>
    <t>GFP flow cytometry summary and calculation of correlation coefficients between expression and geCAI, CAI and tAI scores</t>
  </si>
  <si>
    <t>r =</t>
  </si>
  <si>
    <t xml:space="preserve">r2 = </t>
  </si>
  <si>
    <t>r2 =</t>
  </si>
  <si>
    <t xml:space="preserve"> 6A</t>
  </si>
  <si>
    <t xml:space="preserve"> 6B</t>
  </si>
  <si>
    <t xml:space="preserve"> 6C</t>
  </si>
  <si>
    <t xml:space="preserve"> 6D</t>
  </si>
  <si>
    <t xml:space="preserve"> 6E</t>
  </si>
  <si>
    <t xml:space="preserve"> 6F</t>
  </si>
  <si>
    <t xml:space="preserve"> 6G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</si>
</sst>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26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9">
    <xf numFmtId="0" fontId="0" fillId="0" borderId="0" xfId="0"/>
    <xf numFmtId="0" fontId="0" fillId="0" borderId="0" xfId="0" applyFill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2" fontId="5" fillId="0" borderId="0" xfId="0" applyNumberFormat="1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Fill="1"/>
    <xf numFmtId="0" fontId="6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Alignment="1">
      <alignment horizontal="center"/>
    </xf>
    <xf numFmtId="0" fontId="5" fillId="0" borderId="0" xfId="0" applyFont="1" applyFill="1"/>
    <xf numFmtId="0" fontId="5" fillId="0" borderId="0" xfId="0" applyFont="1"/>
    <xf numFmtId="14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2" fontId="5" fillId="0" borderId="0" xfId="0" applyNumberFormat="1" applyFont="1" applyFill="1"/>
    <xf numFmtId="1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1" fontId="5" fillId="0" borderId="0" xfId="1" applyNumberFormat="1" applyFont="1" applyAlignment="1">
      <alignment vertical="center"/>
    </xf>
    <xf numFmtId="0" fontId="5" fillId="0" borderId="0" xfId="1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vertical="center"/>
    </xf>
    <xf numFmtId="1" fontId="9" fillId="0" borderId="0" xfId="1" applyNumberFormat="1" applyFont="1" applyAlignment="1">
      <alignment vertical="center"/>
    </xf>
    <xf numFmtId="0" fontId="9" fillId="0" borderId="0" xfId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7" fillId="0" borderId="0" xfId="0" applyNumberFormat="1" applyFont="1" applyAlignment="1">
      <alignment horizontal="left" vertical="center"/>
    </xf>
    <xf numFmtId="0" fontId="5" fillId="2" borderId="0" xfId="0" applyFont="1" applyFill="1"/>
    <xf numFmtId="165" fontId="5" fillId="0" borderId="0" xfId="0" applyNumberFormat="1" applyFont="1" applyAlignment="1">
      <alignment horizontal="left" vertical="center"/>
    </xf>
    <xf numFmtId="0" fontId="6" fillId="0" borderId="0" xfId="0" applyFont="1"/>
    <xf numFmtId="0" fontId="0" fillId="0" borderId="0" xfId="0" applyAlignment="1">
      <alignment wrapText="1"/>
    </xf>
    <xf numFmtId="0" fontId="10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1" fillId="0" borderId="0" xfId="0" applyFont="1"/>
    <xf numFmtId="164" fontId="9" fillId="0" borderId="0" xfId="0" applyNumberFormat="1" applyFont="1"/>
    <xf numFmtId="0" fontId="10" fillId="0" borderId="0" xfId="0" applyFont="1"/>
    <xf numFmtId="0" fontId="11" fillId="0" borderId="0" xfId="0" applyFont="1"/>
    <xf numFmtId="164" fontId="5" fillId="0" borderId="0" xfId="0" applyNumberFormat="1" applyFont="1"/>
    <xf numFmtId="164" fontId="5" fillId="0" borderId="0" xfId="0" applyNumberFormat="1" applyFont="1" applyFill="1"/>
    <xf numFmtId="164" fontId="7" fillId="0" borderId="0" xfId="0" applyNumberFormat="1" applyFont="1"/>
    <xf numFmtId="164" fontId="8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right" vertical="center"/>
    </xf>
    <xf numFmtId="164" fontId="10" fillId="0" borderId="0" xfId="0" applyNumberFormat="1" applyFont="1" applyFill="1" applyAlignment="1">
      <alignment horizontal="center" vertical="center" wrapText="1"/>
    </xf>
    <xf numFmtId="164" fontId="0" fillId="0" borderId="0" xfId="0" applyNumberFormat="1" applyAlignment="1">
      <alignment wrapText="1"/>
    </xf>
    <xf numFmtId="164" fontId="0" fillId="0" borderId="0" xfId="0" applyNumberFormat="1"/>
    <xf numFmtId="164" fontId="10" fillId="0" borderId="0" xfId="0" applyNumberFormat="1" applyFont="1"/>
    <xf numFmtId="2" fontId="7" fillId="0" borderId="0" xfId="0" applyNumberFormat="1" applyFont="1" applyAlignment="1">
      <alignment horizontal="left" vertical="center"/>
    </xf>
    <xf numFmtId="0" fontId="9" fillId="0" borderId="0" xfId="0" applyFont="1" applyFill="1"/>
    <xf numFmtId="2" fontId="9" fillId="0" borderId="0" xfId="0" applyNumberFormat="1" applyFont="1"/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165" fontId="9" fillId="0" borderId="0" xfId="0" applyNumberFormat="1" applyFont="1"/>
    <xf numFmtId="164" fontId="14" fillId="0" borderId="0" xfId="0" applyNumberFormat="1" applyFont="1"/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52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89" builtinId="9" hidden="1"/>
    <cellStyle name="Followed Hyperlink" xfId="291" builtinId="9" hidden="1"/>
    <cellStyle name="Followed Hyperlink" xfId="293" builtinId="9" hidden="1"/>
    <cellStyle name="Followed Hyperlink" xfId="295" builtinId="9" hidden="1"/>
    <cellStyle name="Followed Hyperlink" xfId="297" builtinId="9" hidden="1"/>
    <cellStyle name="Followed Hyperlink" xfId="299" builtinId="9" hidden="1"/>
    <cellStyle name="Followed Hyperlink" xfId="301" builtinId="9" hidden="1"/>
    <cellStyle name="Followed Hyperlink" xfId="303" builtinId="9" hidden="1"/>
    <cellStyle name="Followed Hyperlink" xfId="305" builtinId="9" hidden="1"/>
    <cellStyle name="Followed Hyperlink" xfId="307" builtinId="9" hidden="1"/>
    <cellStyle name="Followed Hyperlink" xfId="309" builtinId="9" hidden="1"/>
    <cellStyle name="Followed Hyperlink" xfId="311" builtinId="9" hidden="1"/>
    <cellStyle name="Followed Hyperlink" xfId="313" builtinId="9" hidden="1"/>
    <cellStyle name="Followed Hyperlink" xfId="315" builtinId="9" hidden="1"/>
    <cellStyle name="Followed Hyperlink" xfId="317" builtinId="9" hidden="1"/>
    <cellStyle name="Followed Hyperlink" xfId="319" builtinId="9" hidden="1"/>
    <cellStyle name="Followed Hyperlink" xfId="321" builtinId="9" hidden="1"/>
    <cellStyle name="Followed Hyperlink" xfId="323" builtinId="9" hidden="1"/>
    <cellStyle name="Followed Hyperlink" xfId="325" builtinId="9" hidden="1"/>
    <cellStyle name="Followed Hyperlink" xfId="327" builtinId="9" hidden="1"/>
    <cellStyle name="Followed Hyperlink" xfId="329" builtinId="9" hidden="1"/>
    <cellStyle name="Followed Hyperlink" xfId="331" builtinId="9" hidden="1"/>
    <cellStyle name="Followed Hyperlink" xfId="333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7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7" builtinId="9" hidden="1"/>
    <cellStyle name="Followed Hyperlink" xfId="359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89" builtinId="9" hidden="1"/>
    <cellStyle name="Followed Hyperlink" xfId="391" builtinId="9" hidden="1"/>
    <cellStyle name="Followed Hyperlink" xfId="393" builtinId="9" hidden="1"/>
    <cellStyle name="Followed Hyperlink" xfId="395" builtinId="9" hidden="1"/>
    <cellStyle name="Followed Hyperlink" xfId="397" builtinId="9" hidden="1"/>
    <cellStyle name="Followed Hyperlink" xfId="399" builtinId="9" hidden="1"/>
    <cellStyle name="Followed Hyperlink" xfId="401" builtinId="9" hidden="1"/>
    <cellStyle name="Followed Hyperlink" xfId="403" builtinId="9" hidden="1"/>
    <cellStyle name="Followed Hyperlink" xfId="405" builtinId="9" hidden="1"/>
    <cellStyle name="Followed Hyperlink" xfId="407" builtinId="9" hidden="1"/>
    <cellStyle name="Followed Hyperlink" xfId="409" builtinId="9" hidden="1"/>
    <cellStyle name="Followed Hyperlink" xfId="411" builtinId="9" hidden="1"/>
    <cellStyle name="Followed Hyperlink" xfId="413" builtinId="9" hidden="1"/>
    <cellStyle name="Followed Hyperlink" xfId="41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39" builtinId="9" hidden="1"/>
    <cellStyle name="Followed Hyperlink" xfId="441" builtinId="9" hidden="1"/>
    <cellStyle name="Followed Hyperlink" xfId="443" builtinId="9" hidden="1"/>
    <cellStyle name="Followed Hyperlink" xfId="445" builtinId="9" hidden="1"/>
    <cellStyle name="Followed Hyperlink" xfId="447" builtinId="9" hidden="1"/>
    <cellStyle name="Followed Hyperlink" xfId="449" builtinId="9" hidden="1"/>
    <cellStyle name="Followed Hyperlink" xfId="451" builtinId="9" hidden="1"/>
    <cellStyle name="Followed Hyperlink" xfId="453" builtinId="9" hidden="1"/>
    <cellStyle name="Followed Hyperlink" xfId="455" builtinId="9" hidden="1"/>
    <cellStyle name="Followed Hyperlink" xfId="457" builtinId="9" hidden="1"/>
    <cellStyle name="Followed Hyperlink" xfId="459" builtinId="9" hidden="1"/>
    <cellStyle name="Followed Hyperlink" xfId="461" builtinId="9" hidden="1"/>
    <cellStyle name="Followed Hyperlink" xfId="463" builtinId="9" hidden="1"/>
    <cellStyle name="Followed Hyperlink" xfId="465" builtinId="9" hidden="1"/>
    <cellStyle name="Followed Hyperlink" xfId="467" builtinId="9" hidden="1"/>
    <cellStyle name="Followed Hyperlink" xfId="469" builtinId="9" hidden="1"/>
    <cellStyle name="Followed Hyperlink" xfId="471" builtinId="9" hidden="1"/>
    <cellStyle name="Followed Hyperlink" xfId="473" builtinId="9" hidden="1"/>
    <cellStyle name="Followed Hyperlink" xfId="475" builtinId="9" hidden="1"/>
    <cellStyle name="Followed Hyperlink" xfId="477" builtinId="9" hidden="1"/>
    <cellStyle name="Followed Hyperlink" xfId="479" builtinId="9" hidden="1"/>
    <cellStyle name="Followed Hyperlink" xfId="481" builtinId="9" hidden="1"/>
    <cellStyle name="Followed Hyperlink" xfId="483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7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7" builtinId="9" hidden="1"/>
    <cellStyle name="Followed Hyperlink" xfId="509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 hidden="1"/>
    <cellStyle name="Hyperlink" xfId="290" builtinId="8" hidden="1"/>
    <cellStyle name="Hyperlink" xfId="292" builtinId="8" hidden="1"/>
    <cellStyle name="Hyperlink" xfId="294" builtinId="8" hidden="1"/>
    <cellStyle name="Hyperlink" xfId="296" builtinId="8" hidden="1"/>
    <cellStyle name="Hyperlink" xfId="298" builtinId="8" hidden="1"/>
    <cellStyle name="Hyperlink" xfId="300" builtinId="8" hidden="1"/>
    <cellStyle name="Hyperlink" xfId="302" builtinId="8" hidden="1"/>
    <cellStyle name="Hyperlink" xfId="304" builtinId="8" hidden="1"/>
    <cellStyle name="Hyperlink" xfId="306" builtinId="8" hidden="1"/>
    <cellStyle name="Hyperlink" xfId="308" builtinId="8" hidden="1"/>
    <cellStyle name="Hyperlink" xfId="310" builtinId="8" hidden="1"/>
    <cellStyle name="Hyperlink" xfId="312" builtinId="8" hidden="1"/>
    <cellStyle name="Hyperlink" xfId="314" builtinId="8" hidden="1"/>
    <cellStyle name="Hyperlink" xfId="316" builtinId="8" hidden="1"/>
    <cellStyle name="Hyperlink" xfId="318" builtinId="8" hidden="1"/>
    <cellStyle name="Hyperlink" xfId="320" builtinId="8" hidden="1"/>
    <cellStyle name="Hyperlink" xfId="322" builtinId="8" hidden="1"/>
    <cellStyle name="Hyperlink" xfId="324" builtinId="8" hidden="1"/>
    <cellStyle name="Hyperlink" xfId="326" builtinId="8" hidden="1"/>
    <cellStyle name="Hyperlink" xfId="328" builtinId="8" hidden="1"/>
    <cellStyle name="Hyperlink" xfId="330" builtinId="8" hidden="1"/>
    <cellStyle name="Hyperlink" xfId="332" builtinId="8" hidden="1"/>
    <cellStyle name="Hyperlink" xfId="334" builtinId="8" hidden="1"/>
    <cellStyle name="Hyperlink" xfId="336" builtinId="8" hidden="1"/>
    <cellStyle name="Hyperlink" xfId="338" builtinId="8" hidden="1"/>
    <cellStyle name="Hyperlink" xfId="340" builtinId="8" hidden="1"/>
    <cellStyle name="Hyperlink" xfId="342" builtinId="8" hidden="1"/>
    <cellStyle name="Hyperlink" xfId="344" builtinId="8" hidden="1"/>
    <cellStyle name="Hyperlink" xfId="346" builtinId="8" hidden="1"/>
    <cellStyle name="Hyperlink" xfId="348" builtinId="8" hidden="1"/>
    <cellStyle name="Hyperlink" xfId="350" builtinId="8" hidden="1"/>
    <cellStyle name="Hyperlink" xfId="352" builtinId="8" hidden="1"/>
    <cellStyle name="Hyperlink" xfId="354" builtinId="8" hidden="1"/>
    <cellStyle name="Hyperlink" xfId="356" builtinId="8" hidden="1"/>
    <cellStyle name="Hyperlink" xfId="358" builtinId="8" hidden="1"/>
    <cellStyle name="Hyperlink" xfId="360" builtinId="8" hidden="1"/>
    <cellStyle name="Hyperlink" xfId="362" builtinId="8" hidden="1"/>
    <cellStyle name="Hyperlink" xfId="364" builtinId="8" hidden="1"/>
    <cellStyle name="Hyperlink" xfId="366" builtinId="8" hidden="1"/>
    <cellStyle name="Hyperlink" xfId="368" builtinId="8" hidden="1"/>
    <cellStyle name="Hyperlink" xfId="370" builtinId="8" hidden="1"/>
    <cellStyle name="Hyperlink" xfId="372" builtinId="8" hidden="1"/>
    <cellStyle name="Hyperlink" xfId="374" builtinId="8" hidden="1"/>
    <cellStyle name="Hyperlink" xfId="376" builtinId="8" hidden="1"/>
    <cellStyle name="Hyperlink" xfId="378" builtinId="8" hidden="1"/>
    <cellStyle name="Hyperlink" xfId="380" builtinId="8" hidden="1"/>
    <cellStyle name="Hyperlink" xfId="382" builtinId="8" hidden="1"/>
    <cellStyle name="Hyperlink" xfId="384" builtinId="8" hidden="1"/>
    <cellStyle name="Hyperlink" xfId="386" builtinId="8" hidden="1"/>
    <cellStyle name="Hyperlink" xfId="388" builtinId="8" hidden="1"/>
    <cellStyle name="Hyperlink" xfId="390" builtinId="8" hidden="1"/>
    <cellStyle name="Hyperlink" xfId="392" builtinId="8" hidden="1"/>
    <cellStyle name="Hyperlink" xfId="394" builtinId="8" hidden="1"/>
    <cellStyle name="Hyperlink" xfId="396" builtinId="8" hidden="1"/>
    <cellStyle name="Hyperlink" xfId="398" builtinId="8" hidden="1"/>
    <cellStyle name="Hyperlink" xfId="400" builtinId="8" hidden="1"/>
    <cellStyle name="Hyperlink" xfId="402" builtinId="8" hidden="1"/>
    <cellStyle name="Hyperlink" xfId="404" builtinId="8" hidden="1"/>
    <cellStyle name="Hyperlink" xfId="406" builtinId="8" hidden="1"/>
    <cellStyle name="Hyperlink" xfId="408" builtinId="8" hidden="1"/>
    <cellStyle name="Hyperlink" xfId="410" builtinId="8" hidden="1"/>
    <cellStyle name="Hyperlink" xfId="412" builtinId="8" hidden="1"/>
    <cellStyle name="Hyperlink" xfId="414" builtinId="8" hidden="1"/>
    <cellStyle name="Hyperlink" xfId="416" builtinId="8" hidden="1"/>
    <cellStyle name="Hyperlink" xfId="418" builtinId="8" hidden="1"/>
    <cellStyle name="Hyperlink" xfId="420" builtinId="8" hidden="1"/>
    <cellStyle name="Hyperlink" xfId="422" builtinId="8" hidden="1"/>
    <cellStyle name="Hyperlink" xfId="424" builtinId="8" hidden="1"/>
    <cellStyle name="Hyperlink" xfId="426" builtinId="8" hidden="1"/>
    <cellStyle name="Hyperlink" xfId="428" builtinId="8" hidden="1"/>
    <cellStyle name="Hyperlink" xfId="430" builtinId="8" hidden="1"/>
    <cellStyle name="Hyperlink" xfId="432" builtinId="8" hidden="1"/>
    <cellStyle name="Hyperlink" xfId="434" builtinId="8" hidden="1"/>
    <cellStyle name="Hyperlink" xfId="436" builtinId="8" hidden="1"/>
    <cellStyle name="Hyperlink" xfId="438" builtinId="8" hidden="1"/>
    <cellStyle name="Hyperlink" xfId="440" builtinId="8" hidden="1"/>
    <cellStyle name="Hyperlink" xfId="442" builtinId="8" hidden="1"/>
    <cellStyle name="Hyperlink" xfId="444" builtinId="8" hidden="1"/>
    <cellStyle name="Hyperlink" xfId="446" builtinId="8" hidden="1"/>
    <cellStyle name="Hyperlink" xfId="448" builtinId="8" hidden="1"/>
    <cellStyle name="Hyperlink" xfId="450" builtinId="8" hidden="1"/>
    <cellStyle name="Hyperlink" xfId="452" builtinId="8" hidden="1"/>
    <cellStyle name="Hyperlink" xfId="454" builtinId="8" hidden="1"/>
    <cellStyle name="Hyperlink" xfId="456" builtinId="8" hidden="1"/>
    <cellStyle name="Hyperlink" xfId="458" builtinId="8" hidden="1"/>
    <cellStyle name="Hyperlink" xfId="460" builtinId="8" hidden="1"/>
    <cellStyle name="Hyperlink" xfId="462" builtinId="8" hidden="1"/>
    <cellStyle name="Hyperlink" xfId="464" builtinId="8" hidden="1"/>
    <cellStyle name="Hyperlink" xfId="466" builtinId="8" hidden="1"/>
    <cellStyle name="Hyperlink" xfId="468" builtinId="8" hidden="1"/>
    <cellStyle name="Hyperlink" xfId="470" builtinId="8" hidden="1"/>
    <cellStyle name="Hyperlink" xfId="472" builtinId="8" hidden="1"/>
    <cellStyle name="Hyperlink" xfId="474" builtinId="8" hidden="1"/>
    <cellStyle name="Hyperlink" xfId="476" builtinId="8" hidden="1"/>
    <cellStyle name="Hyperlink" xfId="478" builtinId="8" hidden="1"/>
    <cellStyle name="Hyperlink" xfId="480" builtinId="8" hidden="1"/>
    <cellStyle name="Hyperlink" xfId="482" builtinId="8" hidden="1"/>
    <cellStyle name="Hyperlink" xfId="484" builtinId="8" hidden="1"/>
    <cellStyle name="Hyperlink" xfId="486" builtinId="8" hidden="1"/>
    <cellStyle name="Hyperlink" xfId="488" builtinId="8" hidden="1"/>
    <cellStyle name="Hyperlink" xfId="490" builtinId="8" hidden="1"/>
    <cellStyle name="Hyperlink" xfId="492" builtinId="8" hidden="1"/>
    <cellStyle name="Hyperlink" xfId="494" builtinId="8" hidden="1"/>
    <cellStyle name="Hyperlink" xfId="496" builtinId="8" hidden="1"/>
    <cellStyle name="Hyperlink" xfId="498" builtinId="8" hidden="1"/>
    <cellStyle name="Hyperlink" xfId="500" builtinId="8" hidden="1"/>
    <cellStyle name="Hyperlink" xfId="502" builtinId="8" hidden="1"/>
    <cellStyle name="Hyperlink" xfId="504" builtinId="8" hidden="1"/>
    <cellStyle name="Hyperlink" xfId="506" builtinId="8" hidden="1"/>
    <cellStyle name="Hyperlink" xfId="508" builtinId="8" hidden="1"/>
    <cellStyle name="Hyperlink" xfId="510" builtinId="8" hidden="1"/>
    <cellStyle name="Hyperlink" xfId="512" builtinId="8" hidden="1"/>
    <cellStyle name="Hyperlink" xfId="514" builtinId="8" hidden="1"/>
    <cellStyle name="Hyperlink" xfId="516" builtinId="8" hidden="1"/>
    <cellStyle name="Hyperlink" xfId="518" builtinId="8" hidden="1"/>
    <cellStyle name="Hyperlink" xfId="520" builtinId="8" hidden="1"/>
    <cellStyle name="Hyperlink" xfId="522" builtinId="8" hidden="1"/>
    <cellStyle name="Hyperlink" xfId="524" builtinId="8" hidden="1"/>
    <cellStyle name="Normal" xfId="0" builtinId="0"/>
    <cellStyle name="Normal 2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geCAI</a:t>
            </a:r>
            <a:r>
              <a:rPr lang="en-US" baseline="0"/>
              <a:t> v log expression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'SF 6B GFP FC summary'!$I$4:$I$25</c:f>
              <c:numCache>
                <c:formatCode>0.000</c:formatCode>
                <c:ptCount val="22"/>
                <c:pt idx="0">
                  <c:v>0.54659999999999997</c:v>
                </c:pt>
                <c:pt idx="1">
                  <c:v>0.52010000000000001</c:v>
                </c:pt>
                <c:pt idx="2">
                  <c:v>0.52</c:v>
                </c:pt>
                <c:pt idx="3">
                  <c:v>0.54300000000000004</c:v>
                </c:pt>
                <c:pt idx="4">
                  <c:v>0.5181</c:v>
                </c:pt>
                <c:pt idx="5">
                  <c:v>0.49330000000000002</c:v>
                </c:pt>
                <c:pt idx="6">
                  <c:v>0.4919</c:v>
                </c:pt>
                <c:pt idx="7">
                  <c:v>0.46760000000000002</c:v>
                </c:pt>
                <c:pt idx="8">
                  <c:v>0.501</c:v>
                </c:pt>
                <c:pt idx="9">
                  <c:v>0.46760000000000002</c:v>
                </c:pt>
                <c:pt idx="10">
                  <c:v>0.435</c:v>
                </c:pt>
                <c:pt idx="11">
                  <c:v>0.42759999999999998</c:v>
                </c:pt>
                <c:pt idx="12">
                  <c:v>0.44080000000000003</c:v>
                </c:pt>
                <c:pt idx="13">
                  <c:v>0.43159999999999998</c:v>
                </c:pt>
                <c:pt idx="14">
                  <c:v>0.379</c:v>
                </c:pt>
                <c:pt idx="15">
                  <c:v>0.43580000000000002</c:v>
                </c:pt>
                <c:pt idx="16">
                  <c:v>0.41160000000000002</c:v>
                </c:pt>
                <c:pt idx="17">
                  <c:v>0.37509999999999999</c:v>
                </c:pt>
                <c:pt idx="18">
                  <c:v>0.3755</c:v>
                </c:pt>
                <c:pt idx="19">
                  <c:v>0.375</c:v>
                </c:pt>
                <c:pt idx="20">
                  <c:v>0.374</c:v>
                </c:pt>
                <c:pt idx="21">
                  <c:v>0.38619999999999999</c:v>
                </c:pt>
              </c:numCache>
            </c:numRef>
          </c:xVal>
          <c:yVal>
            <c:numRef>
              <c:f>'SF 6B GFP FC summary'!$J$4:$J$25</c:f>
              <c:numCache>
                <c:formatCode>0.000</c:formatCode>
                <c:ptCount val="22"/>
                <c:pt idx="0">
                  <c:v>2</c:v>
                </c:pt>
                <c:pt idx="1">
                  <c:v>2.0141149445099868</c:v>
                </c:pt>
                <c:pt idx="2">
                  <c:v>1.934692302721456</c:v>
                </c:pt>
                <c:pt idx="3">
                  <c:v>1.7172756913841056</c:v>
                </c:pt>
                <c:pt idx="4">
                  <c:v>1.6321532056527415</c:v>
                </c:pt>
                <c:pt idx="5">
                  <c:v>1.5837704121774179</c:v>
                </c:pt>
                <c:pt idx="6">
                  <c:v>1.5309310397148228</c:v>
                </c:pt>
                <c:pt idx="7">
                  <c:v>1.5133509959921827</c:v>
                </c:pt>
                <c:pt idx="8">
                  <c:v>1.5104969856907022</c:v>
                </c:pt>
                <c:pt idx="9">
                  <c:v>1.5327587377247378</c:v>
                </c:pt>
                <c:pt idx="10">
                  <c:v>1.4971482763964252</c:v>
                </c:pt>
                <c:pt idx="11">
                  <c:v>1.3784172631424698</c:v>
                </c:pt>
                <c:pt idx="12">
                  <c:v>1.3847657505890745</c:v>
                </c:pt>
                <c:pt idx="13">
                  <c:v>1.3553671948177823</c:v>
                </c:pt>
                <c:pt idx="14">
                  <c:v>1.0589633025659446</c:v>
                </c:pt>
                <c:pt idx="15">
                  <c:v>1.0784884762481806</c:v>
                </c:pt>
                <c:pt idx="16">
                  <c:v>1.0446492323772119</c:v>
                </c:pt>
                <c:pt idx="17">
                  <c:v>0.85464080441000934</c:v>
                </c:pt>
                <c:pt idx="18">
                  <c:v>0.77974008949520446</c:v>
                </c:pt>
                <c:pt idx="19">
                  <c:v>0.69474349264889401</c:v>
                </c:pt>
                <c:pt idx="20">
                  <c:v>0.69686718627874966</c:v>
                </c:pt>
                <c:pt idx="21">
                  <c:v>0.45069303995144366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39B-EE4F-82BF-5EEB26CE09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2276128"/>
        <c:axId val="-2140170800"/>
      </c:scatterChart>
      <c:valAx>
        <c:axId val="-2142276128"/>
        <c:scaling>
          <c:orientation val="minMax"/>
          <c:max val="0.6"/>
          <c:min val="0.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170800"/>
        <c:crosses val="autoZero"/>
        <c:crossBetween val="midCat"/>
      </c:valAx>
      <c:valAx>
        <c:axId val="-2140170800"/>
        <c:scaling>
          <c:orientation val="minMax"/>
          <c:max val="2.1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22761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CAI</a:t>
            </a:r>
            <a:r>
              <a:rPr lang="en-US" baseline="0"/>
              <a:t> v log expresion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'SF 6B GFP FC summary'!$O$4:$O$25</c:f>
              <c:numCache>
                <c:formatCode>0.000</c:formatCode>
                <c:ptCount val="22"/>
                <c:pt idx="0">
                  <c:v>0.83279999999999998</c:v>
                </c:pt>
                <c:pt idx="1">
                  <c:v>0.84870000000000001</c:v>
                </c:pt>
                <c:pt idx="2">
                  <c:v>0.83040000000000003</c:v>
                </c:pt>
                <c:pt idx="3">
                  <c:v>0.83779999999999999</c:v>
                </c:pt>
                <c:pt idx="4">
                  <c:v>0.83040000000000003</c:v>
                </c:pt>
                <c:pt idx="5">
                  <c:v>0.81620000000000004</c:v>
                </c:pt>
                <c:pt idx="6">
                  <c:v>0.80789999999999995</c:v>
                </c:pt>
                <c:pt idx="7">
                  <c:v>0.80300000000000005</c:v>
                </c:pt>
                <c:pt idx="8">
                  <c:v>0.82040000000000002</c:v>
                </c:pt>
                <c:pt idx="9">
                  <c:v>0.80300000000000005</c:v>
                </c:pt>
                <c:pt idx="10">
                  <c:v>0.79449999999999998</c:v>
                </c:pt>
                <c:pt idx="11">
                  <c:v>0.79369999999999996</c:v>
                </c:pt>
                <c:pt idx="12">
                  <c:v>0.83550000000000002</c:v>
                </c:pt>
                <c:pt idx="13">
                  <c:v>0.80300000000000005</c:v>
                </c:pt>
                <c:pt idx="14">
                  <c:v>0.73570000000000002</c:v>
                </c:pt>
                <c:pt idx="15">
                  <c:v>0.82230000000000003</c:v>
                </c:pt>
                <c:pt idx="16">
                  <c:v>0.99890000000000001</c:v>
                </c:pt>
                <c:pt idx="17">
                  <c:v>0.78090000000000004</c:v>
                </c:pt>
                <c:pt idx="18">
                  <c:v>0.67049999999999998</c:v>
                </c:pt>
                <c:pt idx="19">
                  <c:v>0.69820000000000004</c:v>
                </c:pt>
                <c:pt idx="20">
                  <c:v>0.71350000000000002</c:v>
                </c:pt>
                <c:pt idx="21">
                  <c:v>0.75549999999999995</c:v>
                </c:pt>
              </c:numCache>
            </c:numRef>
          </c:xVal>
          <c:yVal>
            <c:numRef>
              <c:f>'SF 6B GFP FC summary'!$P$4:$P$25</c:f>
              <c:numCache>
                <c:formatCode>0.000</c:formatCode>
                <c:ptCount val="22"/>
                <c:pt idx="0">
                  <c:v>2</c:v>
                </c:pt>
                <c:pt idx="1">
                  <c:v>2.0141149445099868</c:v>
                </c:pt>
                <c:pt idx="2">
                  <c:v>1.934692302721456</c:v>
                </c:pt>
                <c:pt idx="3">
                  <c:v>1.7172756913841056</c:v>
                </c:pt>
                <c:pt idx="4">
                  <c:v>1.6321532056527415</c:v>
                </c:pt>
                <c:pt idx="5">
                  <c:v>1.5837704121774179</c:v>
                </c:pt>
                <c:pt idx="6">
                  <c:v>1.5309310397148228</c:v>
                </c:pt>
                <c:pt idx="7">
                  <c:v>1.5133509959921827</c:v>
                </c:pt>
                <c:pt idx="8">
                  <c:v>1.5104969856907022</c:v>
                </c:pt>
                <c:pt idx="9">
                  <c:v>1.5327587377247378</c:v>
                </c:pt>
                <c:pt idx="10">
                  <c:v>1.4971482763964252</c:v>
                </c:pt>
                <c:pt idx="11">
                  <c:v>1.3784172631424698</c:v>
                </c:pt>
                <c:pt idx="12">
                  <c:v>1.3847657505890745</c:v>
                </c:pt>
                <c:pt idx="13">
                  <c:v>1.3553671948177823</c:v>
                </c:pt>
                <c:pt idx="14">
                  <c:v>1.0589633025659446</c:v>
                </c:pt>
                <c:pt idx="15">
                  <c:v>1.0784884762481806</c:v>
                </c:pt>
                <c:pt idx="16">
                  <c:v>1.0446492323772119</c:v>
                </c:pt>
                <c:pt idx="17">
                  <c:v>0.85464080441000934</c:v>
                </c:pt>
                <c:pt idx="18">
                  <c:v>0.77974008949520446</c:v>
                </c:pt>
                <c:pt idx="19">
                  <c:v>0.69474349264889401</c:v>
                </c:pt>
                <c:pt idx="20">
                  <c:v>0.69686718627874966</c:v>
                </c:pt>
                <c:pt idx="21">
                  <c:v>0.45069303995144366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85E-9447-8A06-2971C89119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1541504"/>
        <c:axId val="-2142778384"/>
      </c:scatterChart>
      <c:valAx>
        <c:axId val="-2141541504"/>
        <c:scaling>
          <c:orientation val="minMax"/>
          <c:max val="1"/>
          <c:min val="0.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2778384"/>
        <c:crosses val="autoZero"/>
        <c:crossBetween val="midCat"/>
        <c:majorUnit val="0.05"/>
      </c:valAx>
      <c:valAx>
        <c:axId val="-2142778384"/>
        <c:scaling>
          <c:orientation val="minMax"/>
          <c:max val="2.1"/>
          <c:min val="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1541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relative tAI v log expression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'SF 6B GFP FC summary'!$V$4:$V$25</c:f>
              <c:numCache>
                <c:formatCode>0.00</c:formatCode>
                <c:ptCount val="22"/>
                <c:pt idx="0">
                  <c:v>62.41</c:v>
                </c:pt>
                <c:pt idx="1">
                  <c:v>70.180000000000007</c:v>
                </c:pt>
                <c:pt idx="2">
                  <c:v>51.66</c:v>
                </c:pt>
                <c:pt idx="3">
                  <c:v>58.04</c:v>
                </c:pt>
                <c:pt idx="4">
                  <c:v>51.06</c:v>
                </c:pt>
                <c:pt idx="5">
                  <c:v>43.88</c:v>
                </c:pt>
                <c:pt idx="6">
                  <c:v>55.4</c:v>
                </c:pt>
                <c:pt idx="7">
                  <c:v>51.55</c:v>
                </c:pt>
                <c:pt idx="8">
                  <c:v>55.15</c:v>
                </c:pt>
                <c:pt idx="9">
                  <c:v>51.55</c:v>
                </c:pt>
                <c:pt idx="10">
                  <c:v>52.59</c:v>
                </c:pt>
                <c:pt idx="11">
                  <c:v>48.54</c:v>
                </c:pt>
                <c:pt idx="12">
                  <c:v>52.39</c:v>
                </c:pt>
                <c:pt idx="13">
                  <c:v>54.76</c:v>
                </c:pt>
                <c:pt idx="14">
                  <c:v>33.47</c:v>
                </c:pt>
                <c:pt idx="15">
                  <c:v>52.24</c:v>
                </c:pt>
                <c:pt idx="16">
                  <c:v>63.1</c:v>
                </c:pt>
                <c:pt idx="17">
                  <c:v>39.659999999999997</c:v>
                </c:pt>
                <c:pt idx="18">
                  <c:v>24.98</c:v>
                </c:pt>
                <c:pt idx="19">
                  <c:v>29.93</c:v>
                </c:pt>
                <c:pt idx="20">
                  <c:v>31.36</c:v>
                </c:pt>
                <c:pt idx="21">
                  <c:v>35.72</c:v>
                </c:pt>
              </c:numCache>
            </c:numRef>
          </c:xVal>
          <c:yVal>
            <c:numRef>
              <c:f>'SF 6B GFP FC summary'!$W$4:$W$25</c:f>
              <c:numCache>
                <c:formatCode>0.000</c:formatCode>
                <c:ptCount val="22"/>
                <c:pt idx="0">
                  <c:v>2</c:v>
                </c:pt>
                <c:pt idx="1">
                  <c:v>2.0141149445099868</c:v>
                </c:pt>
                <c:pt idx="2">
                  <c:v>1.934692302721456</c:v>
                </c:pt>
                <c:pt idx="3">
                  <c:v>1.7172756913841056</c:v>
                </c:pt>
                <c:pt idx="4">
                  <c:v>1.6321532056527415</c:v>
                </c:pt>
                <c:pt idx="5">
                  <c:v>1.5837704121774179</c:v>
                </c:pt>
                <c:pt idx="6">
                  <c:v>1.5309310397148228</c:v>
                </c:pt>
                <c:pt idx="7">
                  <c:v>1.5133509959921827</c:v>
                </c:pt>
                <c:pt idx="8">
                  <c:v>1.5104969856907022</c:v>
                </c:pt>
                <c:pt idx="9">
                  <c:v>1.5327587377247378</c:v>
                </c:pt>
                <c:pt idx="10">
                  <c:v>1.4971482763964252</c:v>
                </c:pt>
                <c:pt idx="11">
                  <c:v>1.3784172631424698</c:v>
                </c:pt>
                <c:pt idx="12">
                  <c:v>1.3847657505890745</c:v>
                </c:pt>
                <c:pt idx="13">
                  <c:v>1.3553671948177823</c:v>
                </c:pt>
                <c:pt idx="14">
                  <c:v>1.0589633025659446</c:v>
                </c:pt>
                <c:pt idx="15">
                  <c:v>1.0784884762481806</c:v>
                </c:pt>
                <c:pt idx="16">
                  <c:v>1.0446492323772119</c:v>
                </c:pt>
                <c:pt idx="17">
                  <c:v>0.85464080441000934</c:v>
                </c:pt>
                <c:pt idx="18">
                  <c:v>0.77974008949520446</c:v>
                </c:pt>
                <c:pt idx="19">
                  <c:v>0.69474349264889401</c:v>
                </c:pt>
                <c:pt idx="20">
                  <c:v>0.69686718627874966</c:v>
                </c:pt>
                <c:pt idx="21">
                  <c:v>0.45069303995144366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874-4141-B62E-FF51441253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0713168"/>
        <c:axId val="-2140716608"/>
      </c:scatterChart>
      <c:valAx>
        <c:axId val="-2140713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716608"/>
        <c:crosses val="autoZero"/>
        <c:crossBetween val="midCat"/>
      </c:valAx>
      <c:valAx>
        <c:axId val="-214071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713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241300</xdr:colOff>
      <xdr:row>2</xdr:row>
      <xdr:rowOff>196850</xdr:rowOff>
    </xdr:from>
    <xdr:to>
      <xdr:col>13</xdr:col>
      <xdr:colOff>660400</xdr:colOff>
      <xdr:row>23</xdr:row>
      <xdr:rowOff>44450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241300</xdr:colOff>
      <xdr:row>2</xdr:row>
      <xdr:rowOff>196850</xdr:rowOff>
    </xdr:from>
    <xdr:to>
      <xdr:col>20</xdr:col>
      <xdr:colOff>596900</xdr:colOff>
      <xdr:row>23</xdr:row>
      <xdr:rowOff>44450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249116</xdr:colOff>
      <xdr:row>2</xdr:row>
      <xdr:rowOff>171938</xdr:rowOff>
    </xdr:from>
    <xdr:to>
      <xdr:col>27</xdr:col>
      <xdr:colOff>783982</xdr:colOff>
      <xdr:row>23</xdr:row>
      <xdr:rowOff>87922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2"/>
  <sheetViews>
    <sheetView tabSelected="1" topLeftCell="B1" workbookViewId="0">
      <selection activeCell="B20" sqref="B20"/>
    </sheetView>
  </sheetViews>
  <sheetFormatPr baseColWidth="10" defaultColWidth="11" defaultRowHeight="16" x14ac:dyDescent="0.2"/>
  <cols>
    <col min="2" max="2" width="26.33203125" customWidth="1"/>
  </cols>
  <sheetData>
    <row r="3" spans="2:6" x14ac:dyDescent="0.2">
      <c r="B3" s="25"/>
    </row>
    <row r="4" spans="2:6" x14ac:dyDescent="0.2">
      <c r="B4" s="2" t="s">
        <v>44</v>
      </c>
    </row>
    <row r="5" spans="2:6" x14ac:dyDescent="0.2">
      <c r="B5" s="2"/>
    </row>
    <row r="6" spans="2:6" x14ac:dyDescent="0.2">
      <c r="B6" s="2" t="s">
        <v>151</v>
      </c>
      <c r="C6" s="2" t="s">
        <v>91</v>
      </c>
      <c r="F6" s="2"/>
    </row>
    <row r="7" spans="2:6" x14ac:dyDescent="0.2">
      <c r="B7" s="2" t="s">
        <v>152</v>
      </c>
      <c r="C7" s="2" t="s">
        <v>147</v>
      </c>
      <c r="F7" s="2"/>
    </row>
    <row r="8" spans="2:6" x14ac:dyDescent="0.2">
      <c r="B8" s="2" t="s">
        <v>153</v>
      </c>
      <c r="C8" s="2" t="s">
        <v>92</v>
      </c>
      <c r="F8" s="2"/>
    </row>
    <row r="9" spans="2:6" x14ac:dyDescent="0.2">
      <c r="B9" s="2" t="s">
        <v>154</v>
      </c>
      <c r="C9" s="2" t="s">
        <v>95</v>
      </c>
      <c r="F9" s="2"/>
    </row>
    <row r="10" spans="2:6" x14ac:dyDescent="0.2">
      <c r="B10" s="2" t="s">
        <v>155</v>
      </c>
      <c r="C10" s="2" t="s">
        <v>146</v>
      </c>
      <c r="F10" s="2"/>
    </row>
    <row r="11" spans="2:6" x14ac:dyDescent="0.2">
      <c r="B11" s="2" t="s">
        <v>156</v>
      </c>
      <c r="C11" s="2" t="s">
        <v>107</v>
      </c>
      <c r="F11" s="2"/>
    </row>
    <row r="12" spans="2:6" x14ac:dyDescent="0.2">
      <c r="B12" s="2" t="s">
        <v>157</v>
      </c>
      <c r="C12" s="2" t="s">
        <v>108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5"/>
  <sheetViews>
    <sheetView topLeftCell="A77" workbookViewId="0">
      <selection activeCell="M16" sqref="M16"/>
    </sheetView>
  </sheetViews>
  <sheetFormatPr baseColWidth="10" defaultColWidth="10.83203125" defaultRowHeight="16" x14ac:dyDescent="0.2"/>
  <cols>
    <col min="1" max="2" width="11.1640625" style="16" bestFit="1" customWidth="1"/>
    <col min="3" max="3" width="10.83203125" style="16"/>
    <col min="4" max="7" width="13.83203125" style="14" customWidth="1"/>
    <col min="8" max="8" width="13.83203125" style="17" customWidth="1"/>
    <col min="9" max="9" width="13.83203125" style="14" customWidth="1"/>
    <col min="10" max="10" width="5.1640625" style="14" customWidth="1"/>
    <col min="11" max="11" width="10.83203125" style="14"/>
    <col min="12" max="14" width="7.6640625" style="14" customWidth="1"/>
    <col min="15" max="16384" width="10.83203125" style="14"/>
  </cols>
  <sheetData>
    <row r="1" spans="1:12" s="3" customFormat="1" x14ac:dyDescent="0.2">
      <c r="A1" s="2"/>
      <c r="B1" s="2"/>
      <c r="C1" s="2"/>
      <c r="H1" s="4"/>
    </row>
    <row r="2" spans="1:12" s="5" customFormat="1" ht="94" customHeight="1" x14ac:dyDescent="0.2">
      <c r="A2" s="5" t="s">
        <v>29</v>
      </c>
      <c r="B2" s="5" t="s">
        <v>30</v>
      </c>
      <c r="C2" s="5" t="s">
        <v>3</v>
      </c>
      <c r="D2" s="6" t="s">
        <v>1</v>
      </c>
      <c r="E2" s="6" t="s">
        <v>40</v>
      </c>
      <c r="F2" s="6" t="s">
        <v>41</v>
      </c>
      <c r="G2" s="6" t="s">
        <v>45</v>
      </c>
      <c r="H2" s="7" t="s">
        <v>0</v>
      </c>
      <c r="I2" s="5" t="s">
        <v>33</v>
      </c>
    </row>
    <row r="3" spans="1:12" x14ac:dyDescent="0.2">
      <c r="A3" s="8"/>
      <c r="B3" s="8"/>
      <c r="C3" s="8"/>
      <c r="D3" s="8"/>
      <c r="E3" s="9"/>
      <c r="F3" s="10"/>
      <c r="G3" s="11"/>
      <c r="H3" s="12"/>
      <c r="I3" s="10"/>
      <c r="J3" s="13"/>
    </row>
    <row r="4" spans="1:12" x14ac:dyDescent="0.2">
      <c r="A4" s="15">
        <v>41261</v>
      </c>
      <c r="B4" s="16">
        <v>4432.1000000000004</v>
      </c>
      <c r="C4" s="16" t="s">
        <v>4</v>
      </c>
      <c r="D4" s="53">
        <v>395.96</v>
      </c>
      <c r="E4" s="54"/>
    </row>
    <row r="5" spans="1:12" x14ac:dyDescent="0.2">
      <c r="D5" s="53"/>
      <c r="E5" s="53"/>
    </row>
    <row r="6" spans="1:12" x14ac:dyDescent="0.2">
      <c r="B6" s="16">
        <v>4433.1000000000004</v>
      </c>
      <c r="C6" s="16" t="s">
        <v>32</v>
      </c>
      <c r="D6" s="53">
        <v>103.66</v>
      </c>
      <c r="E6" s="53">
        <f>D6*429.35/395.96</f>
        <v>112.40130568744318</v>
      </c>
    </row>
    <row r="7" spans="1:12" x14ac:dyDescent="0.2">
      <c r="B7" s="16">
        <v>4433.2</v>
      </c>
      <c r="C7" s="16" t="s">
        <v>32</v>
      </c>
      <c r="D7" s="53">
        <v>111.4</v>
      </c>
      <c r="E7" s="53">
        <f t="shared" ref="E7:E28" si="0">D7*429.35/395.96</f>
        <v>120.79399434286293</v>
      </c>
      <c r="F7" s="53">
        <f>AVERAGE(E6:E8)</f>
        <v>117.27716141361081</v>
      </c>
      <c r="G7" s="53">
        <f>F7-17.36</f>
        <v>99.917161413610813</v>
      </c>
      <c r="H7" s="53">
        <f>STDEV(E6:E8)</f>
        <v>4.3582694889835425</v>
      </c>
      <c r="I7" s="53">
        <f>(H7/(SQRT(3)))</f>
        <v>2.5162480626655812</v>
      </c>
      <c r="L7" s="17"/>
    </row>
    <row r="8" spans="1:12" x14ac:dyDescent="0.2">
      <c r="B8" s="16">
        <v>4433.3</v>
      </c>
      <c r="C8" s="16" t="s">
        <v>32</v>
      </c>
      <c r="D8" s="53">
        <v>109.41</v>
      </c>
      <c r="E8" s="53">
        <f t="shared" si="0"/>
        <v>118.63618421052632</v>
      </c>
      <c r="F8" s="53"/>
      <c r="G8" s="53"/>
      <c r="H8" s="53"/>
      <c r="I8" s="53"/>
    </row>
    <row r="9" spans="1:12" x14ac:dyDescent="0.2">
      <c r="D9" s="53"/>
      <c r="E9" s="53"/>
      <c r="F9" s="53"/>
      <c r="G9" s="53"/>
      <c r="H9" s="53"/>
      <c r="I9" s="53"/>
    </row>
    <row r="10" spans="1:12" x14ac:dyDescent="0.2">
      <c r="A10" s="18"/>
      <c r="B10" s="18">
        <v>4434.1000000000004</v>
      </c>
      <c r="C10" s="18" t="s">
        <v>5</v>
      </c>
      <c r="D10" s="53">
        <v>106.5</v>
      </c>
      <c r="E10" s="53">
        <f t="shared" si="0"/>
        <v>115.48079351449643</v>
      </c>
      <c r="F10" s="53"/>
      <c r="G10" s="53"/>
      <c r="H10" s="53"/>
      <c r="I10" s="53"/>
    </row>
    <row r="11" spans="1:12" x14ac:dyDescent="0.2">
      <c r="A11" s="18"/>
      <c r="B11" s="18">
        <v>4434.2</v>
      </c>
      <c r="C11" s="18" t="s">
        <v>5</v>
      </c>
      <c r="D11" s="53">
        <v>105.54</v>
      </c>
      <c r="E11" s="53">
        <f t="shared" si="0"/>
        <v>114.43983988281646</v>
      </c>
      <c r="F11" s="53">
        <f>AVERAGE(E10:E12)</f>
        <v>115.83139248072196</v>
      </c>
      <c r="G11" s="53">
        <f>F11-17.36</f>
        <v>98.47139248072196</v>
      </c>
      <c r="H11" s="53">
        <f>STDEV(E10:E12)</f>
        <v>1.5959997400156938</v>
      </c>
      <c r="I11" s="53">
        <f>(H11/(SQRT(3)))</f>
        <v>0.92145087952463356</v>
      </c>
    </row>
    <row r="12" spans="1:12" x14ac:dyDescent="0.2">
      <c r="A12" s="18"/>
      <c r="B12" s="18">
        <v>4434.3</v>
      </c>
      <c r="C12" s="18" t="s">
        <v>5</v>
      </c>
      <c r="D12" s="53">
        <v>108.43</v>
      </c>
      <c r="E12" s="53">
        <f t="shared" si="0"/>
        <v>117.57354404485304</v>
      </c>
      <c r="F12" s="53"/>
      <c r="G12" s="53"/>
      <c r="H12" s="53"/>
      <c r="I12" s="53"/>
    </row>
    <row r="13" spans="1:12" x14ac:dyDescent="0.2">
      <c r="A13" s="18"/>
      <c r="B13" s="18"/>
      <c r="C13" s="18"/>
      <c r="D13" s="53"/>
      <c r="E13" s="53"/>
      <c r="F13" s="53"/>
      <c r="G13" s="53"/>
      <c r="H13" s="53"/>
      <c r="I13" s="53"/>
    </row>
    <row r="14" spans="1:12" x14ac:dyDescent="0.2">
      <c r="A14" s="18"/>
      <c r="B14" s="18">
        <v>4435.1000000000004</v>
      </c>
      <c r="C14" s="18" t="s">
        <v>6</v>
      </c>
      <c r="D14" s="53">
        <v>137</v>
      </c>
      <c r="E14" s="53">
        <f t="shared" si="0"/>
        <v>148.55275785432875</v>
      </c>
      <c r="F14" s="53"/>
      <c r="G14" s="53"/>
      <c r="H14" s="53"/>
      <c r="I14" s="53"/>
    </row>
    <row r="15" spans="1:12" x14ac:dyDescent="0.2">
      <c r="A15" s="18"/>
      <c r="B15" s="18">
        <v>4435.2</v>
      </c>
      <c r="C15" s="18" t="s">
        <v>6</v>
      </c>
      <c r="D15" s="53">
        <v>135.77000000000001</v>
      </c>
      <c r="E15" s="53">
        <f t="shared" si="0"/>
        <v>147.21903601373879</v>
      </c>
      <c r="F15" s="53">
        <f>AVERAGE(E14:E16)</f>
        <v>146.78891975620436</v>
      </c>
      <c r="G15" s="53">
        <f>F15-17.36</f>
        <v>129.42891975620438</v>
      </c>
      <c r="H15" s="53">
        <f>STDEV(E14:E16)</f>
        <v>2.013648497889442</v>
      </c>
      <c r="I15" s="53">
        <f>(H15/(SQRT(3)))</f>
        <v>1.1625805023097551</v>
      </c>
    </row>
    <row r="16" spans="1:12" x14ac:dyDescent="0.2">
      <c r="A16" s="18"/>
      <c r="B16" s="18">
        <v>4435.3</v>
      </c>
      <c r="C16" s="18" t="s">
        <v>6</v>
      </c>
      <c r="D16" s="53">
        <v>133.35</v>
      </c>
      <c r="E16" s="53">
        <f t="shared" si="0"/>
        <v>144.59496540054553</v>
      </c>
      <c r="F16" s="53"/>
      <c r="G16" s="53"/>
      <c r="H16" s="53"/>
      <c r="I16" s="53"/>
    </row>
    <row r="17" spans="1:16" x14ac:dyDescent="0.2">
      <c r="A17" s="18"/>
      <c r="B17" s="18"/>
      <c r="C17" s="18"/>
      <c r="D17" s="53"/>
      <c r="E17" s="53"/>
      <c r="F17" s="53"/>
      <c r="G17" s="53"/>
      <c r="H17" s="53"/>
      <c r="I17" s="53"/>
    </row>
    <row r="18" spans="1:16" x14ac:dyDescent="0.2">
      <c r="A18" s="18"/>
      <c r="B18" s="18">
        <v>4436.1000000000004</v>
      </c>
      <c r="C18" s="18" t="s">
        <v>7</v>
      </c>
      <c r="D18" s="53">
        <v>61.53</v>
      </c>
      <c r="E18" s="53">
        <f t="shared" si="0"/>
        <v>66.718621830487933</v>
      </c>
      <c r="F18" s="53"/>
      <c r="G18" s="53"/>
      <c r="H18" s="53"/>
      <c r="I18" s="53"/>
    </row>
    <row r="19" spans="1:16" x14ac:dyDescent="0.2">
      <c r="A19" s="18"/>
      <c r="B19" s="18">
        <v>4436.2</v>
      </c>
      <c r="C19" s="18" t="s">
        <v>7</v>
      </c>
      <c r="D19" s="53">
        <v>61.53</v>
      </c>
      <c r="E19" s="53">
        <f t="shared" si="0"/>
        <v>66.718621830487933</v>
      </c>
      <c r="F19" s="53">
        <f>AVERAGE(E18:E20)</f>
        <v>66.718621830487933</v>
      </c>
      <c r="G19" s="53">
        <f>F19-17.36</f>
        <v>49.358621830487934</v>
      </c>
      <c r="H19" s="53">
        <f>STDEV(E18:E20)</f>
        <v>0</v>
      </c>
      <c r="I19" s="53">
        <f>(H19/(SQRT(3)))</f>
        <v>0</v>
      </c>
    </row>
    <row r="20" spans="1:16" x14ac:dyDescent="0.2">
      <c r="A20" s="18"/>
      <c r="B20" s="18">
        <v>4436.3</v>
      </c>
      <c r="C20" s="18" t="s">
        <v>7</v>
      </c>
      <c r="D20" s="53">
        <v>61.53</v>
      </c>
      <c r="E20" s="53">
        <f t="shared" si="0"/>
        <v>66.718621830487933</v>
      </c>
      <c r="F20" s="53"/>
      <c r="G20" s="53"/>
      <c r="H20" s="53"/>
      <c r="I20" s="53"/>
    </row>
    <row r="21" spans="1:16" x14ac:dyDescent="0.2">
      <c r="A21" s="18"/>
      <c r="B21" s="18"/>
      <c r="C21" s="18"/>
      <c r="D21" s="53"/>
      <c r="E21" s="53"/>
      <c r="F21" s="53"/>
      <c r="G21" s="53"/>
      <c r="H21" s="53"/>
      <c r="I21" s="53"/>
    </row>
    <row r="22" spans="1:16" x14ac:dyDescent="0.2">
      <c r="A22" s="18"/>
      <c r="B22" s="18">
        <v>4437.1000000000004</v>
      </c>
      <c r="C22" s="18" t="s">
        <v>8</v>
      </c>
      <c r="D22" s="53">
        <v>102.74</v>
      </c>
      <c r="E22" s="53">
        <f t="shared" si="0"/>
        <v>111.40372512374988</v>
      </c>
      <c r="F22" s="53"/>
      <c r="G22" s="53"/>
      <c r="H22" s="53"/>
      <c r="I22" s="53"/>
    </row>
    <row r="23" spans="1:16" x14ac:dyDescent="0.2">
      <c r="A23" s="18"/>
      <c r="B23" s="18">
        <v>4437.2</v>
      </c>
      <c r="C23" s="18" t="s">
        <v>8</v>
      </c>
      <c r="D23" s="53">
        <v>101.82</v>
      </c>
      <c r="E23" s="53">
        <f t="shared" si="0"/>
        <v>110.40614456005657</v>
      </c>
      <c r="F23" s="53">
        <f>AVERAGE(E22:E24)</f>
        <v>110.73867141462101</v>
      </c>
      <c r="G23" s="53">
        <f>F23-17.36</f>
        <v>93.37867141462101</v>
      </c>
      <c r="H23" s="53">
        <f>STDEV(E22:E24)</f>
        <v>0.57595340698666808</v>
      </c>
      <c r="I23" s="53">
        <f>(H23/(SQRT(3)))</f>
        <v>0.33252685456443493</v>
      </c>
    </row>
    <row r="24" spans="1:16" x14ac:dyDescent="0.2">
      <c r="A24" s="18"/>
      <c r="B24" s="18">
        <v>4437.3</v>
      </c>
      <c r="C24" s="18" t="s">
        <v>8</v>
      </c>
      <c r="D24" s="53">
        <v>101.82</v>
      </c>
      <c r="E24" s="53">
        <f t="shared" si="0"/>
        <v>110.40614456005657</v>
      </c>
      <c r="F24" s="53"/>
      <c r="G24" s="53"/>
      <c r="H24" s="53"/>
      <c r="I24" s="53"/>
    </row>
    <row r="25" spans="1:16" x14ac:dyDescent="0.2">
      <c r="A25" s="18"/>
      <c r="B25" s="18"/>
      <c r="C25" s="18"/>
      <c r="D25" s="53"/>
      <c r="E25" s="53"/>
      <c r="F25" s="53"/>
      <c r="G25" s="53"/>
      <c r="H25" s="53"/>
      <c r="I25" s="53"/>
      <c r="K25" s="13"/>
      <c r="L25" s="13"/>
      <c r="M25" s="13"/>
      <c r="N25" s="13"/>
    </row>
    <row r="26" spans="1:16" x14ac:dyDescent="0.2">
      <c r="A26" s="18"/>
      <c r="B26" s="18">
        <v>4439.1000000000004</v>
      </c>
      <c r="C26" s="18" t="s">
        <v>9</v>
      </c>
      <c r="D26" s="53">
        <v>42.55</v>
      </c>
      <c r="E26" s="53">
        <f t="shared" si="0"/>
        <v>46.138101070815232</v>
      </c>
      <c r="F26" s="53"/>
      <c r="G26" s="53"/>
      <c r="H26" s="53"/>
      <c r="I26" s="53"/>
      <c r="K26" s="16"/>
      <c r="L26" s="13"/>
      <c r="M26" s="13"/>
      <c r="N26" s="13"/>
    </row>
    <row r="27" spans="1:16" x14ac:dyDescent="0.2">
      <c r="A27" s="18"/>
      <c r="B27" s="18">
        <v>4439.2</v>
      </c>
      <c r="C27" s="18" t="s">
        <v>9</v>
      </c>
      <c r="D27" s="53">
        <v>43.32</v>
      </c>
      <c r="E27" s="53">
        <f t="shared" si="0"/>
        <v>46.973032629558553</v>
      </c>
      <c r="F27" s="53">
        <f>AVERAGE(E26:E28)</f>
        <v>46.835684580934107</v>
      </c>
      <c r="G27" s="53">
        <f>F27-17.36</f>
        <v>29.475684580934107</v>
      </c>
      <c r="H27" s="53">
        <f>STDEV(E26:E28)</f>
        <v>0.64005898648741333</v>
      </c>
      <c r="I27" s="53">
        <f>(H27/(SQRT(3)))</f>
        <v>0.36953822814574716</v>
      </c>
      <c r="K27" s="16"/>
    </row>
    <row r="28" spans="1:16" x14ac:dyDescent="0.2">
      <c r="A28" s="18"/>
      <c r="B28" s="18">
        <v>4439.3</v>
      </c>
      <c r="C28" s="18" t="s">
        <v>9</v>
      </c>
      <c r="D28" s="53">
        <v>43.71</v>
      </c>
      <c r="E28" s="53">
        <f t="shared" si="0"/>
        <v>47.395920042428536</v>
      </c>
      <c r="F28" s="53"/>
      <c r="G28" s="53"/>
      <c r="H28" s="53"/>
      <c r="I28" s="53"/>
      <c r="K28" s="16"/>
    </row>
    <row r="29" spans="1:16" x14ac:dyDescent="0.2">
      <c r="D29" s="53"/>
      <c r="E29" s="53"/>
      <c r="F29" s="53"/>
      <c r="G29" s="53"/>
      <c r="H29" s="53"/>
      <c r="I29" s="53"/>
      <c r="K29" s="18"/>
      <c r="L29" s="17"/>
      <c r="M29" s="17"/>
      <c r="N29" s="17"/>
    </row>
    <row r="30" spans="1:16" x14ac:dyDescent="0.2">
      <c r="A30" s="15">
        <v>41263</v>
      </c>
      <c r="B30" s="18">
        <v>4432.1000000000004</v>
      </c>
      <c r="C30" s="18" t="s">
        <v>26</v>
      </c>
      <c r="D30" s="55">
        <v>429.35</v>
      </c>
      <c r="E30" s="55">
        <v>429.35</v>
      </c>
      <c r="F30" s="53"/>
      <c r="G30" s="53"/>
      <c r="H30" s="53"/>
      <c r="I30" s="53"/>
      <c r="K30" s="16"/>
      <c r="L30" s="17"/>
      <c r="M30" s="17"/>
      <c r="N30" s="17"/>
    </row>
    <row r="31" spans="1:16" x14ac:dyDescent="0.2">
      <c r="A31" s="19"/>
      <c r="B31" s="18">
        <v>4432.2</v>
      </c>
      <c r="C31" s="18" t="s">
        <v>26</v>
      </c>
      <c r="D31" s="55">
        <v>429.35</v>
      </c>
      <c r="E31" s="55">
        <v>429.35</v>
      </c>
      <c r="F31" s="53">
        <f>AVERAGE(E30:E32)</f>
        <v>429.35000000000008</v>
      </c>
      <c r="G31" s="53">
        <f>F31-17.36</f>
        <v>411.99000000000007</v>
      </c>
      <c r="H31" s="53">
        <f>STDEV(E30:E32)</f>
        <v>6.9618685722138533E-14</v>
      </c>
      <c r="I31" s="53">
        <v>0</v>
      </c>
      <c r="K31" s="35" t="s">
        <v>43</v>
      </c>
      <c r="L31" s="2"/>
      <c r="M31" s="2"/>
      <c r="N31" s="2"/>
      <c r="P31" s="17"/>
    </row>
    <row r="32" spans="1:16" x14ac:dyDescent="0.2">
      <c r="A32" s="18"/>
      <c r="B32" s="18">
        <v>4432.3</v>
      </c>
      <c r="C32" s="18" t="s">
        <v>26</v>
      </c>
      <c r="D32" s="55">
        <v>429.35</v>
      </c>
      <c r="E32" s="55">
        <v>429.35</v>
      </c>
      <c r="F32" s="53"/>
      <c r="G32" s="53"/>
      <c r="H32" s="53"/>
      <c r="I32" s="53"/>
      <c r="K32" s="21"/>
      <c r="L32" s="2"/>
      <c r="M32" s="2"/>
      <c r="N32" s="2"/>
      <c r="P32" s="17"/>
    </row>
    <row r="33" spans="1:14" x14ac:dyDescent="0.2">
      <c r="A33" s="18"/>
      <c r="B33" s="18"/>
      <c r="C33" s="18"/>
      <c r="D33" s="55"/>
      <c r="E33" s="53"/>
      <c r="F33" s="53"/>
      <c r="G33" s="53"/>
      <c r="H33" s="53"/>
      <c r="I33" s="53"/>
      <c r="K33" s="18"/>
      <c r="L33" s="17"/>
      <c r="M33" s="17"/>
      <c r="N33" s="17"/>
    </row>
    <row r="34" spans="1:14" x14ac:dyDescent="0.2">
      <c r="A34" s="18"/>
      <c r="B34" s="18">
        <v>4444.1000000000004</v>
      </c>
      <c r="C34" s="18" t="s">
        <v>10</v>
      </c>
      <c r="D34" s="55">
        <v>42.17</v>
      </c>
      <c r="E34" s="55">
        <v>42.17</v>
      </c>
      <c r="F34" s="53"/>
      <c r="G34" s="53"/>
      <c r="H34" s="53"/>
      <c r="I34" s="53"/>
      <c r="K34" s="18"/>
      <c r="L34" s="17"/>
      <c r="M34" s="17"/>
      <c r="N34" s="17"/>
    </row>
    <row r="35" spans="1:14" x14ac:dyDescent="0.2">
      <c r="A35" s="18"/>
      <c r="B35" s="18">
        <v>4444.2</v>
      </c>
      <c r="C35" s="18" t="s">
        <v>10</v>
      </c>
      <c r="D35" s="55">
        <v>42.55</v>
      </c>
      <c r="E35" s="55">
        <v>42.55</v>
      </c>
      <c r="F35" s="53">
        <f>AVERAGE(E34:E36)</f>
        <v>42.169999999999995</v>
      </c>
      <c r="G35" s="53">
        <f>F35-17.36</f>
        <v>24.809999999999995</v>
      </c>
      <c r="H35" s="53">
        <f>STDEV(E34:E36)</f>
        <v>0.37999999999999901</v>
      </c>
      <c r="I35" s="53">
        <f>(H35/(SQRT(3)))</f>
        <v>0.21939310229205722</v>
      </c>
      <c r="K35" s="18"/>
      <c r="L35" s="17"/>
      <c r="M35" s="17"/>
      <c r="N35" s="17"/>
    </row>
    <row r="36" spans="1:14" x14ac:dyDescent="0.2">
      <c r="A36" s="18"/>
      <c r="B36" s="18">
        <v>4444.3</v>
      </c>
      <c r="C36" s="18" t="s">
        <v>10</v>
      </c>
      <c r="D36" s="55">
        <v>41.79</v>
      </c>
      <c r="E36" s="55">
        <v>41.79</v>
      </c>
      <c r="F36" s="53"/>
      <c r="G36" s="53"/>
      <c r="H36" s="53"/>
      <c r="I36" s="53"/>
      <c r="K36" s="18"/>
      <c r="L36" s="17"/>
      <c r="M36" s="17"/>
      <c r="N36" s="17"/>
    </row>
    <row r="37" spans="1:14" x14ac:dyDescent="0.2">
      <c r="A37" s="18"/>
      <c r="B37" s="18"/>
      <c r="C37" s="18"/>
      <c r="D37" s="55"/>
      <c r="E37" s="53"/>
      <c r="F37" s="53"/>
      <c r="G37" s="53"/>
      <c r="H37" s="53"/>
      <c r="I37" s="53"/>
      <c r="K37" s="18"/>
      <c r="L37" s="17"/>
      <c r="M37" s="17"/>
      <c r="N37" s="17"/>
    </row>
    <row r="38" spans="1:14" x14ac:dyDescent="0.2">
      <c r="A38" s="18"/>
      <c r="B38" s="18">
        <v>4446.1000000000004</v>
      </c>
      <c r="C38" s="18" t="s">
        <v>12</v>
      </c>
      <c r="D38" s="55">
        <v>39.24</v>
      </c>
      <c r="E38" s="55">
        <v>39.24</v>
      </c>
      <c r="F38" s="53"/>
      <c r="G38" s="53"/>
      <c r="H38" s="53"/>
      <c r="I38" s="53"/>
      <c r="K38" s="18"/>
      <c r="L38" s="17"/>
      <c r="M38" s="17"/>
      <c r="N38" s="17"/>
    </row>
    <row r="39" spans="1:14" x14ac:dyDescent="0.2">
      <c r="A39" s="18"/>
      <c r="B39" s="18">
        <v>4446.2</v>
      </c>
      <c r="C39" s="18" t="s">
        <v>12</v>
      </c>
      <c r="D39" s="55">
        <v>37.18</v>
      </c>
      <c r="E39" s="55">
        <v>37.18</v>
      </c>
      <c r="F39" s="53">
        <f>AVERAGE(E38:E40)</f>
        <v>37.756666666666668</v>
      </c>
      <c r="G39" s="53">
        <f>F39-17.36</f>
        <v>20.396666666666668</v>
      </c>
      <c r="H39" s="53">
        <f>STDEV(E38:E40)</f>
        <v>1.2951576480619398</v>
      </c>
      <c r="I39" s="53">
        <f>(H39/(SQRT(3)))</f>
        <v>0.74775961675156355</v>
      </c>
      <c r="K39" s="18"/>
      <c r="L39" s="17"/>
      <c r="M39" s="17"/>
      <c r="N39" s="17"/>
    </row>
    <row r="40" spans="1:14" x14ac:dyDescent="0.2">
      <c r="A40" s="18"/>
      <c r="B40" s="18">
        <v>4446.3</v>
      </c>
      <c r="C40" s="18" t="s">
        <v>12</v>
      </c>
      <c r="D40" s="55">
        <v>36.85</v>
      </c>
      <c r="E40" s="55">
        <v>36.85</v>
      </c>
      <c r="F40" s="53"/>
      <c r="G40" s="53"/>
      <c r="H40" s="53"/>
      <c r="I40" s="53"/>
      <c r="K40" s="18"/>
      <c r="L40" s="17"/>
      <c r="M40" s="17"/>
      <c r="N40" s="17"/>
    </row>
    <row r="41" spans="1:14" x14ac:dyDescent="0.2">
      <c r="A41" s="18"/>
      <c r="D41" s="53"/>
      <c r="E41" s="53"/>
      <c r="F41" s="53"/>
      <c r="G41" s="53"/>
      <c r="H41" s="53"/>
      <c r="I41" s="53"/>
      <c r="K41" s="18"/>
      <c r="L41" s="17"/>
      <c r="M41" s="17"/>
      <c r="N41" s="17"/>
    </row>
    <row r="42" spans="1:14" x14ac:dyDescent="0.2">
      <c r="A42" s="15">
        <v>41297</v>
      </c>
      <c r="B42" s="18">
        <v>4432.1000000000004</v>
      </c>
      <c r="C42" s="18" t="s">
        <v>4</v>
      </c>
      <c r="D42" s="55">
        <v>406.79</v>
      </c>
      <c r="E42" s="53"/>
      <c r="F42" s="53"/>
      <c r="G42" s="53"/>
      <c r="H42" s="53"/>
      <c r="I42" s="53"/>
      <c r="K42" s="18"/>
      <c r="L42" s="17"/>
      <c r="M42" s="17"/>
      <c r="N42" s="17"/>
    </row>
    <row r="43" spans="1:14" x14ac:dyDescent="0.2">
      <c r="A43" s="19"/>
      <c r="D43" s="53"/>
      <c r="E43" s="53"/>
      <c r="F43" s="53"/>
      <c r="G43" s="53"/>
      <c r="H43" s="53"/>
      <c r="I43" s="53"/>
      <c r="K43" s="18"/>
      <c r="L43" s="17"/>
      <c r="M43" s="17"/>
      <c r="N43" s="17"/>
    </row>
    <row r="44" spans="1:14" x14ac:dyDescent="0.2">
      <c r="A44" s="18"/>
      <c r="B44" s="16">
        <v>4445.1000000000004</v>
      </c>
      <c r="C44" s="16" t="s">
        <v>11</v>
      </c>
      <c r="D44" s="53">
        <v>35.869999999999997</v>
      </c>
      <c r="E44" s="53">
        <f>D44*429.35/406.79</f>
        <v>37.859299638634184</v>
      </c>
      <c r="F44" s="53"/>
      <c r="G44" s="53"/>
      <c r="H44" s="53"/>
      <c r="I44" s="53"/>
      <c r="K44" s="18"/>
      <c r="L44" s="17"/>
      <c r="M44" s="17"/>
      <c r="N44" s="17"/>
    </row>
    <row r="45" spans="1:14" x14ac:dyDescent="0.2">
      <c r="B45" s="16">
        <v>4445.2</v>
      </c>
      <c r="C45" s="16" t="s">
        <v>11</v>
      </c>
      <c r="D45" s="53">
        <v>35.549999999999997</v>
      </c>
      <c r="E45" s="53">
        <f>D45*429.35/406.79</f>
        <v>37.521552889697382</v>
      </c>
      <c r="F45" s="53">
        <f>AVERAGE(E44:E46)</f>
        <v>37.859299638634177</v>
      </c>
      <c r="G45" s="53">
        <f>F45-17.36</f>
        <v>20.499299638634177</v>
      </c>
      <c r="H45" s="53">
        <f>STDEV(E44:E46)</f>
        <v>0.33774674893679801</v>
      </c>
      <c r="I45" s="53">
        <f>(H45/(SQRT(3)))</f>
        <v>0.19499817641658129</v>
      </c>
      <c r="K45" s="16"/>
      <c r="L45" s="17"/>
      <c r="M45" s="17"/>
      <c r="N45" s="17"/>
    </row>
    <row r="46" spans="1:14" x14ac:dyDescent="0.2">
      <c r="B46" s="16">
        <v>4445.3</v>
      </c>
      <c r="C46" s="16" t="s">
        <v>11</v>
      </c>
      <c r="D46" s="53">
        <v>36.19</v>
      </c>
      <c r="E46" s="53">
        <f>D46*429.35/406.79</f>
        <v>38.197046387570978</v>
      </c>
      <c r="F46" s="53"/>
      <c r="G46" s="53"/>
      <c r="H46" s="53"/>
      <c r="I46" s="53"/>
      <c r="K46" s="18"/>
      <c r="L46" s="17"/>
      <c r="M46" s="17"/>
      <c r="N46" s="17"/>
    </row>
    <row r="47" spans="1:14" x14ac:dyDescent="0.2">
      <c r="D47" s="53"/>
      <c r="E47" s="53"/>
      <c r="F47" s="53"/>
      <c r="G47" s="53"/>
      <c r="H47" s="53"/>
      <c r="I47" s="53"/>
      <c r="K47" s="18"/>
      <c r="L47" s="17"/>
      <c r="M47" s="17"/>
      <c r="N47" s="17"/>
    </row>
    <row r="48" spans="1:14" x14ac:dyDescent="0.2">
      <c r="A48" s="15">
        <v>41299</v>
      </c>
      <c r="B48" s="16">
        <v>4432.1000000000004</v>
      </c>
      <c r="C48" s="18" t="s">
        <v>4</v>
      </c>
      <c r="D48" s="53">
        <v>425.51</v>
      </c>
      <c r="E48" s="53"/>
      <c r="F48" s="53">
        <v>449.1</v>
      </c>
      <c r="G48" s="53"/>
      <c r="H48" s="53"/>
      <c r="I48" s="53"/>
      <c r="K48" s="18"/>
      <c r="L48" s="17"/>
      <c r="M48" s="17"/>
      <c r="N48" s="17"/>
    </row>
    <row r="49" spans="1:14" x14ac:dyDescent="0.2">
      <c r="A49" s="19"/>
      <c r="D49" s="53"/>
      <c r="E49" s="53"/>
      <c r="F49" s="53"/>
      <c r="G49" s="53"/>
      <c r="H49" s="53"/>
      <c r="I49" s="53"/>
      <c r="K49" s="18"/>
      <c r="L49" s="17"/>
      <c r="M49" s="17"/>
      <c r="N49" s="17"/>
    </row>
    <row r="50" spans="1:14" x14ac:dyDescent="0.2">
      <c r="B50" s="22">
        <v>4447.1000000000004</v>
      </c>
      <c r="C50" s="22" t="s">
        <v>13</v>
      </c>
      <c r="D50" s="54">
        <v>67.31</v>
      </c>
      <c r="E50" s="53">
        <f>D50*429.35/449.1</f>
        <v>64.349918726341571</v>
      </c>
      <c r="F50" s="53"/>
      <c r="G50" s="53"/>
      <c r="H50" s="53"/>
      <c r="I50" s="53"/>
      <c r="K50" s="18"/>
      <c r="L50" s="17"/>
      <c r="M50" s="17"/>
      <c r="N50" s="17"/>
    </row>
    <row r="51" spans="1:14" x14ac:dyDescent="0.2">
      <c r="B51" s="16">
        <v>4447.2</v>
      </c>
      <c r="C51" s="22" t="s">
        <v>13</v>
      </c>
      <c r="D51" s="53">
        <v>64.36</v>
      </c>
      <c r="E51" s="53">
        <f t="shared" ref="E51:E56" si="1">D51*429.35/425.51</f>
        <v>64.94081455194943</v>
      </c>
      <c r="F51" s="53">
        <f>AVERAGE(E50:E52)</f>
        <v>64.548771213559874</v>
      </c>
      <c r="G51" s="53">
        <f>F51-17.36</f>
        <v>47.188771213559875</v>
      </c>
      <c r="H51" s="53">
        <f>STDEV(E50:E52)</f>
        <v>0.33953129150697553</v>
      </c>
      <c r="I51" s="53">
        <f>(H51/(SQRT(3)))</f>
        <v>0.19602848254985364</v>
      </c>
      <c r="K51" s="18"/>
      <c r="L51" s="17"/>
      <c r="M51" s="17"/>
      <c r="N51" s="17"/>
    </row>
    <row r="52" spans="1:14" x14ac:dyDescent="0.2">
      <c r="A52" s="22"/>
      <c r="B52" s="16">
        <v>4447.3</v>
      </c>
      <c r="C52" s="22" t="s">
        <v>13</v>
      </c>
      <c r="D52" s="53">
        <v>63.78</v>
      </c>
      <c r="E52" s="53">
        <f t="shared" si="1"/>
        <v>64.355580362388665</v>
      </c>
      <c r="F52" s="53"/>
      <c r="G52" s="53"/>
      <c r="H52" s="53"/>
      <c r="I52" s="53"/>
      <c r="K52" s="18"/>
      <c r="L52" s="17"/>
      <c r="M52" s="17"/>
      <c r="N52" s="17"/>
    </row>
    <row r="53" spans="1:14" x14ac:dyDescent="0.2">
      <c r="D53" s="53"/>
      <c r="E53" s="53"/>
      <c r="F53" s="53"/>
      <c r="G53" s="53"/>
      <c r="H53" s="53"/>
      <c r="I53" s="53"/>
      <c r="K53" s="18"/>
      <c r="L53" s="17"/>
      <c r="M53" s="17"/>
      <c r="N53" s="17"/>
    </row>
    <row r="54" spans="1:14" x14ac:dyDescent="0.2">
      <c r="B54" s="16">
        <v>4448.1000000000004</v>
      </c>
      <c r="C54" s="16" t="s">
        <v>14</v>
      </c>
      <c r="D54" s="53">
        <v>28.9</v>
      </c>
      <c r="E54" s="53">
        <f t="shared" si="1"/>
        <v>29.160807031562126</v>
      </c>
      <c r="F54" s="53"/>
      <c r="G54" s="53"/>
      <c r="H54" s="53"/>
      <c r="I54" s="53"/>
      <c r="K54" s="16"/>
      <c r="L54" s="17"/>
      <c r="M54" s="17"/>
      <c r="N54" s="17"/>
    </row>
    <row r="55" spans="1:14" x14ac:dyDescent="0.2">
      <c r="B55" s="16">
        <v>4448.2</v>
      </c>
      <c r="C55" s="16" t="s">
        <v>14</v>
      </c>
      <c r="D55" s="53">
        <v>28.39</v>
      </c>
      <c r="E55" s="53">
        <f t="shared" si="1"/>
        <v>28.646204554534563</v>
      </c>
      <c r="F55" s="53">
        <f>AVERAGE(E54:E56)</f>
        <v>28.989272872552942</v>
      </c>
      <c r="G55" s="53">
        <f>F55-17.36</f>
        <v>11.629272872552942</v>
      </c>
      <c r="H55" s="53">
        <f>STDEV(E54:E56)</f>
        <v>0.29710587863751131</v>
      </c>
      <c r="I55" s="53">
        <f>(H55/(SQRT(3)))</f>
        <v>0.17153415900918745</v>
      </c>
      <c r="K55" s="18"/>
      <c r="L55" s="17"/>
      <c r="M55" s="17"/>
      <c r="N55" s="17"/>
    </row>
    <row r="56" spans="1:14" x14ac:dyDescent="0.2">
      <c r="B56" s="16">
        <v>4448.3</v>
      </c>
      <c r="C56" s="16" t="s">
        <v>14</v>
      </c>
      <c r="D56" s="53">
        <v>28.9</v>
      </c>
      <c r="E56" s="53">
        <f t="shared" si="1"/>
        <v>29.160807031562126</v>
      </c>
      <c r="F56" s="53"/>
      <c r="G56" s="53"/>
      <c r="H56" s="53"/>
      <c r="I56" s="53"/>
      <c r="K56" s="16"/>
      <c r="L56" s="17"/>
      <c r="M56" s="17"/>
      <c r="N56" s="17"/>
    </row>
    <row r="57" spans="1:14" x14ac:dyDescent="0.2">
      <c r="D57" s="53"/>
      <c r="E57" s="53"/>
      <c r="F57" s="53"/>
      <c r="G57" s="53"/>
      <c r="H57" s="53"/>
      <c r="I57" s="53"/>
      <c r="K57" s="16"/>
      <c r="L57" s="17"/>
      <c r="M57" s="17"/>
      <c r="N57" s="17"/>
    </row>
    <row r="58" spans="1:14" x14ac:dyDescent="0.2">
      <c r="A58" s="15">
        <v>41313</v>
      </c>
      <c r="B58" s="18">
        <v>4432.1000000000004</v>
      </c>
      <c r="C58" s="18" t="s">
        <v>4</v>
      </c>
      <c r="D58" s="53">
        <v>482.61</v>
      </c>
      <c r="E58" s="53"/>
      <c r="F58" s="53"/>
      <c r="G58" s="53"/>
      <c r="H58" s="53"/>
      <c r="I58" s="53"/>
      <c r="K58" s="16"/>
      <c r="L58" s="17"/>
      <c r="M58" s="17"/>
      <c r="N58" s="17"/>
    </row>
    <row r="59" spans="1:14" x14ac:dyDescent="0.2">
      <c r="D59" s="53"/>
      <c r="E59" s="53"/>
      <c r="F59" s="53"/>
      <c r="G59" s="53"/>
      <c r="H59" s="53"/>
      <c r="I59" s="53"/>
      <c r="K59" s="16"/>
      <c r="L59" s="17"/>
      <c r="M59" s="17"/>
      <c r="N59" s="17"/>
    </row>
    <row r="60" spans="1:14" x14ac:dyDescent="0.2">
      <c r="A60" s="18"/>
      <c r="B60" s="16" t="s">
        <v>42</v>
      </c>
      <c r="D60" s="53">
        <v>19.46</v>
      </c>
      <c r="E60" s="53">
        <f>D60*429.35/482.61</f>
        <v>17.312428254698414</v>
      </c>
      <c r="F60" s="53"/>
      <c r="G60" s="53"/>
      <c r="H60" s="53"/>
      <c r="I60" s="53"/>
      <c r="K60" s="18"/>
      <c r="L60" s="17"/>
      <c r="M60" s="17"/>
      <c r="N60" s="17"/>
    </row>
    <row r="61" spans="1:14" x14ac:dyDescent="0.2">
      <c r="B61" s="16" t="s">
        <v>42</v>
      </c>
      <c r="D61" s="53">
        <v>19.63</v>
      </c>
      <c r="E61" s="53">
        <f>D61*429.35/482.61</f>
        <v>17.463667350448603</v>
      </c>
      <c r="F61" s="54">
        <f>AVERAGE(E60:E62)</f>
        <v>17.362841286615147</v>
      </c>
      <c r="G61" s="54"/>
      <c r="H61" s="54">
        <f>STDEV(E60:E62)</f>
        <v>8.7317932643366958E-2</v>
      </c>
      <c r="I61" s="54">
        <f>(H61/(SQRT(3)))</f>
        <v>5.041303191672953E-2</v>
      </c>
      <c r="K61" s="9" t="s">
        <v>25</v>
      </c>
      <c r="L61" s="17"/>
      <c r="M61" s="17"/>
      <c r="N61" s="17"/>
    </row>
    <row r="62" spans="1:14" x14ac:dyDescent="0.2">
      <c r="B62" s="16" t="s">
        <v>42</v>
      </c>
      <c r="D62" s="53">
        <v>19.46</v>
      </c>
      <c r="E62" s="53">
        <f>D62*429.35/482.61</f>
        <v>17.312428254698414</v>
      </c>
      <c r="F62" s="54"/>
      <c r="G62" s="54"/>
      <c r="H62" s="54"/>
      <c r="I62" s="54"/>
      <c r="J62" s="13"/>
      <c r="K62" s="22"/>
      <c r="L62" s="17"/>
      <c r="M62" s="17"/>
      <c r="N62" s="17"/>
    </row>
    <row r="63" spans="1:14" x14ac:dyDescent="0.2">
      <c r="D63" s="53"/>
      <c r="E63" s="53"/>
      <c r="F63" s="54"/>
      <c r="G63" s="54"/>
      <c r="H63" s="54"/>
      <c r="I63" s="54"/>
      <c r="J63" s="13"/>
      <c r="K63" s="22"/>
      <c r="L63" s="17"/>
      <c r="M63" s="17"/>
      <c r="N63" s="17"/>
    </row>
    <row r="64" spans="1:14" x14ac:dyDescent="0.2">
      <c r="A64" s="15">
        <v>41390</v>
      </c>
      <c r="B64" s="16">
        <v>4432.1000000000004</v>
      </c>
      <c r="C64" s="18" t="s">
        <v>4</v>
      </c>
      <c r="D64" s="53">
        <v>425.51</v>
      </c>
      <c r="E64" s="53"/>
      <c r="F64" s="53"/>
      <c r="G64" s="53"/>
      <c r="H64" s="53"/>
      <c r="I64" s="53"/>
      <c r="K64" s="16"/>
      <c r="L64" s="17"/>
      <c r="M64" s="17"/>
      <c r="N64" s="17"/>
    </row>
    <row r="65" spans="1:14" x14ac:dyDescent="0.2">
      <c r="D65" s="53"/>
      <c r="E65" s="53"/>
      <c r="F65" s="53"/>
      <c r="G65" s="53"/>
      <c r="H65" s="53"/>
      <c r="I65" s="53"/>
      <c r="K65" s="16"/>
      <c r="L65" s="17"/>
      <c r="M65" s="17"/>
      <c r="N65" s="17"/>
    </row>
    <row r="66" spans="1:14" x14ac:dyDescent="0.2">
      <c r="B66" s="16">
        <v>4505.1000000000004</v>
      </c>
      <c r="C66" s="16" t="s">
        <v>15</v>
      </c>
      <c r="D66" s="53">
        <v>62.08</v>
      </c>
      <c r="E66" s="53">
        <f>D66*429.35/425.51</f>
        <v>62.640238772296769</v>
      </c>
      <c r="F66" s="53"/>
      <c r="G66" s="53"/>
      <c r="H66" s="53"/>
      <c r="I66" s="53"/>
      <c r="K66" s="16"/>
      <c r="L66" s="17"/>
      <c r="M66" s="17"/>
      <c r="N66" s="17"/>
    </row>
    <row r="67" spans="1:14" x14ac:dyDescent="0.2">
      <c r="B67" s="16">
        <v>4505.2</v>
      </c>
      <c r="C67" s="16" t="s">
        <v>15</v>
      </c>
      <c r="D67" s="53">
        <v>62.64</v>
      </c>
      <c r="E67" s="53">
        <f>D67*429.35/425.51</f>
        <v>63.205292472562341</v>
      </c>
      <c r="F67" s="53">
        <f>AVERAGE(E66:E68)</f>
        <v>63.016941239140486</v>
      </c>
      <c r="G67" s="53">
        <f>F67-17.36</f>
        <v>45.656941239140487</v>
      </c>
      <c r="H67" s="53">
        <f>STDEV(E66:E68)</f>
        <v>0.32623390595492235</v>
      </c>
      <c r="I67" s="53">
        <f>(H67/(SQRT(3)))</f>
        <v>0.1883512334218575</v>
      </c>
      <c r="K67" s="16"/>
      <c r="L67" s="17"/>
      <c r="M67" s="17"/>
      <c r="N67" s="17"/>
    </row>
    <row r="68" spans="1:14" x14ac:dyDescent="0.2">
      <c r="B68" s="16">
        <v>4505.3</v>
      </c>
      <c r="C68" s="16" t="s">
        <v>15</v>
      </c>
      <c r="D68" s="53">
        <v>62.64</v>
      </c>
      <c r="E68" s="53">
        <f>D68*429.35/425.51</f>
        <v>63.205292472562341</v>
      </c>
      <c r="F68" s="53"/>
      <c r="G68" s="53"/>
      <c r="H68" s="53"/>
      <c r="I68" s="53"/>
      <c r="K68" s="18"/>
      <c r="L68" s="17"/>
      <c r="M68" s="17"/>
      <c r="N68" s="17"/>
    </row>
    <row r="69" spans="1:14" x14ac:dyDescent="0.2">
      <c r="D69" s="53"/>
      <c r="E69" s="53"/>
      <c r="F69" s="53"/>
      <c r="G69" s="53"/>
      <c r="H69" s="53"/>
      <c r="I69" s="53"/>
      <c r="K69" s="16"/>
      <c r="L69" s="17"/>
      <c r="M69" s="17"/>
      <c r="N69" s="17"/>
    </row>
    <row r="70" spans="1:14" x14ac:dyDescent="0.2">
      <c r="A70" s="15">
        <v>41510</v>
      </c>
      <c r="B70" s="16">
        <v>4432.1000000000004</v>
      </c>
      <c r="C70" s="18" t="s">
        <v>4</v>
      </c>
      <c r="D70" s="53">
        <v>562.34</v>
      </c>
      <c r="E70" s="53"/>
      <c r="F70" s="53"/>
      <c r="G70" s="53"/>
      <c r="H70" s="53"/>
      <c r="I70" s="53"/>
      <c r="K70" s="16"/>
      <c r="L70" s="17"/>
      <c r="M70" s="17"/>
      <c r="N70" s="17"/>
    </row>
    <row r="71" spans="1:14" x14ac:dyDescent="0.2">
      <c r="D71" s="53"/>
      <c r="E71" s="53"/>
      <c r="F71" s="53"/>
      <c r="G71" s="53"/>
      <c r="H71" s="53"/>
      <c r="I71" s="53"/>
      <c r="K71" s="16"/>
      <c r="L71" s="23"/>
      <c r="M71" s="23"/>
      <c r="N71" s="17"/>
    </row>
    <row r="72" spans="1:14" x14ac:dyDescent="0.2">
      <c r="B72" s="16">
        <v>4533.1000000000004</v>
      </c>
      <c r="C72" s="16" t="s">
        <v>18</v>
      </c>
      <c r="D72" s="53">
        <v>205.35</v>
      </c>
      <c r="E72" s="53">
        <f>D72*429.35/562.34</f>
        <v>156.78597023153253</v>
      </c>
      <c r="F72" s="53"/>
      <c r="G72" s="53"/>
      <c r="H72" s="53"/>
      <c r="I72" s="53"/>
      <c r="K72" s="16"/>
      <c r="L72" s="23"/>
      <c r="M72" s="23"/>
      <c r="N72" s="17"/>
    </row>
    <row r="73" spans="1:14" x14ac:dyDescent="0.2">
      <c r="B73" s="16">
        <v>4533.2</v>
      </c>
      <c r="C73" s="16" t="s">
        <v>18</v>
      </c>
      <c r="D73" s="53">
        <v>207.21</v>
      </c>
      <c r="E73" s="53">
        <f>D73*429.35/562.34</f>
        <v>158.2060915104741</v>
      </c>
      <c r="F73" s="53">
        <f>AVERAGE(E72:E74)</f>
        <v>157.25934399117972</v>
      </c>
      <c r="G73" s="53">
        <f>F73-17.36</f>
        <v>139.89934399117971</v>
      </c>
      <c r="H73" s="53">
        <f>STDEV(E72:E74)</f>
        <v>0.81990740267882811</v>
      </c>
      <c r="I73" s="53">
        <f>(H73/(SQRT(3)))</f>
        <v>0.47337375964718831</v>
      </c>
      <c r="K73" s="16"/>
      <c r="L73" s="23"/>
      <c r="M73" s="23"/>
      <c r="N73" s="17"/>
    </row>
    <row r="74" spans="1:14" x14ac:dyDescent="0.2">
      <c r="B74" s="16">
        <v>4533.3</v>
      </c>
      <c r="C74" s="16" t="s">
        <v>18</v>
      </c>
      <c r="D74" s="53">
        <v>205.35</v>
      </c>
      <c r="E74" s="53">
        <f>D74*429.35/562.34</f>
        <v>156.78597023153253</v>
      </c>
      <c r="F74" s="53"/>
      <c r="G74" s="53"/>
      <c r="H74" s="53"/>
      <c r="I74" s="53"/>
      <c r="K74" s="18"/>
      <c r="L74" s="17"/>
      <c r="M74" s="17"/>
      <c r="N74" s="17"/>
    </row>
    <row r="75" spans="1:14" x14ac:dyDescent="0.2">
      <c r="D75" s="56"/>
      <c r="E75" s="53"/>
      <c r="F75" s="53"/>
      <c r="G75" s="53"/>
      <c r="H75" s="53"/>
      <c r="I75" s="53"/>
      <c r="K75" s="16"/>
      <c r="L75" s="17"/>
      <c r="M75" s="17"/>
      <c r="N75" s="17"/>
    </row>
    <row r="76" spans="1:14" x14ac:dyDescent="0.2">
      <c r="B76" s="24" t="s">
        <v>31</v>
      </c>
      <c r="D76" s="53">
        <v>2824</v>
      </c>
      <c r="E76" s="53"/>
      <c r="F76" s="53"/>
      <c r="G76" s="53"/>
      <c r="H76" s="53"/>
      <c r="I76" s="53"/>
      <c r="K76" s="16"/>
      <c r="L76" s="17"/>
      <c r="M76" s="17"/>
      <c r="N76" s="17"/>
    </row>
    <row r="77" spans="1:14" x14ac:dyDescent="0.2">
      <c r="B77" s="19"/>
      <c r="C77" s="19"/>
      <c r="D77" s="56"/>
      <c r="E77" s="53"/>
      <c r="F77" s="53"/>
      <c r="G77" s="53"/>
      <c r="H77" s="53"/>
      <c r="I77" s="53"/>
      <c r="K77" s="16"/>
      <c r="L77" s="17"/>
      <c r="M77" s="17"/>
      <c r="N77" s="17"/>
    </row>
    <row r="78" spans="1:14" x14ac:dyDescent="0.2">
      <c r="A78" s="15">
        <v>41515</v>
      </c>
      <c r="B78" s="16">
        <v>4432.1000000000004</v>
      </c>
      <c r="C78" s="18" t="s">
        <v>4</v>
      </c>
      <c r="D78" s="53">
        <v>500.29</v>
      </c>
      <c r="E78" s="53"/>
      <c r="F78" s="53">
        <v>491.37</v>
      </c>
      <c r="G78" s="53"/>
      <c r="H78" s="53"/>
      <c r="I78" s="53"/>
      <c r="K78" s="16"/>
      <c r="L78" s="17"/>
      <c r="M78" s="17"/>
      <c r="N78" s="17"/>
    </row>
    <row r="79" spans="1:14" x14ac:dyDescent="0.2">
      <c r="A79" s="19"/>
      <c r="D79" s="53"/>
      <c r="E79" s="53"/>
      <c r="F79" s="53"/>
      <c r="G79" s="53"/>
      <c r="H79" s="53"/>
      <c r="I79" s="53"/>
      <c r="K79" s="18"/>
      <c r="L79" s="17"/>
      <c r="M79" s="17"/>
      <c r="N79" s="17"/>
    </row>
    <row r="80" spans="1:14" x14ac:dyDescent="0.2">
      <c r="B80" s="16">
        <v>4534.1000000000004</v>
      </c>
      <c r="C80" s="16" t="s">
        <v>19</v>
      </c>
      <c r="D80" s="53">
        <v>187.69</v>
      </c>
      <c r="E80" s="57">
        <f>D80*429.35/500.29</f>
        <v>161.07597893221933</v>
      </c>
      <c r="F80" s="53"/>
      <c r="G80" s="53"/>
      <c r="H80" s="53"/>
      <c r="I80" s="53"/>
      <c r="K80" s="16"/>
      <c r="L80" s="17"/>
      <c r="M80" s="17"/>
      <c r="N80" s="17"/>
    </row>
    <row r="81" spans="1:14" x14ac:dyDescent="0.2">
      <c r="B81" s="16">
        <v>4534.2</v>
      </c>
      <c r="C81" s="16" t="s">
        <v>19</v>
      </c>
      <c r="D81" s="53">
        <v>191.1</v>
      </c>
      <c r="E81" s="57">
        <f>D81*429.35/500.29</f>
        <v>164.00244857982369</v>
      </c>
      <c r="F81" s="53">
        <f>AVERAGE(E80:E82)</f>
        <v>158.75045310498714</v>
      </c>
      <c r="G81" s="53">
        <f>F81-17.36</f>
        <v>141.39045310498716</v>
      </c>
      <c r="H81" s="53">
        <f>STDEV(E80:E82)</f>
        <v>6.72347960226449</v>
      </c>
      <c r="I81" s="53">
        <f>(H81/(SQRT(3)))</f>
        <v>3.8818027582583614</v>
      </c>
      <c r="K81" s="16"/>
      <c r="L81" s="17"/>
      <c r="M81" s="17"/>
      <c r="N81" s="17"/>
    </row>
    <row r="82" spans="1:14" x14ac:dyDescent="0.2">
      <c r="B82" s="22">
        <v>4534.3999999999996</v>
      </c>
      <c r="C82" s="16" t="s">
        <v>19</v>
      </c>
      <c r="D82" s="54">
        <v>173.01</v>
      </c>
      <c r="E82" s="57">
        <f>D82*429.35/491.37</f>
        <v>151.17293180291838</v>
      </c>
      <c r="F82" s="53"/>
      <c r="G82" s="53"/>
      <c r="H82" s="53"/>
      <c r="I82" s="53"/>
      <c r="K82" s="16"/>
      <c r="L82" s="17"/>
      <c r="M82" s="17"/>
      <c r="N82" s="17"/>
    </row>
    <row r="83" spans="1:14" x14ac:dyDescent="0.2">
      <c r="D83" s="53"/>
      <c r="E83" s="53"/>
      <c r="F83" s="53"/>
      <c r="G83" s="53"/>
      <c r="H83" s="53"/>
      <c r="I83" s="53"/>
      <c r="K83" s="16"/>
      <c r="L83" s="17"/>
      <c r="M83" s="17"/>
      <c r="N83" s="17"/>
    </row>
    <row r="84" spans="1:14" x14ac:dyDescent="0.2">
      <c r="B84" s="24" t="s">
        <v>31</v>
      </c>
      <c r="D84" s="58">
        <v>2841</v>
      </c>
      <c r="E84" s="53"/>
      <c r="F84" s="53"/>
      <c r="G84" s="53"/>
      <c r="H84" s="53"/>
      <c r="I84" s="53"/>
      <c r="K84" s="16"/>
      <c r="L84" s="17"/>
      <c r="M84" s="17"/>
      <c r="N84" s="17"/>
    </row>
    <row r="85" spans="1:14" x14ac:dyDescent="0.2">
      <c r="A85" s="22"/>
      <c r="B85" s="19"/>
      <c r="C85" s="19"/>
      <c r="D85" s="56"/>
      <c r="E85" s="53"/>
      <c r="F85" s="53"/>
      <c r="G85" s="53"/>
      <c r="H85" s="53"/>
      <c r="I85" s="53"/>
      <c r="K85" s="19"/>
      <c r="L85" s="17"/>
      <c r="M85" s="17"/>
      <c r="N85" s="17"/>
    </row>
    <row r="86" spans="1:14" x14ac:dyDescent="0.2">
      <c r="A86" s="15">
        <v>41523</v>
      </c>
      <c r="B86" s="16">
        <v>4432.1000000000004</v>
      </c>
      <c r="C86" s="18" t="s">
        <v>4</v>
      </c>
      <c r="D86" s="53">
        <v>523.29999999999995</v>
      </c>
      <c r="E86" s="53"/>
      <c r="F86" s="53">
        <v>491.37</v>
      </c>
      <c r="G86" s="53"/>
      <c r="H86" s="53"/>
      <c r="I86" s="53"/>
      <c r="K86" s="18"/>
      <c r="L86" s="17"/>
      <c r="M86" s="17"/>
      <c r="N86" s="17"/>
    </row>
    <row r="87" spans="1:14" x14ac:dyDescent="0.2">
      <c r="A87" s="19"/>
      <c r="D87" s="53"/>
      <c r="E87" s="53"/>
      <c r="I87" s="17"/>
      <c r="K87" s="16"/>
      <c r="L87" s="17"/>
      <c r="M87" s="17"/>
      <c r="N87" s="17"/>
    </row>
    <row r="88" spans="1:14" x14ac:dyDescent="0.2">
      <c r="B88" s="16">
        <v>4535.1000000000004</v>
      </c>
      <c r="C88" s="16" t="s">
        <v>20</v>
      </c>
      <c r="D88" s="53">
        <v>189.38</v>
      </c>
      <c r="E88" s="53">
        <f>D88*429.35/523.3</f>
        <v>155.37990254156318</v>
      </c>
      <c r="I88" s="17"/>
      <c r="K88" s="16"/>
      <c r="L88" s="17"/>
      <c r="M88" s="17"/>
      <c r="N88" s="17"/>
    </row>
    <row r="89" spans="1:14" x14ac:dyDescent="0.2">
      <c r="B89" s="22">
        <v>4535.3999999999996</v>
      </c>
      <c r="C89" s="16" t="s">
        <v>20</v>
      </c>
      <c r="D89" s="54">
        <v>168.49</v>
      </c>
      <c r="E89" s="53">
        <f>D89*429.35/491.37</f>
        <v>147.22343956692515</v>
      </c>
      <c r="F89" s="17">
        <f>AVERAGE(E88:E90)</f>
        <v>150.83144176404355</v>
      </c>
      <c r="G89" s="17">
        <f>F89-17.36</f>
        <v>133.47144176404356</v>
      </c>
      <c r="H89" s="17">
        <f>STDEV(E88:E90)</f>
        <v>4.1587640976915257</v>
      </c>
      <c r="I89" s="17">
        <f>(H89/(SQRT(3)))</f>
        <v>2.4010635712983537</v>
      </c>
      <c r="K89" s="16"/>
      <c r="L89" s="17"/>
      <c r="M89" s="17"/>
      <c r="N89" s="17"/>
    </row>
    <row r="90" spans="1:14" x14ac:dyDescent="0.2">
      <c r="B90" s="16">
        <v>4535.3</v>
      </c>
      <c r="C90" s="16" t="s">
        <v>20</v>
      </c>
      <c r="D90" s="53">
        <v>182.69</v>
      </c>
      <c r="E90" s="53">
        <f>D90*429.35/523.3</f>
        <v>149.89098318364231</v>
      </c>
      <c r="I90" s="17"/>
      <c r="K90" s="16"/>
      <c r="L90" s="17"/>
      <c r="M90" s="17"/>
      <c r="N90" s="17"/>
    </row>
    <row r="91" spans="1:14" x14ac:dyDescent="0.2">
      <c r="D91" s="53"/>
      <c r="E91" s="53"/>
      <c r="I91" s="17"/>
      <c r="K91" s="16"/>
      <c r="L91" s="17"/>
      <c r="M91" s="17"/>
      <c r="N91" s="17"/>
    </row>
    <row r="92" spans="1:14" x14ac:dyDescent="0.2">
      <c r="A92" s="22"/>
      <c r="B92" s="16">
        <v>4536.1000000000004</v>
      </c>
      <c r="C92" s="16" t="s">
        <v>21</v>
      </c>
      <c r="D92" s="53">
        <v>186.01</v>
      </c>
      <c r="E92" s="53">
        <f>D92*429.35/523.3</f>
        <v>152.61493120580931</v>
      </c>
      <c r="I92" s="17"/>
      <c r="K92" s="19"/>
      <c r="L92" s="17"/>
      <c r="M92" s="17"/>
      <c r="N92" s="17"/>
    </row>
    <row r="93" spans="1:14" x14ac:dyDescent="0.2">
      <c r="B93" s="22">
        <v>4536.3999999999996</v>
      </c>
      <c r="C93" s="16" t="s">
        <v>21</v>
      </c>
      <c r="D93" s="54">
        <v>171.54</v>
      </c>
      <c r="E93" s="53">
        <f>D93*429.35/491.37</f>
        <v>149.8884730447524</v>
      </c>
      <c r="F93" s="17">
        <f>AVERAGE(E92:E94)</f>
        <v>151.70611181879033</v>
      </c>
      <c r="G93" s="17">
        <f>F93-17.36</f>
        <v>134.34611181879035</v>
      </c>
      <c r="H93" s="17">
        <f>STDEV(E92:E94)</f>
        <v>1.5741213532204597</v>
      </c>
      <c r="I93" s="17">
        <f>(H93/(SQRT(3)))</f>
        <v>0.90881938701897036</v>
      </c>
      <c r="K93" s="18"/>
      <c r="L93" s="17"/>
      <c r="M93" s="17"/>
      <c r="N93" s="17"/>
    </row>
    <row r="94" spans="1:14" x14ac:dyDescent="0.2">
      <c r="B94" s="16">
        <v>4536.3</v>
      </c>
      <c r="C94" s="16" t="s">
        <v>21</v>
      </c>
      <c r="D94" s="53">
        <v>186.01</v>
      </c>
      <c r="E94" s="53">
        <f>D94*429.35/523.3</f>
        <v>152.61493120580931</v>
      </c>
      <c r="I94" s="17"/>
      <c r="K94" s="16"/>
      <c r="L94" s="17"/>
      <c r="M94" s="17"/>
      <c r="N94" s="17"/>
    </row>
    <row r="95" spans="1:14" x14ac:dyDescent="0.2">
      <c r="D95" s="53"/>
      <c r="E95" s="53"/>
      <c r="I95" s="17"/>
      <c r="K95" s="16"/>
      <c r="L95" s="17"/>
      <c r="M95" s="17"/>
      <c r="N95" s="17"/>
    </row>
    <row r="96" spans="1:14" x14ac:dyDescent="0.2">
      <c r="A96" s="22"/>
      <c r="B96" s="24" t="s">
        <v>31</v>
      </c>
      <c r="C96" s="24"/>
      <c r="D96" s="58">
        <v>2985</v>
      </c>
      <c r="E96" s="53"/>
      <c r="I96" s="17"/>
      <c r="K96" s="16"/>
      <c r="L96" s="17"/>
      <c r="M96" s="17"/>
      <c r="N96" s="17"/>
    </row>
    <row r="97" spans="1:14" x14ac:dyDescent="0.2">
      <c r="B97" s="19"/>
      <c r="C97" s="19"/>
      <c r="D97" s="56"/>
      <c r="E97" s="53"/>
      <c r="I97" s="17"/>
      <c r="K97" s="16"/>
      <c r="L97" s="17"/>
      <c r="M97" s="17"/>
      <c r="N97" s="17"/>
    </row>
    <row r="98" spans="1:14" x14ac:dyDescent="0.2">
      <c r="A98" s="15">
        <v>41536</v>
      </c>
      <c r="B98" s="16">
        <v>4432.1000000000004</v>
      </c>
      <c r="C98" s="18" t="s">
        <v>26</v>
      </c>
      <c r="D98" s="53">
        <v>571.98</v>
      </c>
      <c r="E98" s="53"/>
      <c r="I98" s="17"/>
      <c r="K98" s="16"/>
      <c r="L98" s="17"/>
      <c r="M98" s="17"/>
      <c r="N98" s="17"/>
    </row>
    <row r="99" spans="1:14" x14ac:dyDescent="0.2">
      <c r="A99" s="19"/>
      <c r="D99" s="53"/>
      <c r="E99" s="53"/>
      <c r="I99" s="17"/>
      <c r="K99" s="16"/>
      <c r="L99" s="17"/>
      <c r="M99" s="17"/>
      <c r="N99" s="17"/>
    </row>
    <row r="100" spans="1:14" x14ac:dyDescent="0.2">
      <c r="B100" s="16">
        <v>4531.1000000000004</v>
      </c>
      <c r="C100" s="18" t="s">
        <v>16</v>
      </c>
      <c r="D100" s="53">
        <v>232.91</v>
      </c>
      <c r="E100" s="53">
        <f>D100*429.35/571.98</f>
        <v>174.83112783663765</v>
      </c>
      <c r="I100" s="17"/>
      <c r="K100" s="16"/>
      <c r="L100" s="17"/>
      <c r="M100" s="17"/>
      <c r="N100" s="17"/>
    </row>
    <row r="101" spans="1:14" x14ac:dyDescent="0.2">
      <c r="B101" s="16">
        <v>4531.2</v>
      </c>
      <c r="C101" s="18" t="s">
        <v>16</v>
      </c>
      <c r="D101" s="53">
        <v>235.01</v>
      </c>
      <c r="E101" s="53">
        <f t="shared" ref="E101:E106" si="2">D101*429.35/571.98</f>
        <v>176.40746791845868</v>
      </c>
      <c r="F101" s="17">
        <f>AVERAGE(E100:E102)</f>
        <v>175.35657453057797</v>
      </c>
      <c r="G101" s="17">
        <f>F101-17.36</f>
        <v>157.99657453057796</v>
      </c>
      <c r="H101" s="17">
        <f>STDEV(E100:E102)</f>
        <v>0.91010037057376836</v>
      </c>
      <c r="I101" s="17">
        <f>(H101/(SQRT(3)))</f>
        <v>0.52544669394034338</v>
      </c>
      <c r="K101" s="24"/>
      <c r="L101" s="17"/>
      <c r="M101" s="17"/>
      <c r="N101" s="17"/>
    </row>
    <row r="102" spans="1:14" x14ac:dyDescent="0.2">
      <c r="B102" s="16">
        <v>4531.3999999999996</v>
      </c>
      <c r="C102" s="18" t="s">
        <v>16</v>
      </c>
      <c r="D102" s="53">
        <v>232.91</v>
      </c>
      <c r="E102" s="53">
        <f t="shared" si="2"/>
        <v>174.83112783663765</v>
      </c>
      <c r="I102" s="17"/>
      <c r="K102" s="19"/>
      <c r="L102" s="17"/>
      <c r="M102" s="17"/>
      <c r="N102" s="17"/>
    </row>
    <row r="103" spans="1:14" x14ac:dyDescent="0.2">
      <c r="D103" s="53"/>
      <c r="E103" s="53"/>
      <c r="I103" s="17"/>
      <c r="K103" s="18"/>
      <c r="L103" s="17"/>
      <c r="M103" s="17"/>
      <c r="N103" s="17"/>
    </row>
    <row r="104" spans="1:14" x14ac:dyDescent="0.2">
      <c r="B104" s="16">
        <v>4532.1000000000004</v>
      </c>
      <c r="C104" s="16" t="s">
        <v>17</v>
      </c>
      <c r="D104" s="53">
        <v>598.89</v>
      </c>
      <c r="E104" s="53">
        <f t="shared" si="2"/>
        <v>449.54967219133533</v>
      </c>
      <c r="I104" s="17"/>
      <c r="K104" s="16"/>
      <c r="L104" s="17"/>
      <c r="M104" s="17"/>
      <c r="N104" s="17"/>
    </row>
    <row r="105" spans="1:14" x14ac:dyDescent="0.2">
      <c r="B105" s="16">
        <v>4532.2</v>
      </c>
      <c r="C105" s="16" t="s">
        <v>17</v>
      </c>
      <c r="D105" s="53">
        <v>572.54999999999995</v>
      </c>
      <c r="E105" s="53">
        <f t="shared" si="2"/>
        <v>429.77786373649428</v>
      </c>
      <c r="F105" s="17">
        <f>AVERAGE(E104:E106)</f>
        <v>442.95906937305494</v>
      </c>
      <c r="G105" s="17">
        <f>F105-17.36</f>
        <v>425.59906937305493</v>
      </c>
      <c r="H105" s="17">
        <f>STDEV(E104:E106)</f>
        <v>11.415258933768198</v>
      </c>
      <c r="I105" s="17">
        <f>(H105/(SQRT(3)))</f>
        <v>6.5906028182803498</v>
      </c>
      <c r="K105" s="18"/>
      <c r="L105" s="17"/>
      <c r="M105" s="17"/>
      <c r="N105" s="17"/>
    </row>
    <row r="106" spans="1:14" x14ac:dyDescent="0.2">
      <c r="B106" s="16">
        <v>4532.3999999999996</v>
      </c>
      <c r="C106" s="16" t="s">
        <v>17</v>
      </c>
      <c r="D106" s="53">
        <v>598.89</v>
      </c>
      <c r="E106" s="53">
        <f t="shared" si="2"/>
        <v>449.54967219133533</v>
      </c>
      <c r="I106" s="17"/>
      <c r="K106" s="18"/>
      <c r="L106" s="17"/>
      <c r="M106" s="17"/>
      <c r="N106" s="17"/>
    </row>
    <row r="107" spans="1:14" x14ac:dyDescent="0.2">
      <c r="D107" s="53"/>
      <c r="E107" s="53"/>
      <c r="I107" s="17"/>
      <c r="K107" s="16"/>
      <c r="L107" s="17"/>
      <c r="M107" s="17"/>
      <c r="N107" s="17"/>
    </row>
    <row r="108" spans="1:14" x14ac:dyDescent="0.2">
      <c r="A108" s="15">
        <v>41838</v>
      </c>
      <c r="B108" s="16">
        <v>4432</v>
      </c>
      <c r="C108" s="16" t="s">
        <v>4</v>
      </c>
      <c r="D108" s="53">
        <v>604.29999999999995</v>
      </c>
      <c r="E108" s="53"/>
      <c r="I108" s="17"/>
      <c r="K108" s="16"/>
      <c r="L108" s="17"/>
      <c r="M108" s="17"/>
      <c r="N108" s="17"/>
    </row>
    <row r="109" spans="1:14" x14ac:dyDescent="0.2">
      <c r="D109" s="53"/>
      <c r="E109" s="53"/>
      <c r="I109" s="17"/>
      <c r="K109" s="16"/>
      <c r="L109" s="17"/>
      <c r="M109" s="17"/>
      <c r="N109" s="17"/>
    </row>
    <row r="110" spans="1:14" x14ac:dyDescent="0.2">
      <c r="B110" s="16">
        <v>4725.1000000000004</v>
      </c>
      <c r="C110" s="16" t="s">
        <v>22</v>
      </c>
      <c r="D110" s="53">
        <v>273.83999999999997</v>
      </c>
      <c r="E110" s="57">
        <f>D110*429.35/604.3</f>
        <v>194.56098626510013</v>
      </c>
      <c r="F110" s="17"/>
      <c r="G110" s="17"/>
      <c r="I110" s="17"/>
      <c r="K110" s="16"/>
      <c r="L110" s="17"/>
      <c r="M110" s="17"/>
      <c r="N110" s="17"/>
    </row>
    <row r="111" spans="1:14" x14ac:dyDescent="0.2">
      <c r="B111" s="16">
        <v>4725.2</v>
      </c>
      <c r="C111" s="16" t="s">
        <v>22</v>
      </c>
      <c r="D111" s="53">
        <v>273.83999999999997</v>
      </c>
      <c r="E111" s="57">
        <f>D111*429.35/604.3</f>
        <v>194.56098626510013</v>
      </c>
      <c r="F111" s="17">
        <f>(E110+E111+E112)/3</f>
        <v>193.98075155827681</v>
      </c>
      <c r="G111" s="17">
        <f>F111-17.36</f>
        <v>176.62075155827682</v>
      </c>
      <c r="H111" s="17">
        <f>STDEV(E110:E112)</f>
        <v>1.0049959925328202</v>
      </c>
      <c r="I111" s="17">
        <f>(H111/(SQRT(3)))</f>
        <v>0.5802347068233189</v>
      </c>
      <c r="K111" s="16"/>
      <c r="L111" s="17"/>
      <c r="M111" s="17"/>
      <c r="N111" s="17"/>
    </row>
    <row r="112" spans="1:14" x14ac:dyDescent="0.2">
      <c r="B112" s="16">
        <v>4725.3</v>
      </c>
      <c r="C112" s="16" t="s">
        <v>22</v>
      </c>
      <c r="D112" s="53">
        <v>271.39</v>
      </c>
      <c r="E112" s="57">
        <f>D112*429.35/604.3</f>
        <v>192.82028214463017</v>
      </c>
      <c r="F112" s="17"/>
      <c r="G112" s="17"/>
      <c r="I112" s="17"/>
      <c r="K112" s="16"/>
      <c r="L112" s="17"/>
      <c r="M112" s="17"/>
      <c r="N112" s="17"/>
    </row>
    <row r="113" spans="1:14" x14ac:dyDescent="0.2">
      <c r="D113" s="53"/>
      <c r="E113" s="53"/>
      <c r="F113" s="17"/>
      <c r="G113" s="17"/>
      <c r="I113" s="17"/>
      <c r="K113" s="16"/>
      <c r="L113" s="17"/>
      <c r="M113" s="17"/>
      <c r="N113" s="17"/>
    </row>
    <row r="114" spans="1:14" x14ac:dyDescent="0.2">
      <c r="A114" s="15">
        <v>41887</v>
      </c>
      <c r="B114" s="16">
        <v>4432</v>
      </c>
      <c r="C114" s="16" t="s">
        <v>4</v>
      </c>
      <c r="D114" s="53">
        <v>557.30999999999995</v>
      </c>
      <c r="E114" s="53"/>
      <c r="F114" s="17"/>
      <c r="G114" s="17"/>
      <c r="I114" s="17"/>
      <c r="K114" s="16"/>
      <c r="L114" s="17"/>
      <c r="M114" s="17"/>
      <c r="N114" s="17"/>
    </row>
    <row r="115" spans="1:14" x14ac:dyDescent="0.2">
      <c r="D115" s="53"/>
      <c r="E115" s="53"/>
      <c r="F115" s="17"/>
      <c r="G115" s="17"/>
      <c r="I115" s="17"/>
      <c r="K115" s="16"/>
      <c r="L115" s="17"/>
      <c r="M115" s="17"/>
      <c r="N115" s="17"/>
    </row>
    <row r="116" spans="1:14" x14ac:dyDescent="0.2">
      <c r="B116" s="16">
        <v>4726.1000000000004</v>
      </c>
      <c r="C116" s="16" t="s">
        <v>23</v>
      </c>
      <c r="D116" s="53">
        <v>474</v>
      </c>
      <c r="E116" s="57">
        <f>D116*429.35/557.31</f>
        <v>365.16821876513978</v>
      </c>
      <c r="F116" s="17"/>
      <c r="G116" s="17"/>
      <c r="I116" s="17"/>
      <c r="K116" s="16"/>
      <c r="L116" s="17"/>
      <c r="M116" s="17"/>
      <c r="N116" s="17"/>
    </row>
    <row r="117" spans="1:14" x14ac:dyDescent="0.2">
      <c r="B117" s="16">
        <v>4726.2</v>
      </c>
      <c r="C117" s="16" t="s">
        <v>23</v>
      </c>
      <c r="D117" s="53">
        <v>486.97</v>
      </c>
      <c r="E117" s="57">
        <f t="shared" ref="E117:E122" si="3">D117*429.35/557.31</f>
        <v>375.16026897059095</v>
      </c>
      <c r="F117" s="17">
        <f>(E116+E117+E118)/3</f>
        <v>371.82958556877389</v>
      </c>
      <c r="G117" s="17">
        <f>F117-17.36</f>
        <v>354.46958556877388</v>
      </c>
      <c r="H117" s="17">
        <f>STDEV(E116:E118)</f>
        <v>5.7689128758734851</v>
      </c>
      <c r="I117" s="17">
        <f>(H117/(SQRT(3)))</f>
        <v>3.3306834018170548</v>
      </c>
      <c r="K117" s="16"/>
      <c r="L117" s="17"/>
      <c r="M117" s="17"/>
      <c r="N117" s="17"/>
    </row>
    <row r="118" spans="1:14" x14ac:dyDescent="0.2">
      <c r="B118" s="16">
        <v>4726.3</v>
      </c>
      <c r="C118" s="16" t="s">
        <v>23</v>
      </c>
      <c r="D118" s="53">
        <v>486.97</v>
      </c>
      <c r="E118" s="57">
        <f t="shared" si="3"/>
        <v>375.16026897059095</v>
      </c>
      <c r="F118" s="17"/>
      <c r="G118" s="17"/>
      <c r="I118" s="17"/>
      <c r="K118" s="16"/>
      <c r="L118" s="17"/>
      <c r="M118" s="17"/>
      <c r="N118" s="17"/>
    </row>
    <row r="119" spans="1:14" x14ac:dyDescent="0.2">
      <c r="D119" s="53"/>
      <c r="E119" s="57"/>
      <c r="F119" s="17"/>
      <c r="G119" s="17"/>
      <c r="I119" s="17"/>
      <c r="K119" s="16"/>
      <c r="L119" s="17"/>
      <c r="M119" s="17"/>
      <c r="N119" s="17"/>
    </row>
    <row r="120" spans="1:14" x14ac:dyDescent="0.2">
      <c r="B120" s="16">
        <v>4727.1000000000004</v>
      </c>
      <c r="C120" s="16" t="s">
        <v>24</v>
      </c>
      <c r="D120" s="53">
        <v>296.93</v>
      </c>
      <c r="E120" s="57">
        <f t="shared" si="3"/>
        <v>228.75400674669399</v>
      </c>
      <c r="F120" s="17"/>
      <c r="G120" s="17"/>
      <c r="I120" s="17"/>
      <c r="K120" s="16"/>
      <c r="L120" s="17"/>
      <c r="M120" s="17"/>
      <c r="N120" s="17"/>
    </row>
    <row r="121" spans="1:14" x14ac:dyDescent="0.2">
      <c r="B121" s="16">
        <v>4727.2</v>
      </c>
      <c r="C121" s="16" t="s">
        <v>24</v>
      </c>
      <c r="D121" s="53">
        <v>305.05</v>
      </c>
      <c r="E121" s="57">
        <f t="shared" si="3"/>
        <v>235.0096310850335</v>
      </c>
      <c r="F121" s="17">
        <f>(E120+E121+E122)/3</f>
        <v>232.22336162399145</v>
      </c>
      <c r="G121" s="17">
        <f>F121-17.36</f>
        <v>214.86336162399147</v>
      </c>
      <c r="H121" s="17">
        <f>STDEV(E120:E122)</f>
        <v>3.1832629847425555</v>
      </c>
      <c r="I121" s="17">
        <f>(H121/(SQRT(3)))</f>
        <v>1.8378577411424861</v>
      </c>
      <c r="K121" s="16"/>
      <c r="L121" s="17"/>
      <c r="M121" s="17"/>
      <c r="N121" s="17"/>
    </row>
    <row r="122" spans="1:14" x14ac:dyDescent="0.2">
      <c r="B122" s="16">
        <v>4727.3</v>
      </c>
      <c r="C122" s="16" t="s">
        <v>24</v>
      </c>
      <c r="D122" s="53">
        <v>302.32</v>
      </c>
      <c r="E122" s="57">
        <f t="shared" si="3"/>
        <v>232.90644704024692</v>
      </c>
      <c r="F122" s="17"/>
      <c r="G122" s="17"/>
      <c r="I122" s="17"/>
      <c r="K122" s="16"/>
    </row>
    <row r="123" spans="1:14" x14ac:dyDescent="0.2">
      <c r="I123" s="17"/>
    </row>
    <row r="124" spans="1:14" x14ac:dyDescent="0.2">
      <c r="A124" s="2"/>
      <c r="B124" s="2"/>
      <c r="C124" s="21"/>
      <c r="D124" s="2"/>
      <c r="E124" s="2"/>
      <c r="F124" s="2"/>
      <c r="I124" s="17"/>
    </row>
    <row r="125" spans="1:14" x14ac:dyDescent="0.2">
      <c r="A125" s="2"/>
      <c r="B125" s="2"/>
      <c r="C125" s="21"/>
      <c r="D125" s="2"/>
      <c r="E125" s="2"/>
      <c r="F125" s="2"/>
      <c r="I125" s="17"/>
    </row>
    <row r="126" spans="1:14" x14ac:dyDescent="0.2">
      <c r="I126" s="17"/>
    </row>
    <row r="127" spans="1:14" x14ac:dyDescent="0.2">
      <c r="I127" s="17"/>
    </row>
    <row r="128" spans="1:14" x14ac:dyDescent="0.2">
      <c r="I128" s="17"/>
    </row>
    <row r="129" spans="4:9" x14ac:dyDescent="0.2">
      <c r="I129" s="17"/>
    </row>
    <row r="130" spans="4:9" x14ac:dyDescent="0.2">
      <c r="I130" s="17"/>
    </row>
    <row r="131" spans="4:9" x14ac:dyDescent="0.2">
      <c r="I131" s="17"/>
    </row>
    <row r="132" spans="4:9" x14ac:dyDescent="0.2">
      <c r="I132" s="17"/>
    </row>
    <row r="133" spans="4:9" x14ac:dyDescent="0.2">
      <c r="I133" s="17"/>
    </row>
    <row r="134" spans="4:9" x14ac:dyDescent="0.2">
      <c r="I134" s="17"/>
    </row>
    <row r="135" spans="4:9" x14ac:dyDescent="0.2">
      <c r="I135" s="17"/>
    </row>
    <row r="136" spans="4:9" x14ac:dyDescent="0.2">
      <c r="I136" s="17"/>
    </row>
    <row r="137" spans="4:9" x14ac:dyDescent="0.2">
      <c r="I137" s="17"/>
    </row>
    <row r="138" spans="4:9" x14ac:dyDescent="0.2">
      <c r="I138" s="17"/>
    </row>
    <row r="139" spans="4:9" x14ac:dyDescent="0.2">
      <c r="D139" s="19"/>
      <c r="I139" s="17"/>
    </row>
    <row r="140" spans="4:9" x14ac:dyDescent="0.2">
      <c r="I140" s="17"/>
    </row>
    <row r="141" spans="4:9" x14ac:dyDescent="0.2">
      <c r="I141" s="17"/>
    </row>
    <row r="142" spans="4:9" x14ac:dyDescent="0.2">
      <c r="I142" s="17"/>
    </row>
    <row r="143" spans="4:9" x14ac:dyDescent="0.2">
      <c r="I143" s="17"/>
    </row>
    <row r="144" spans="4:9" x14ac:dyDescent="0.2">
      <c r="I144" s="17"/>
    </row>
    <row r="145" spans="4:9" x14ac:dyDescent="0.2">
      <c r="I145" s="17"/>
    </row>
    <row r="146" spans="4:9" x14ac:dyDescent="0.2">
      <c r="I146" s="17"/>
    </row>
    <row r="147" spans="4:9" x14ac:dyDescent="0.2">
      <c r="I147" s="17"/>
    </row>
    <row r="148" spans="4:9" x14ac:dyDescent="0.2">
      <c r="I148" s="17"/>
    </row>
    <row r="149" spans="4:9" x14ac:dyDescent="0.2">
      <c r="I149" s="17"/>
    </row>
    <row r="150" spans="4:9" x14ac:dyDescent="0.2">
      <c r="I150" s="17"/>
    </row>
    <row r="151" spans="4:9" x14ac:dyDescent="0.2">
      <c r="D151" s="19"/>
      <c r="I151" s="17"/>
    </row>
    <row r="152" spans="4:9" x14ac:dyDescent="0.2">
      <c r="I152" s="17"/>
    </row>
    <row r="153" spans="4:9" x14ac:dyDescent="0.2">
      <c r="I153" s="17"/>
    </row>
    <row r="154" spans="4:9" x14ac:dyDescent="0.2">
      <c r="I154" s="17"/>
    </row>
    <row r="155" spans="4:9" x14ac:dyDescent="0.2">
      <c r="I155" s="17"/>
    </row>
    <row r="156" spans="4:9" x14ac:dyDescent="0.2">
      <c r="I156" s="17"/>
    </row>
    <row r="157" spans="4:9" x14ac:dyDescent="0.2">
      <c r="I157" s="17"/>
    </row>
    <row r="158" spans="4:9" x14ac:dyDescent="0.2">
      <c r="I158" s="17"/>
    </row>
    <row r="159" spans="4:9" x14ac:dyDescent="0.2">
      <c r="I159" s="17"/>
    </row>
    <row r="160" spans="4:9" x14ac:dyDescent="0.2">
      <c r="I160" s="17"/>
    </row>
    <row r="161" spans="4:9" x14ac:dyDescent="0.2">
      <c r="D161" s="19"/>
      <c r="I161" s="17"/>
    </row>
    <row r="162" spans="4:9" x14ac:dyDescent="0.2">
      <c r="I162" s="17"/>
    </row>
    <row r="163" spans="4:9" x14ac:dyDescent="0.2">
      <c r="I163" s="17"/>
    </row>
    <row r="164" spans="4:9" x14ac:dyDescent="0.2">
      <c r="I164" s="17"/>
    </row>
    <row r="165" spans="4:9" x14ac:dyDescent="0.2">
      <c r="I165" s="17"/>
    </row>
    <row r="166" spans="4:9" x14ac:dyDescent="0.2">
      <c r="I166" s="17"/>
    </row>
    <row r="167" spans="4:9" x14ac:dyDescent="0.2">
      <c r="I167" s="17"/>
    </row>
    <row r="168" spans="4:9" x14ac:dyDescent="0.2">
      <c r="I168" s="17"/>
    </row>
    <row r="169" spans="4:9" x14ac:dyDescent="0.2">
      <c r="I169" s="17"/>
    </row>
    <row r="170" spans="4:9" x14ac:dyDescent="0.2">
      <c r="I170" s="17"/>
    </row>
    <row r="171" spans="4:9" x14ac:dyDescent="0.2">
      <c r="D171" s="19"/>
      <c r="I171" s="17"/>
    </row>
    <row r="172" spans="4:9" x14ac:dyDescent="0.2">
      <c r="I172" s="17"/>
    </row>
    <row r="173" spans="4:9" x14ac:dyDescent="0.2">
      <c r="I173" s="17"/>
    </row>
    <row r="174" spans="4:9" x14ac:dyDescent="0.2">
      <c r="I174" s="17"/>
    </row>
    <row r="175" spans="4:9" x14ac:dyDescent="0.2">
      <c r="I175" s="17"/>
    </row>
    <row r="176" spans="4:9" x14ac:dyDescent="0.2">
      <c r="I176" s="17"/>
    </row>
    <row r="177" spans="4:9" x14ac:dyDescent="0.2">
      <c r="I177" s="17"/>
    </row>
    <row r="178" spans="4:9" x14ac:dyDescent="0.2">
      <c r="I178" s="17"/>
    </row>
    <row r="179" spans="4:9" x14ac:dyDescent="0.2">
      <c r="I179" s="17"/>
    </row>
    <row r="180" spans="4:9" x14ac:dyDescent="0.2">
      <c r="I180" s="17"/>
    </row>
    <row r="181" spans="4:9" x14ac:dyDescent="0.2">
      <c r="I181" s="17"/>
    </row>
    <row r="182" spans="4:9" x14ac:dyDescent="0.2">
      <c r="I182" s="17"/>
    </row>
    <row r="183" spans="4:9" x14ac:dyDescent="0.2">
      <c r="I183" s="17"/>
    </row>
    <row r="184" spans="4:9" x14ac:dyDescent="0.2">
      <c r="D184" s="19"/>
      <c r="I184" s="17"/>
    </row>
    <row r="185" spans="4:9" x14ac:dyDescent="0.2">
      <c r="I185" s="17"/>
    </row>
    <row r="186" spans="4:9" x14ac:dyDescent="0.2">
      <c r="I186" s="17"/>
    </row>
    <row r="187" spans="4:9" x14ac:dyDescent="0.2">
      <c r="I187" s="17"/>
    </row>
    <row r="188" spans="4:9" x14ac:dyDescent="0.2">
      <c r="I188" s="17"/>
    </row>
    <row r="189" spans="4:9" x14ac:dyDescent="0.2">
      <c r="I189" s="17"/>
    </row>
    <row r="190" spans="4:9" x14ac:dyDescent="0.2">
      <c r="I190" s="17"/>
    </row>
    <row r="191" spans="4:9" x14ac:dyDescent="0.2">
      <c r="I191" s="17"/>
    </row>
    <row r="192" spans="4:9" x14ac:dyDescent="0.2">
      <c r="I192" s="17"/>
    </row>
    <row r="193" spans="4:9" x14ac:dyDescent="0.2">
      <c r="I193" s="17"/>
    </row>
    <row r="194" spans="4:9" x14ac:dyDescent="0.2">
      <c r="D194" s="19"/>
      <c r="I194" s="17"/>
    </row>
    <row r="195" spans="4:9" x14ac:dyDescent="0.2">
      <c r="D195" s="19"/>
      <c r="I195" s="17"/>
    </row>
    <row r="196" spans="4:9" x14ac:dyDescent="0.2">
      <c r="D196" s="19"/>
      <c r="I196" s="17"/>
    </row>
    <row r="197" spans="4:9" x14ac:dyDescent="0.2">
      <c r="I197" s="17"/>
    </row>
    <row r="198" spans="4:9" x14ac:dyDescent="0.2">
      <c r="I198" s="17"/>
    </row>
    <row r="199" spans="4:9" x14ac:dyDescent="0.2">
      <c r="I199" s="17"/>
    </row>
    <row r="200" spans="4:9" x14ac:dyDescent="0.2">
      <c r="I200" s="17"/>
    </row>
    <row r="201" spans="4:9" x14ac:dyDescent="0.2">
      <c r="I201" s="17"/>
    </row>
    <row r="202" spans="4:9" x14ac:dyDescent="0.2">
      <c r="I202" s="17"/>
    </row>
    <row r="203" spans="4:9" x14ac:dyDescent="0.2">
      <c r="I203" s="17"/>
    </row>
    <row r="204" spans="4:9" x14ac:dyDescent="0.2">
      <c r="I204" s="17"/>
    </row>
    <row r="205" spans="4:9" x14ac:dyDescent="0.2">
      <c r="I205" s="17"/>
    </row>
    <row r="206" spans="4:9" x14ac:dyDescent="0.2">
      <c r="I206" s="17"/>
    </row>
    <row r="207" spans="4:9" x14ac:dyDescent="0.2">
      <c r="I207" s="17"/>
    </row>
    <row r="208" spans="4:9" x14ac:dyDescent="0.2">
      <c r="I208" s="17"/>
    </row>
    <row r="209" spans="4:9" x14ac:dyDescent="0.2">
      <c r="I209" s="17"/>
    </row>
    <row r="210" spans="4:9" x14ac:dyDescent="0.2">
      <c r="I210" s="17"/>
    </row>
    <row r="211" spans="4:9" x14ac:dyDescent="0.2">
      <c r="D211" s="19"/>
      <c r="I211" s="17"/>
    </row>
    <row r="212" spans="4:9" x14ac:dyDescent="0.2">
      <c r="D212" s="19"/>
      <c r="I212" s="17"/>
    </row>
    <row r="213" spans="4:9" x14ac:dyDescent="0.2">
      <c r="D213" s="19"/>
      <c r="I213" s="17"/>
    </row>
    <row r="214" spans="4:9" x14ac:dyDescent="0.2">
      <c r="I214" s="17"/>
    </row>
    <row r="215" spans="4:9" x14ac:dyDescent="0.2">
      <c r="I215" s="17"/>
    </row>
    <row r="216" spans="4:9" x14ac:dyDescent="0.2">
      <c r="I216" s="17"/>
    </row>
    <row r="217" spans="4:9" x14ac:dyDescent="0.2">
      <c r="I217" s="17"/>
    </row>
    <row r="218" spans="4:9" x14ac:dyDescent="0.2">
      <c r="I218" s="17"/>
    </row>
    <row r="219" spans="4:9" x14ac:dyDescent="0.2">
      <c r="I219" s="17"/>
    </row>
    <row r="220" spans="4:9" x14ac:dyDescent="0.2">
      <c r="I220" s="17"/>
    </row>
    <row r="221" spans="4:9" x14ac:dyDescent="0.2">
      <c r="I221" s="17"/>
    </row>
    <row r="222" spans="4:9" x14ac:dyDescent="0.2">
      <c r="I222" s="17"/>
    </row>
    <row r="223" spans="4:9" x14ac:dyDescent="0.2">
      <c r="I223" s="17"/>
    </row>
    <row r="224" spans="4:9" x14ac:dyDescent="0.2">
      <c r="D224" s="19"/>
      <c r="I224" s="17"/>
    </row>
    <row r="225" spans="4:9" x14ac:dyDescent="0.2">
      <c r="D225" s="19"/>
      <c r="I225" s="17"/>
    </row>
    <row r="226" spans="4:9" x14ac:dyDescent="0.2">
      <c r="D226" s="19"/>
      <c r="I226" s="17"/>
    </row>
    <row r="227" spans="4:9" x14ac:dyDescent="0.2">
      <c r="I227" s="17"/>
    </row>
    <row r="228" spans="4:9" x14ac:dyDescent="0.2">
      <c r="I228" s="17"/>
    </row>
    <row r="229" spans="4:9" x14ac:dyDescent="0.2">
      <c r="I229" s="17"/>
    </row>
    <row r="230" spans="4:9" x14ac:dyDescent="0.2">
      <c r="I230" s="17"/>
    </row>
    <row r="231" spans="4:9" x14ac:dyDescent="0.2">
      <c r="I231" s="17"/>
    </row>
    <row r="232" spans="4:9" x14ac:dyDescent="0.2">
      <c r="I232" s="17"/>
    </row>
    <row r="233" spans="4:9" x14ac:dyDescent="0.2">
      <c r="I233" s="17"/>
    </row>
    <row r="234" spans="4:9" x14ac:dyDescent="0.2">
      <c r="I234" s="17"/>
    </row>
    <row r="235" spans="4:9" x14ac:dyDescent="0.2">
      <c r="I235" s="17"/>
    </row>
    <row r="236" spans="4:9" x14ac:dyDescent="0.2">
      <c r="I236" s="17"/>
    </row>
    <row r="237" spans="4:9" x14ac:dyDescent="0.2">
      <c r="I237" s="17"/>
    </row>
    <row r="243" spans="4:4" x14ac:dyDescent="0.2">
      <c r="D243" s="19"/>
    </row>
    <row r="251" spans="4:4" x14ac:dyDescent="0.2">
      <c r="D251" s="19"/>
    </row>
    <row r="252" spans="4:4" x14ac:dyDescent="0.2">
      <c r="D252" s="19"/>
    </row>
    <row r="253" spans="4:4" x14ac:dyDescent="0.2">
      <c r="D253" s="19"/>
    </row>
    <row r="267" spans="4:4" x14ac:dyDescent="0.2">
      <c r="D267" s="19"/>
    </row>
    <row r="269" spans="4:4" x14ac:dyDescent="0.2">
      <c r="D269" s="19"/>
    </row>
    <row r="285" spans="4:4" x14ac:dyDescent="0.2">
      <c r="D285" s="19"/>
    </row>
  </sheetData>
  <sortState ref="K3:N24">
    <sortCondition ref="K3:K24"/>
  </sortState>
  <phoneticPr fontId="4" type="noConversion"/>
  <pageMargins left="0.75" right="0.75" top="1" bottom="1" header="0.5" footer="0.5"/>
  <pageSetup paperSize="9" scale="92" orientation="portrait" horizontalDpi="4294967292" verticalDpi="4294967292"/>
  <rowBreaks count="2" manualBreakCount="2">
    <brk id="47" max="16383" man="1"/>
    <brk id="7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topLeftCell="H1" workbookViewId="0">
      <selection activeCell="I29" sqref="I29"/>
    </sheetView>
  </sheetViews>
  <sheetFormatPr baseColWidth="10" defaultColWidth="11" defaultRowHeight="16" x14ac:dyDescent="0.2"/>
  <cols>
    <col min="1" max="2" width="14" customWidth="1"/>
    <col min="3" max="4" width="14" style="14" customWidth="1"/>
    <col min="5" max="7" width="14" customWidth="1"/>
    <col min="8" max="8" width="20.1640625" customWidth="1"/>
    <col min="9" max="10" width="14.1640625" style="14" customWidth="1"/>
    <col min="11" max="13" width="14.1640625" style="36" customWidth="1"/>
    <col min="14" max="14" width="14.1640625" customWidth="1"/>
    <col min="15" max="16" width="14.1640625" style="14" customWidth="1"/>
    <col min="22" max="22" width="11" style="14"/>
    <col min="23" max="23" width="13.6640625" customWidth="1"/>
  </cols>
  <sheetData>
    <row r="1" spans="1:23" x14ac:dyDescent="0.2">
      <c r="I1" s="44" t="s">
        <v>98</v>
      </c>
    </row>
    <row r="2" spans="1:23" ht="48" x14ac:dyDescent="0.2">
      <c r="A2" s="5" t="s">
        <v>3</v>
      </c>
      <c r="B2" s="5" t="s">
        <v>48</v>
      </c>
      <c r="C2" s="5" t="s">
        <v>96</v>
      </c>
      <c r="D2" s="5" t="s">
        <v>106</v>
      </c>
      <c r="E2" s="5" t="s">
        <v>46</v>
      </c>
      <c r="F2" s="5" t="s">
        <v>47</v>
      </c>
      <c r="G2" s="5" t="s">
        <v>97</v>
      </c>
      <c r="I2" s="5" t="s">
        <v>48</v>
      </c>
      <c r="J2" s="5" t="s">
        <v>97</v>
      </c>
      <c r="N2" s="5"/>
      <c r="O2" s="5" t="s">
        <v>96</v>
      </c>
      <c r="P2" s="5" t="s">
        <v>97</v>
      </c>
      <c r="V2" s="5" t="s">
        <v>106</v>
      </c>
      <c r="W2" s="5" t="s">
        <v>97</v>
      </c>
    </row>
    <row r="3" spans="1:23" x14ac:dyDescent="0.2">
      <c r="A3" s="28"/>
      <c r="B3" s="28"/>
      <c r="C3" s="28"/>
      <c r="D3" s="28"/>
      <c r="E3" s="29"/>
      <c r="F3" s="28"/>
      <c r="G3" s="28"/>
      <c r="I3" s="28"/>
      <c r="O3" s="28"/>
      <c r="V3" s="28"/>
      <c r="W3" s="14"/>
    </row>
    <row r="4" spans="1:23" x14ac:dyDescent="0.2">
      <c r="A4" s="30" t="s">
        <v>4</v>
      </c>
      <c r="B4" s="41">
        <v>0.54659999999999997</v>
      </c>
      <c r="C4" s="41">
        <v>0.83279999999999998</v>
      </c>
      <c r="D4" s="4">
        <v>62.41</v>
      </c>
      <c r="E4" s="59" t="s">
        <v>49</v>
      </c>
      <c r="F4" s="27">
        <v>1</v>
      </c>
      <c r="G4" s="32">
        <f>LOG10(100*F4)</f>
        <v>2</v>
      </c>
      <c r="I4" s="41">
        <v>0.54659999999999997</v>
      </c>
      <c r="J4" s="43">
        <v>2</v>
      </c>
      <c r="K4" s="38"/>
      <c r="L4" s="37"/>
      <c r="M4" s="37"/>
      <c r="N4" s="27"/>
      <c r="O4" s="41">
        <v>0.83279999999999998</v>
      </c>
      <c r="P4" s="43">
        <v>2</v>
      </c>
      <c r="V4" s="4">
        <v>62.41</v>
      </c>
      <c r="W4" s="43">
        <v>2</v>
      </c>
    </row>
    <row r="5" spans="1:23" x14ac:dyDescent="0.2">
      <c r="A5" s="31" t="s">
        <v>50</v>
      </c>
      <c r="B5" s="41">
        <v>0.52010000000000001</v>
      </c>
      <c r="C5" s="41">
        <v>0.84870000000000001</v>
      </c>
      <c r="D5" s="4">
        <v>70.180000000000007</v>
      </c>
      <c r="E5" s="59" t="s">
        <v>51</v>
      </c>
      <c r="F5" s="32">
        <v>1.0330347823976309</v>
      </c>
      <c r="G5" s="32">
        <f t="shared" ref="G5:G25" si="0">LOG10(100*F5)</f>
        <v>2.0141149445099868</v>
      </c>
      <c r="I5" s="41">
        <v>0.52010000000000001</v>
      </c>
      <c r="J5" s="43">
        <v>2.0141149445099868</v>
      </c>
      <c r="K5" s="39"/>
      <c r="L5" s="40"/>
      <c r="M5" s="37"/>
      <c r="N5" s="27"/>
      <c r="O5" s="41">
        <v>0.84870000000000001</v>
      </c>
      <c r="P5" s="43">
        <v>2.0141149445099868</v>
      </c>
      <c r="V5" s="4">
        <v>70.180000000000007</v>
      </c>
      <c r="W5" s="43">
        <v>2.0141149445099868</v>
      </c>
    </row>
    <row r="6" spans="1:23" x14ac:dyDescent="0.2">
      <c r="A6" s="31" t="s">
        <v>52</v>
      </c>
      <c r="B6" s="41">
        <v>0.52</v>
      </c>
      <c r="C6" s="41">
        <v>0.83040000000000003</v>
      </c>
      <c r="D6" s="4">
        <v>51.66</v>
      </c>
      <c r="E6" s="59" t="s">
        <v>53</v>
      </c>
      <c r="F6" s="32">
        <v>0.86038395487456942</v>
      </c>
      <c r="G6" s="32">
        <f t="shared" si="0"/>
        <v>1.934692302721456</v>
      </c>
      <c r="I6" s="41">
        <v>0.52</v>
      </c>
      <c r="J6" s="43">
        <v>1.934692302721456</v>
      </c>
      <c r="K6" s="39"/>
      <c r="L6" s="40"/>
      <c r="M6" s="37"/>
      <c r="N6" s="27"/>
      <c r="O6" s="41">
        <v>0.83040000000000003</v>
      </c>
      <c r="P6" s="43">
        <v>1.934692302721456</v>
      </c>
      <c r="V6" s="4">
        <v>51.66</v>
      </c>
      <c r="W6" s="43">
        <v>1.934692302721456</v>
      </c>
    </row>
    <row r="7" spans="1:23" x14ac:dyDescent="0.2">
      <c r="A7" s="31" t="s">
        <v>54</v>
      </c>
      <c r="B7" s="41">
        <v>0.54300000000000004</v>
      </c>
      <c r="C7" s="41">
        <v>0.83779999999999999</v>
      </c>
      <c r="D7" s="4">
        <v>58.04</v>
      </c>
      <c r="E7" s="59" t="s">
        <v>55</v>
      </c>
      <c r="F7" s="32">
        <v>0.52152567204056277</v>
      </c>
      <c r="G7" s="32">
        <f t="shared" si="0"/>
        <v>1.7172756913841056</v>
      </c>
      <c r="I7" s="41">
        <v>0.54300000000000004</v>
      </c>
      <c r="J7" s="43">
        <v>1.7172756913841056</v>
      </c>
      <c r="K7" s="39"/>
      <c r="L7" s="40"/>
      <c r="M7" s="37"/>
      <c r="N7" s="27"/>
      <c r="O7" s="41">
        <v>0.83779999999999999</v>
      </c>
      <c r="P7" s="43">
        <v>1.7172756913841056</v>
      </c>
      <c r="V7" s="4">
        <v>58.04</v>
      </c>
      <c r="W7" s="43">
        <v>1.7172756913841056</v>
      </c>
    </row>
    <row r="8" spans="1:23" x14ac:dyDescent="0.2">
      <c r="A8" s="31" t="s">
        <v>56</v>
      </c>
      <c r="B8" s="41">
        <v>0.5181</v>
      </c>
      <c r="C8" s="41">
        <v>0.83040000000000003</v>
      </c>
      <c r="D8" s="4">
        <v>51.06</v>
      </c>
      <c r="E8" s="59" t="s">
        <v>57</v>
      </c>
      <c r="F8" s="32">
        <v>0.42869972572149811</v>
      </c>
      <c r="G8" s="32">
        <f t="shared" si="0"/>
        <v>1.6321532056527415</v>
      </c>
      <c r="I8" s="41">
        <v>0.5181</v>
      </c>
      <c r="J8" s="43">
        <v>1.6321532056527415</v>
      </c>
      <c r="K8" s="39"/>
      <c r="L8" s="40"/>
      <c r="M8" s="37"/>
      <c r="N8" s="27"/>
      <c r="O8" s="41">
        <v>0.83040000000000003</v>
      </c>
      <c r="P8" s="43">
        <v>1.6321532056527415</v>
      </c>
      <c r="V8" s="4">
        <v>51.06</v>
      </c>
      <c r="W8" s="43">
        <v>1.6321532056527415</v>
      </c>
    </row>
    <row r="9" spans="1:23" x14ac:dyDescent="0.2">
      <c r="A9" s="31" t="s">
        <v>34</v>
      </c>
      <c r="B9" s="41">
        <v>0.49330000000000002</v>
      </c>
      <c r="C9" s="41">
        <v>0.81620000000000004</v>
      </c>
      <c r="D9" s="4">
        <v>43.88</v>
      </c>
      <c r="E9" s="59" t="s">
        <v>58</v>
      </c>
      <c r="F9" s="32">
        <v>0.38350445399160171</v>
      </c>
      <c r="G9" s="32">
        <f t="shared" si="0"/>
        <v>1.5837704121774179</v>
      </c>
      <c r="I9" s="41">
        <v>0.49330000000000002</v>
      </c>
      <c r="J9" s="43">
        <v>1.5837704121774179</v>
      </c>
      <c r="K9" s="39"/>
      <c r="L9" s="40"/>
      <c r="M9" s="37"/>
      <c r="N9" s="27"/>
      <c r="O9" s="41">
        <v>0.81620000000000004</v>
      </c>
      <c r="P9" s="43">
        <v>1.5837704121774179</v>
      </c>
      <c r="V9" s="4">
        <v>43.88</v>
      </c>
      <c r="W9" s="43">
        <v>1.5837704121774179</v>
      </c>
    </row>
    <row r="10" spans="1:23" x14ac:dyDescent="0.2">
      <c r="A10" s="31" t="s">
        <v>59</v>
      </c>
      <c r="B10" s="41">
        <v>0.4919</v>
      </c>
      <c r="C10" s="41">
        <v>0.80789999999999995</v>
      </c>
      <c r="D10" s="4">
        <v>55.4</v>
      </c>
      <c r="E10" s="59" t="s">
        <v>60</v>
      </c>
      <c r="F10" s="32">
        <v>0.33957134881914602</v>
      </c>
      <c r="G10" s="32">
        <f t="shared" si="0"/>
        <v>1.5309310397148228</v>
      </c>
      <c r="I10" s="41">
        <v>0.4919</v>
      </c>
      <c r="J10" s="43">
        <v>1.5309310397148228</v>
      </c>
      <c r="K10" s="39"/>
      <c r="L10" s="40"/>
      <c r="M10" s="37"/>
      <c r="N10" s="27"/>
      <c r="O10" s="41">
        <v>0.80789999999999995</v>
      </c>
      <c r="P10" s="43">
        <v>1.5309310397148228</v>
      </c>
      <c r="V10" s="4">
        <v>55.4</v>
      </c>
      <c r="W10" s="43">
        <v>1.5309310397148228</v>
      </c>
    </row>
    <row r="11" spans="1:23" x14ac:dyDescent="0.2">
      <c r="A11" s="31" t="s">
        <v>61</v>
      </c>
      <c r="B11" s="41">
        <v>0.46760000000000002</v>
      </c>
      <c r="C11" s="41">
        <v>0.80300000000000005</v>
      </c>
      <c r="D11" s="4">
        <v>51.55</v>
      </c>
      <c r="E11" s="59" t="s">
        <v>62</v>
      </c>
      <c r="F11" s="32">
        <v>0.32610014806184623</v>
      </c>
      <c r="G11" s="32">
        <f t="shared" si="0"/>
        <v>1.5133509959921827</v>
      </c>
      <c r="I11" s="41">
        <v>0.46760000000000002</v>
      </c>
      <c r="J11" s="43">
        <v>1.5133509959921827</v>
      </c>
      <c r="K11" s="39"/>
      <c r="L11" s="40"/>
      <c r="M11" s="37"/>
      <c r="N11" s="27"/>
      <c r="O11" s="41">
        <v>0.80300000000000005</v>
      </c>
      <c r="P11" s="43">
        <v>1.5133509959921827</v>
      </c>
      <c r="V11" s="4">
        <v>51.55</v>
      </c>
      <c r="W11" s="43">
        <v>1.5133509959921827</v>
      </c>
    </row>
    <row r="12" spans="1:23" x14ac:dyDescent="0.2">
      <c r="A12" s="31" t="s">
        <v>63</v>
      </c>
      <c r="B12" s="41">
        <v>0.501</v>
      </c>
      <c r="C12" s="41">
        <v>0.82040000000000002</v>
      </c>
      <c r="D12" s="4">
        <v>55.15</v>
      </c>
      <c r="E12" s="59" t="s">
        <v>64</v>
      </c>
      <c r="F12" s="32">
        <v>0.32396417388771576</v>
      </c>
      <c r="G12" s="32">
        <f t="shared" si="0"/>
        <v>1.5104969856907022</v>
      </c>
      <c r="I12" s="41">
        <v>0.501</v>
      </c>
      <c r="J12" s="43">
        <v>1.5104969856907022</v>
      </c>
      <c r="K12" s="39"/>
      <c r="L12" s="40"/>
      <c r="M12" s="37"/>
      <c r="N12" s="27"/>
      <c r="O12" s="41">
        <v>0.82040000000000002</v>
      </c>
      <c r="P12" s="43">
        <v>1.5104969856907022</v>
      </c>
      <c r="V12" s="4">
        <v>55.15</v>
      </c>
      <c r="W12" s="43">
        <v>1.5104969856907022</v>
      </c>
    </row>
    <row r="13" spans="1:23" x14ac:dyDescent="0.2">
      <c r="A13" s="31" t="s">
        <v>65</v>
      </c>
      <c r="B13" s="41">
        <v>0.46760000000000002</v>
      </c>
      <c r="C13" s="41">
        <v>0.80300000000000005</v>
      </c>
      <c r="D13" s="4">
        <v>51.55</v>
      </c>
      <c r="E13" s="59" t="s">
        <v>66</v>
      </c>
      <c r="F13" s="32">
        <v>0.34100342241316539</v>
      </c>
      <c r="G13" s="32">
        <f t="shared" si="0"/>
        <v>1.5327587377247378</v>
      </c>
      <c r="I13" s="41">
        <v>0.46760000000000002</v>
      </c>
      <c r="J13" s="43">
        <v>1.5327587377247378</v>
      </c>
      <c r="K13" s="39"/>
      <c r="L13" s="40"/>
      <c r="M13" s="37"/>
      <c r="N13" s="27"/>
      <c r="O13" s="41">
        <v>0.80300000000000005</v>
      </c>
      <c r="P13" s="43">
        <v>1.5327587377247378</v>
      </c>
      <c r="V13" s="4">
        <v>51.55</v>
      </c>
      <c r="W13" s="43">
        <v>1.5327587377247378</v>
      </c>
    </row>
    <row r="14" spans="1:23" x14ac:dyDescent="0.2">
      <c r="A14" s="31" t="s">
        <v>67</v>
      </c>
      <c r="B14" s="41">
        <v>0.435</v>
      </c>
      <c r="C14" s="41">
        <v>0.79449999999999998</v>
      </c>
      <c r="D14" s="4">
        <v>52.59</v>
      </c>
      <c r="E14" s="59" t="s">
        <v>68</v>
      </c>
      <c r="F14" s="32">
        <v>0.31415811063375326</v>
      </c>
      <c r="G14" s="32">
        <f t="shared" si="0"/>
        <v>1.4971482763964252</v>
      </c>
      <c r="I14" s="41">
        <v>0.435</v>
      </c>
      <c r="J14" s="43">
        <v>1.4971482763964252</v>
      </c>
      <c r="K14" s="39"/>
      <c r="L14" s="40"/>
      <c r="M14" s="37"/>
      <c r="N14" s="27"/>
      <c r="O14" s="41">
        <v>0.79449999999999998</v>
      </c>
      <c r="P14" s="43">
        <v>1.4971482763964252</v>
      </c>
      <c r="V14" s="4">
        <v>52.59</v>
      </c>
      <c r="W14" s="43">
        <v>1.4971482763964252</v>
      </c>
    </row>
    <row r="15" spans="1:23" x14ac:dyDescent="0.2">
      <c r="A15" s="31" t="s">
        <v>69</v>
      </c>
      <c r="B15" s="41">
        <v>0.42759999999999998</v>
      </c>
      <c r="C15" s="41">
        <v>0.79369999999999996</v>
      </c>
      <c r="D15" s="4">
        <v>48.54</v>
      </c>
      <c r="E15" s="59" t="s">
        <v>70</v>
      </c>
      <c r="F15" s="32">
        <v>0.23901065559843684</v>
      </c>
      <c r="G15" s="32">
        <f t="shared" si="0"/>
        <v>1.3784172631424698</v>
      </c>
      <c r="I15" s="41">
        <v>0.42759999999999998</v>
      </c>
      <c r="J15" s="43">
        <v>1.3784172631424698</v>
      </c>
      <c r="K15" s="39"/>
      <c r="L15" s="40"/>
      <c r="M15" s="37"/>
      <c r="N15" s="27"/>
      <c r="O15" s="41">
        <v>0.79369999999999996</v>
      </c>
      <c r="P15" s="43">
        <v>1.3784172631424698</v>
      </c>
      <c r="V15" s="4">
        <v>48.54</v>
      </c>
      <c r="W15" s="43">
        <v>1.3784172631424698</v>
      </c>
    </row>
    <row r="16" spans="1:23" x14ac:dyDescent="0.2">
      <c r="A16" s="31" t="s">
        <v>71</v>
      </c>
      <c r="B16" s="41">
        <v>0.44080000000000003</v>
      </c>
      <c r="C16" s="41">
        <v>0.83550000000000002</v>
      </c>
      <c r="D16" s="4">
        <v>52.39</v>
      </c>
      <c r="E16" s="59" t="s">
        <v>72</v>
      </c>
      <c r="F16" s="32">
        <v>0.2425301584989927</v>
      </c>
      <c r="G16" s="32">
        <f t="shared" si="0"/>
        <v>1.3847657505890745</v>
      </c>
      <c r="I16" s="41">
        <v>0.44080000000000003</v>
      </c>
      <c r="J16" s="43">
        <v>1.3847657505890745</v>
      </c>
      <c r="K16" s="39"/>
      <c r="L16" s="40"/>
      <c r="M16" s="37"/>
      <c r="N16" s="27"/>
      <c r="O16" s="41">
        <v>0.83550000000000002</v>
      </c>
      <c r="P16" s="43">
        <v>1.3847657505890745</v>
      </c>
      <c r="V16" s="4">
        <v>52.39</v>
      </c>
      <c r="W16" s="43">
        <v>1.3847657505890745</v>
      </c>
    </row>
    <row r="17" spans="1:23" x14ac:dyDescent="0.2">
      <c r="A17" s="31" t="s">
        <v>73</v>
      </c>
      <c r="B17" s="41">
        <v>0.43159999999999998</v>
      </c>
      <c r="C17" s="41">
        <v>0.80300000000000005</v>
      </c>
      <c r="D17" s="4">
        <v>54.76</v>
      </c>
      <c r="E17" s="59" t="s">
        <v>74</v>
      </c>
      <c r="F17" s="32">
        <v>0.22665598679579599</v>
      </c>
      <c r="G17" s="32">
        <f t="shared" si="0"/>
        <v>1.3553671948177823</v>
      </c>
      <c r="I17" s="41">
        <v>0.43159999999999998</v>
      </c>
      <c r="J17" s="43">
        <v>1.3553671948177823</v>
      </c>
      <c r="K17" s="39"/>
      <c r="L17" s="40"/>
      <c r="M17" s="37"/>
      <c r="N17" s="27"/>
      <c r="O17" s="41">
        <v>0.80300000000000005</v>
      </c>
      <c r="P17" s="43">
        <v>1.3553671948177823</v>
      </c>
      <c r="V17" s="4">
        <v>54.76</v>
      </c>
      <c r="W17" s="43">
        <v>1.3553671948177823</v>
      </c>
    </row>
    <row r="18" spans="1:23" x14ac:dyDescent="0.2">
      <c r="A18" s="31" t="s">
        <v>75</v>
      </c>
      <c r="B18" s="41">
        <v>0.379</v>
      </c>
      <c r="C18" s="41">
        <v>0.73570000000000002</v>
      </c>
      <c r="D18" s="4">
        <v>33.47</v>
      </c>
      <c r="E18" s="59" t="s">
        <v>76</v>
      </c>
      <c r="F18" s="32">
        <v>0.11454161508774484</v>
      </c>
      <c r="G18" s="32">
        <f t="shared" si="0"/>
        <v>1.0589633025659446</v>
      </c>
      <c r="I18" s="41">
        <v>0.379</v>
      </c>
      <c r="J18" s="43">
        <v>1.0589633025659446</v>
      </c>
      <c r="K18" s="39"/>
      <c r="L18" s="40"/>
      <c r="M18" s="37"/>
      <c r="N18" s="27"/>
      <c r="O18" s="41">
        <v>0.73570000000000002</v>
      </c>
      <c r="P18" s="43">
        <v>1.0589633025659446</v>
      </c>
      <c r="V18" s="4">
        <v>33.47</v>
      </c>
      <c r="W18" s="43">
        <v>1.0589633025659446</v>
      </c>
    </row>
    <row r="19" spans="1:23" x14ac:dyDescent="0.2">
      <c r="A19" s="31" t="s">
        <v>77</v>
      </c>
      <c r="B19" s="41">
        <v>0.43580000000000002</v>
      </c>
      <c r="C19" s="41">
        <v>0.82230000000000003</v>
      </c>
      <c r="D19" s="4">
        <v>52.24</v>
      </c>
      <c r="E19" s="59" t="s">
        <v>78</v>
      </c>
      <c r="F19" s="32">
        <v>0.11980873322168013</v>
      </c>
      <c r="G19" s="32">
        <f t="shared" si="0"/>
        <v>1.0784884762481806</v>
      </c>
      <c r="I19" s="41">
        <v>0.43580000000000002</v>
      </c>
      <c r="J19" s="43">
        <v>1.0784884762481806</v>
      </c>
      <c r="K19" s="39"/>
      <c r="L19" s="40"/>
      <c r="M19" s="37"/>
      <c r="N19" s="27"/>
      <c r="O19" s="41">
        <v>0.82230000000000003</v>
      </c>
      <c r="P19" s="43">
        <v>1.0784884762481806</v>
      </c>
      <c r="V19" s="4">
        <v>52.24</v>
      </c>
      <c r="W19" s="43">
        <v>1.0784884762481806</v>
      </c>
    </row>
    <row r="20" spans="1:23" x14ac:dyDescent="0.2">
      <c r="A20" s="31" t="s">
        <v>79</v>
      </c>
      <c r="B20" s="41">
        <v>0.41160000000000002</v>
      </c>
      <c r="C20" s="41">
        <v>0.99890000000000001</v>
      </c>
      <c r="D20" s="4">
        <v>63.1</v>
      </c>
      <c r="E20" s="59" t="s">
        <v>80</v>
      </c>
      <c r="F20" s="32">
        <v>0.11082793271681352</v>
      </c>
      <c r="G20" s="32">
        <f t="shared" si="0"/>
        <v>1.0446492323772119</v>
      </c>
      <c r="I20" s="41">
        <v>0.41160000000000002</v>
      </c>
      <c r="J20" s="43">
        <v>1.0446492323772119</v>
      </c>
      <c r="K20" s="39"/>
      <c r="L20" s="40"/>
      <c r="M20" s="37"/>
      <c r="N20" s="27"/>
      <c r="O20" s="41">
        <v>0.99890000000000001</v>
      </c>
      <c r="P20" s="43">
        <v>1.0446492323772119</v>
      </c>
      <c r="V20" s="4">
        <v>63.1</v>
      </c>
      <c r="W20" s="43">
        <v>1.0446492323772119</v>
      </c>
    </row>
    <row r="21" spans="1:23" x14ac:dyDescent="0.2">
      <c r="A21" s="31" t="s">
        <v>81</v>
      </c>
      <c r="B21" s="41">
        <v>0.37509999999999999</v>
      </c>
      <c r="C21" s="41">
        <v>0.78090000000000004</v>
      </c>
      <c r="D21" s="4">
        <v>39.659999999999997</v>
      </c>
      <c r="E21" s="59" t="s">
        <v>82</v>
      </c>
      <c r="F21" s="32">
        <v>7.1555134833369755E-2</v>
      </c>
      <c r="G21" s="32">
        <f t="shared" si="0"/>
        <v>0.85464080441000934</v>
      </c>
      <c r="I21" s="41">
        <v>0.37509999999999999</v>
      </c>
      <c r="J21" s="43">
        <v>0.85464080441000934</v>
      </c>
      <c r="K21" s="39"/>
      <c r="L21" s="40"/>
      <c r="M21" s="37"/>
      <c r="N21" s="27"/>
      <c r="O21" s="41">
        <v>0.78090000000000004</v>
      </c>
      <c r="P21" s="43">
        <v>0.85464080441000934</v>
      </c>
      <c r="V21" s="4">
        <v>39.659999999999997</v>
      </c>
      <c r="W21" s="43">
        <v>0.85464080441000934</v>
      </c>
    </row>
    <row r="22" spans="1:23" x14ac:dyDescent="0.2">
      <c r="A22" s="31" t="s">
        <v>83</v>
      </c>
      <c r="B22" s="41">
        <v>0.3755</v>
      </c>
      <c r="C22" s="41">
        <v>0.67049999999999998</v>
      </c>
      <c r="D22" s="4">
        <v>24.98</v>
      </c>
      <c r="E22" s="59" t="s">
        <v>84</v>
      </c>
      <c r="F22" s="32">
        <v>6.0219908250200252E-2</v>
      </c>
      <c r="G22" s="32">
        <f t="shared" si="0"/>
        <v>0.77974008949520446</v>
      </c>
      <c r="I22" s="41">
        <v>0.3755</v>
      </c>
      <c r="J22" s="43">
        <v>0.77974008949520446</v>
      </c>
      <c r="K22" s="39"/>
      <c r="L22" s="40"/>
      <c r="M22" s="37"/>
      <c r="N22" s="27"/>
      <c r="O22" s="41">
        <v>0.67049999999999998</v>
      </c>
      <c r="P22" s="43">
        <v>0.77974008949520446</v>
      </c>
      <c r="V22" s="4">
        <v>24.98</v>
      </c>
      <c r="W22" s="43">
        <v>0.77974008949520446</v>
      </c>
    </row>
    <row r="23" spans="1:23" x14ac:dyDescent="0.2">
      <c r="A23" s="31" t="s">
        <v>85</v>
      </c>
      <c r="B23" s="41">
        <v>0.375</v>
      </c>
      <c r="C23" s="41">
        <v>0.69820000000000004</v>
      </c>
      <c r="D23" s="4">
        <v>29.93</v>
      </c>
      <c r="E23" s="59" t="s">
        <v>86</v>
      </c>
      <c r="F23" s="32">
        <v>4.9515764945751106E-2</v>
      </c>
      <c r="G23" s="32">
        <f t="shared" si="0"/>
        <v>0.69474349264889401</v>
      </c>
      <c r="I23" s="41">
        <v>0.375</v>
      </c>
      <c r="J23" s="43">
        <v>0.69474349264889401</v>
      </c>
      <c r="K23" s="39"/>
      <c r="L23" s="40"/>
      <c r="M23" s="37"/>
      <c r="N23" s="27"/>
      <c r="O23" s="41">
        <v>0.69820000000000004</v>
      </c>
      <c r="P23" s="43">
        <v>0.69474349264889401</v>
      </c>
      <c r="V23" s="4">
        <v>29.93</v>
      </c>
      <c r="W23" s="43">
        <v>0.69474349264889401</v>
      </c>
    </row>
    <row r="24" spans="1:23" x14ac:dyDescent="0.2">
      <c r="A24" s="31" t="s">
        <v>87</v>
      </c>
      <c r="B24" s="41">
        <v>0.374</v>
      </c>
      <c r="C24" s="41">
        <v>0.71350000000000002</v>
      </c>
      <c r="D24" s="64">
        <v>31.36</v>
      </c>
      <c r="E24" s="59" t="s">
        <v>88</v>
      </c>
      <c r="F24" s="32">
        <v>4.9758489283720481E-2</v>
      </c>
      <c r="G24" s="32">
        <f t="shared" si="0"/>
        <v>0.69686718627874966</v>
      </c>
      <c r="I24" s="41">
        <v>0.374</v>
      </c>
      <c r="J24" s="43">
        <v>0.69686718627874966</v>
      </c>
      <c r="K24" s="39"/>
      <c r="L24" s="40"/>
      <c r="M24" s="37"/>
      <c r="N24" s="27"/>
      <c r="O24" s="41">
        <v>0.71350000000000002</v>
      </c>
      <c r="P24" s="43">
        <v>0.69686718627874966</v>
      </c>
      <c r="V24" s="64">
        <v>31.36</v>
      </c>
      <c r="W24" s="43">
        <v>0.69686718627874966</v>
      </c>
    </row>
    <row r="25" spans="1:23" x14ac:dyDescent="0.2">
      <c r="A25" s="31" t="s">
        <v>89</v>
      </c>
      <c r="B25" s="41">
        <v>0.38619999999999999</v>
      </c>
      <c r="C25" s="41">
        <v>0.75549999999999995</v>
      </c>
      <c r="D25" s="4">
        <v>35.72</v>
      </c>
      <c r="E25" s="59" t="s">
        <v>90</v>
      </c>
      <c r="F25" s="32">
        <v>2.8228840505837516E-2</v>
      </c>
      <c r="G25" s="32">
        <f t="shared" si="0"/>
        <v>0.45069303995144366</v>
      </c>
      <c r="I25" s="41">
        <v>0.38619999999999999</v>
      </c>
      <c r="J25" s="43">
        <v>0.45069303995144366</v>
      </c>
      <c r="K25" s="39"/>
      <c r="L25" s="40"/>
      <c r="M25" s="37"/>
      <c r="N25" s="27"/>
      <c r="O25" s="41">
        <v>0.75549999999999995</v>
      </c>
      <c r="P25" s="43">
        <v>0.45069303995144366</v>
      </c>
      <c r="V25" s="4">
        <v>35.72</v>
      </c>
      <c r="W25" s="43">
        <v>0.45069303995144366</v>
      </c>
    </row>
    <row r="26" spans="1:23" x14ac:dyDescent="0.2">
      <c r="A26" s="27"/>
      <c r="B26" s="27"/>
      <c r="C26" s="27"/>
      <c r="D26" s="27"/>
      <c r="E26" s="33"/>
      <c r="F26" s="27"/>
      <c r="G26" s="27"/>
      <c r="I26" s="27"/>
      <c r="O26" s="27"/>
    </row>
    <row r="28" spans="1:23" x14ac:dyDescent="0.2">
      <c r="I28" s="14" t="s">
        <v>148</v>
      </c>
      <c r="J28" s="14">
        <f>CORREL(I4:I25,J4:J25)</f>
        <v>0.91832259721916687</v>
      </c>
      <c r="O28" s="14" t="s">
        <v>148</v>
      </c>
      <c r="P28" s="14">
        <f>CORREL(O4:O25,P4:P25)</f>
        <v>0.49905796954912518</v>
      </c>
      <c r="V28" s="14" t="s">
        <v>148</v>
      </c>
      <c r="W28" s="14">
        <f>CORREL(V4:V25,W4:W25)</f>
        <v>0.7779203848244356</v>
      </c>
    </row>
    <row r="29" spans="1:23" x14ac:dyDescent="0.2">
      <c r="I29" s="42" t="s">
        <v>149</v>
      </c>
      <c r="J29" s="42">
        <f>J28*J28</f>
        <v>0.84331639256335622</v>
      </c>
      <c r="O29" s="14" t="s">
        <v>150</v>
      </c>
      <c r="P29" s="42">
        <f>P28*P28</f>
        <v>0.24905885697049557</v>
      </c>
      <c r="V29" s="42" t="s">
        <v>149</v>
      </c>
      <c r="W29" s="42">
        <f>W28*W28</f>
        <v>0.60516012512539796</v>
      </c>
    </row>
  </sheetData>
  <phoneticPr fontId="4" type="noConversion"/>
  <pageMargins left="0.7" right="0.7" top="0.75" bottom="0.75" header="0.3" footer="0.3"/>
  <pageSetup paperSize="9" scale="97" orientation="portrait" horizontalDpi="0" verticalDpi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"/>
  <sheetViews>
    <sheetView workbookViewId="0">
      <selection activeCell="M16" sqref="M16"/>
    </sheetView>
  </sheetViews>
  <sheetFormatPr baseColWidth="10" defaultColWidth="10.83203125" defaultRowHeight="16" x14ac:dyDescent="0.2"/>
  <cols>
    <col min="1" max="1" width="11.1640625" style="16" bestFit="1" customWidth="1"/>
    <col min="2" max="2" width="11" style="16" bestFit="1" customWidth="1"/>
    <col min="3" max="3" width="15.5" style="16" customWidth="1"/>
    <col min="4" max="4" width="10.83203125" style="16" customWidth="1"/>
    <col min="5" max="10" width="12.83203125" style="14" customWidth="1"/>
    <col min="11" max="16384" width="10.83203125" style="14"/>
  </cols>
  <sheetData>
    <row r="2" spans="1:10" s="26" customFormat="1" ht="86" customHeight="1" x14ac:dyDescent="0.2">
      <c r="A2" s="6" t="s">
        <v>29</v>
      </c>
      <c r="B2" s="6" t="s">
        <v>30</v>
      </c>
      <c r="C2" s="6" t="s">
        <v>3</v>
      </c>
      <c r="D2" s="6" t="s">
        <v>35</v>
      </c>
      <c r="E2" s="6" t="s">
        <v>2</v>
      </c>
      <c r="F2" s="6" t="s">
        <v>1</v>
      </c>
      <c r="G2" s="6" t="s">
        <v>38</v>
      </c>
      <c r="H2" s="6" t="s">
        <v>39</v>
      </c>
      <c r="I2" s="6" t="s">
        <v>45</v>
      </c>
      <c r="J2" s="6" t="s">
        <v>33</v>
      </c>
    </row>
    <row r="4" spans="1:10" x14ac:dyDescent="0.2">
      <c r="A4" s="15">
        <v>41909</v>
      </c>
      <c r="B4" s="16">
        <v>4432.1000000000004</v>
      </c>
      <c r="C4" s="16" t="s">
        <v>4</v>
      </c>
      <c r="D4" s="16" t="s">
        <v>36</v>
      </c>
      <c r="E4" s="53">
        <v>613</v>
      </c>
      <c r="F4" s="53">
        <v>598.89</v>
      </c>
      <c r="G4" s="53"/>
      <c r="H4" s="17"/>
      <c r="I4" s="17"/>
    </row>
    <row r="5" spans="1:10" x14ac:dyDescent="0.2">
      <c r="E5" s="53"/>
      <c r="F5" s="53"/>
      <c r="G5" s="53"/>
      <c r="H5" s="17"/>
      <c r="I5" s="17"/>
    </row>
    <row r="6" spans="1:10" x14ac:dyDescent="0.2">
      <c r="B6" s="16" t="s">
        <v>42</v>
      </c>
      <c r="E6" s="53">
        <v>25.89</v>
      </c>
      <c r="F6" s="53">
        <v>25.48</v>
      </c>
      <c r="G6" s="53"/>
      <c r="H6" s="17"/>
      <c r="I6" s="17"/>
    </row>
    <row r="7" spans="1:10" x14ac:dyDescent="0.2">
      <c r="E7" s="53"/>
      <c r="F7" s="53"/>
      <c r="G7" s="53"/>
      <c r="H7" s="17"/>
      <c r="I7" s="17"/>
    </row>
    <row r="8" spans="1:10" x14ac:dyDescent="0.2">
      <c r="B8" s="16">
        <v>4724.1000000000004</v>
      </c>
      <c r="C8" s="16" t="s">
        <v>4</v>
      </c>
      <c r="D8" s="16" t="s">
        <v>37</v>
      </c>
      <c r="E8" s="53">
        <v>25.49</v>
      </c>
      <c r="F8" s="53">
        <v>25.03</v>
      </c>
      <c r="G8" s="53">
        <v>17.944247691562726</v>
      </c>
      <c r="H8" s="17"/>
      <c r="I8" s="17"/>
    </row>
    <row r="9" spans="1:10" x14ac:dyDescent="0.2">
      <c r="B9" s="16">
        <v>4724.2</v>
      </c>
      <c r="C9" s="16" t="s">
        <v>4</v>
      </c>
      <c r="D9" s="16" t="s">
        <v>37</v>
      </c>
      <c r="E9" s="53">
        <v>25.17</v>
      </c>
      <c r="F9" s="53">
        <v>24.8</v>
      </c>
      <c r="G9" s="53">
        <v>17.779358479854398</v>
      </c>
      <c r="H9" s="53">
        <v>17.834321550423841</v>
      </c>
      <c r="I9" s="53">
        <v>0.47432155042384139</v>
      </c>
      <c r="J9" s="53">
        <v>5.4963070569442607E-2</v>
      </c>
    </row>
    <row r="10" spans="1:10" x14ac:dyDescent="0.2">
      <c r="B10" s="16">
        <v>4724.3</v>
      </c>
      <c r="C10" s="16" t="s">
        <v>4</v>
      </c>
      <c r="D10" s="16" t="s">
        <v>37</v>
      </c>
      <c r="E10" s="53">
        <v>25.33</v>
      </c>
      <c r="F10" s="53">
        <v>24.8</v>
      </c>
      <c r="G10" s="53">
        <v>17.779358479854398</v>
      </c>
      <c r="H10" s="53"/>
      <c r="I10" s="53"/>
      <c r="J10" s="53"/>
    </row>
    <row r="11" spans="1:10" x14ac:dyDescent="0.2">
      <c r="E11" s="53"/>
      <c r="F11" s="53"/>
      <c r="G11" s="53"/>
      <c r="H11" s="53"/>
      <c r="I11" s="53"/>
      <c r="J11" s="53"/>
    </row>
    <row r="12" spans="1:10" x14ac:dyDescent="0.2">
      <c r="E12" s="53"/>
      <c r="F12" s="53"/>
      <c r="G12" s="53"/>
      <c r="H12" s="53"/>
      <c r="I12" s="53"/>
      <c r="J12" s="53"/>
    </row>
    <row r="13" spans="1:10" x14ac:dyDescent="0.2">
      <c r="A13" s="15">
        <v>41969</v>
      </c>
      <c r="B13" s="16">
        <v>4432.1000000000004</v>
      </c>
      <c r="C13" s="16" t="s">
        <v>4</v>
      </c>
      <c r="D13" s="16" t="s">
        <v>36</v>
      </c>
      <c r="E13" s="53">
        <v>609.99</v>
      </c>
      <c r="F13" s="53">
        <v>598.89</v>
      </c>
      <c r="G13" s="53"/>
      <c r="H13" s="53"/>
      <c r="I13" s="53"/>
      <c r="J13" s="53"/>
    </row>
    <row r="14" spans="1:10" x14ac:dyDescent="0.2">
      <c r="E14" s="53"/>
      <c r="F14" s="53"/>
      <c r="G14" s="53"/>
      <c r="H14" s="53"/>
      <c r="I14" s="53"/>
      <c r="J14" s="53"/>
    </row>
    <row r="15" spans="1:10" x14ac:dyDescent="0.2">
      <c r="B15" s="16" t="s">
        <v>42</v>
      </c>
      <c r="E15" s="53">
        <v>22.07</v>
      </c>
      <c r="F15" s="53">
        <v>21.48</v>
      </c>
      <c r="G15" s="53"/>
      <c r="H15" s="53"/>
      <c r="I15" s="53"/>
      <c r="J15" s="53"/>
    </row>
    <row r="16" spans="1:10" x14ac:dyDescent="0.2">
      <c r="E16" s="53"/>
      <c r="F16" s="53"/>
      <c r="G16" s="53"/>
      <c r="H16" s="53"/>
      <c r="I16" s="53"/>
      <c r="J16" s="53"/>
    </row>
    <row r="17" spans="2:10" x14ac:dyDescent="0.2">
      <c r="B17" s="16">
        <v>4769.1000000000004</v>
      </c>
      <c r="C17" s="16" t="s">
        <v>9</v>
      </c>
      <c r="D17" s="16" t="s">
        <v>37</v>
      </c>
      <c r="E17" s="53">
        <v>20.81</v>
      </c>
      <c r="F17" s="53">
        <v>20.170000000000002</v>
      </c>
      <c r="G17" s="53">
        <v>14.460066957204164</v>
      </c>
      <c r="H17" s="53"/>
      <c r="I17" s="53"/>
      <c r="J17" s="53"/>
    </row>
    <row r="18" spans="2:10" x14ac:dyDescent="0.2">
      <c r="B18" s="16">
        <v>4769.2</v>
      </c>
      <c r="C18" s="16" t="s">
        <v>9</v>
      </c>
      <c r="D18" s="16" t="s">
        <v>37</v>
      </c>
      <c r="E18" s="53">
        <v>23.78</v>
      </c>
      <c r="F18" s="53">
        <v>23.5</v>
      </c>
      <c r="G18" s="53">
        <v>16.847375978894288</v>
      </c>
      <c r="H18" s="53">
        <v>15.805467336795296</v>
      </c>
      <c r="I18" s="53">
        <v>-1.5545326632047036</v>
      </c>
      <c r="J18" s="53">
        <v>0.70566552920045189</v>
      </c>
    </row>
    <row r="19" spans="2:10" x14ac:dyDescent="0.2">
      <c r="B19" s="16">
        <v>4769.3</v>
      </c>
      <c r="C19" s="16" t="s">
        <v>9</v>
      </c>
      <c r="D19" s="16" t="s">
        <v>37</v>
      </c>
      <c r="E19" s="53">
        <v>22.67</v>
      </c>
      <c r="F19" s="53">
        <v>22.47</v>
      </c>
      <c r="G19" s="53">
        <v>16.108959074287434</v>
      </c>
      <c r="H19" s="53"/>
      <c r="I19" s="53"/>
      <c r="J19" s="53"/>
    </row>
    <row r="20" spans="2:10" x14ac:dyDescent="0.2">
      <c r="E20" s="53"/>
      <c r="F20" s="53"/>
      <c r="G20" s="53"/>
      <c r="H20" s="53"/>
      <c r="I20" s="53"/>
      <c r="J20" s="53"/>
    </row>
    <row r="21" spans="2:10" x14ac:dyDescent="0.2">
      <c r="B21" s="16">
        <v>4770.1000000000004</v>
      </c>
      <c r="C21" s="16" t="s">
        <v>8</v>
      </c>
      <c r="D21" s="16" t="s">
        <v>37</v>
      </c>
      <c r="E21" s="53">
        <v>23.8</v>
      </c>
      <c r="F21" s="53">
        <v>23.5</v>
      </c>
      <c r="G21" s="53">
        <v>16.847375978894288</v>
      </c>
      <c r="H21" s="53"/>
      <c r="I21" s="53"/>
      <c r="J21" s="53"/>
    </row>
    <row r="22" spans="2:10" x14ac:dyDescent="0.2">
      <c r="B22" s="16">
        <v>4770.2</v>
      </c>
      <c r="C22" s="16" t="s">
        <v>8</v>
      </c>
      <c r="D22" s="16" t="s">
        <v>37</v>
      </c>
      <c r="E22" s="53">
        <v>23.03</v>
      </c>
      <c r="F22" s="53">
        <v>22.67</v>
      </c>
      <c r="G22" s="53">
        <v>16.252340997512068</v>
      </c>
      <c r="H22" s="53">
        <v>16.211716119265088</v>
      </c>
      <c r="I22" s="53">
        <v>-1.1482838807349118</v>
      </c>
      <c r="J22" s="53">
        <v>0.3792701070390892</v>
      </c>
    </row>
    <row r="23" spans="2:10" x14ac:dyDescent="0.2">
      <c r="B23" s="16">
        <v>4770.3</v>
      </c>
      <c r="C23" s="16" t="s">
        <v>8</v>
      </c>
      <c r="D23" s="16" t="s">
        <v>37</v>
      </c>
      <c r="E23" s="53">
        <v>22.18</v>
      </c>
      <c r="F23" s="53">
        <v>21.67</v>
      </c>
      <c r="G23" s="53">
        <v>15.535431381388905</v>
      </c>
      <c r="H23" s="53"/>
      <c r="I23" s="53"/>
      <c r="J23" s="53"/>
    </row>
    <row r="24" spans="2:10" x14ac:dyDescent="0.2">
      <c r="E24" s="53"/>
      <c r="F24" s="53"/>
      <c r="G24" s="53"/>
      <c r="H24" s="53"/>
      <c r="I24" s="53"/>
      <c r="J24" s="53"/>
    </row>
    <row r="25" spans="2:10" x14ac:dyDescent="0.2">
      <c r="B25" s="16">
        <v>4771.1000000000004</v>
      </c>
      <c r="C25" s="18" t="s">
        <v>34</v>
      </c>
      <c r="D25" s="16" t="s">
        <v>37</v>
      </c>
      <c r="E25" s="53">
        <v>24.07</v>
      </c>
      <c r="F25" s="53">
        <v>23.71</v>
      </c>
      <c r="G25" s="53">
        <v>16.997926998280153</v>
      </c>
      <c r="H25" s="53"/>
      <c r="I25" s="53"/>
      <c r="J25" s="53"/>
    </row>
    <row r="26" spans="2:10" x14ac:dyDescent="0.2">
      <c r="B26" s="16">
        <v>4771.2</v>
      </c>
      <c r="C26" s="18" t="s">
        <v>34</v>
      </c>
      <c r="D26" s="16" t="s">
        <v>37</v>
      </c>
      <c r="E26" s="53">
        <v>23.62</v>
      </c>
      <c r="F26" s="53">
        <v>23.29</v>
      </c>
      <c r="G26" s="53">
        <v>16.696824959508422</v>
      </c>
      <c r="H26" s="53">
        <v>16.649030985100215</v>
      </c>
      <c r="I26" s="53">
        <v>-0.71096901489978492</v>
      </c>
      <c r="J26" s="53">
        <v>0.21655470373374963</v>
      </c>
    </row>
    <row r="27" spans="2:10" x14ac:dyDescent="0.2">
      <c r="B27" s="16">
        <v>4771.3</v>
      </c>
      <c r="C27" s="18" t="s">
        <v>34</v>
      </c>
      <c r="D27" s="16" t="s">
        <v>37</v>
      </c>
      <c r="E27" s="53">
        <v>23.12</v>
      </c>
      <c r="F27" s="53">
        <v>22.67</v>
      </c>
      <c r="G27" s="53">
        <v>16.252340997512068</v>
      </c>
      <c r="H27" s="53"/>
      <c r="I27" s="53"/>
      <c r="J27" s="53"/>
    </row>
    <row r="28" spans="2:10" x14ac:dyDescent="0.2">
      <c r="E28" s="53"/>
      <c r="F28" s="53"/>
      <c r="G28" s="53"/>
      <c r="H28" s="53"/>
      <c r="I28" s="53"/>
      <c r="J28" s="53"/>
    </row>
    <row r="29" spans="2:10" x14ac:dyDescent="0.2">
      <c r="B29" s="16">
        <v>4772.1000000000004</v>
      </c>
      <c r="C29" s="18" t="s">
        <v>22</v>
      </c>
      <c r="D29" s="16" t="s">
        <v>37</v>
      </c>
      <c r="E29" s="53">
        <v>24.19</v>
      </c>
      <c r="F29" s="53">
        <v>23.93</v>
      </c>
      <c r="G29" s="53">
        <v>17.15564711382725</v>
      </c>
      <c r="H29" s="53"/>
      <c r="I29" s="53"/>
      <c r="J29" s="53"/>
    </row>
    <row r="30" spans="2:10" x14ac:dyDescent="0.2">
      <c r="B30" s="16">
        <v>4772.2</v>
      </c>
      <c r="C30" s="18" t="s">
        <v>22</v>
      </c>
      <c r="D30" s="16" t="s">
        <v>37</v>
      </c>
      <c r="E30" s="53">
        <v>23.71</v>
      </c>
      <c r="F30" s="53">
        <v>23.5</v>
      </c>
      <c r="G30" s="53">
        <v>16.847375978894288</v>
      </c>
      <c r="H30" s="53">
        <v>17.052890068849596</v>
      </c>
      <c r="I30" s="53">
        <v>-0.30710993115040353</v>
      </c>
      <c r="J30" s="53">
        <v>0.10275704497765405</v>
      </c>
    </row>
    <row r="31" spans="2:10" x14ac:dyDescent="0.2">
      <c r="B31" s="16">
        <v>4772.3</v>
      </c>
      <c r="C31" s="18" t="s">
        <v>22</v>
      </c>
      <c r="D31" s="16" t="s">
        <v>37</v>
      </c>
      <c r="E31" s="53">
        <v>24.22</v>
      </c>
      <c r="F31" s="53">
        <v>23.93</v>
      </c>
      <c r="G31" s="53">
        <v>17.15564711382725</v>
      </c>
      <c r="H31" s="53"/>
      <c r="I31" s="53"/>
      <c r="J31" s="53"/>
    </row>
    <row r="32" spans="2:10" x14ac:dyDescent="0.2">
      <c r="E32" s="53"/>
      <c r="F32" s="53"/>
      <c r="G32" s="53"/>
    </row>
  </sheetData>
  <pageMargins left="0.75" right="0.75" top="1" bottom="1" header="0.5" footer="0.5"/>
  <pageSetup paperSize="9"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0"/>
  <sheetViews>
    <sheetView workbookViewId="0">
      <selection activeCell="A9" sqref="A9"/>
    </sheetView>
  </sheetViews>
  <sheetFormatPr baseColWidth="10" defaultColWidth="11" defaultRowHeight="16" x14ac:dyDescent="0.2"/>
  <cols>
    <col min="1" max="1" width="25.1640625" customWidth="1"/>
    <col min="2" max="3" width="14.1640625" customWidth="1"/>
  </cols>
  <sheetData>
    <row r="2" spans="1:12" ht="80" x14ac:dyDescent="0.2">
      <c r="A2" s="34" t="s">
        <v>3</v>
      </c>
      <c r="B2" s="34" t="s">
        <v>93</v>
      </c>
      <c r="C2" s="34" t="s">
        <v>33</v>
      </c>
      <c r="D2" s="14"/>
      <c r="E2" s="14"/>
      <c r="F2" s="14"/>
      <c r="G2" s="14"/>
    </row>
    <row r="3" spans="1:12" x14ac:dyDescent="0.2">
      <c r="A3" s="14"/>
      <c r="B3" s="14"/>
      <c r="C3" s="14"/>
      <c r="D3" s="14"/>
      <c r="E3" s="14"/>
      <c r="F3" s="13"/>
      <c r="G3" s="13"/>
      <c r="H3" s="1"/>
      <c r="I3" s="1"/>
      <c r="J3" s="1"/>
      <c r="K3" s="1"/>
      <c r="L3" s="1"/>
    </row>
    <row r="4" spans="1:12" x14ac:dyDescent="0.2">
      <c r="A4" s="14"/>
      <c r="B4" s="17"/>
      <c r="C4" s="14"/>
      <c r="D4" s="14"/>
      <c r="E4" s="14"/>
      <c r="F4" s="14"/>
      <c r="G4" s="14"/>
    </row>
    <row r="5" spans="1:12" x14ac:dyDescent="0.2">
      <c r="A5" s="14" t="s">
        <v>27</v>
      </c>
      <c r="B5" s="53">
        <v>0.47432155042384139</v>
      </c>
      <c r="C5" s="53">
        <v>5.4963070569442607E-2</v>
      </c>
      <c r="D5" s="14"/>
      <c r="E5" s="14"/>
      <c r="F5" s="14"/>
      <c r="G5" s="14"/>
    </row>
    <row r="6" spans="1:12" x14ac:dyDescent="0.2">
      <c r="A6" s="14" t="s">
        <v>121</v>
      </c>
      <c r="B6" s="53">
        <v>-1.5545326632047036</v>
      </c>
      <c r="C6" s="53">
        <v>0.70566552920045189</v>
      </c>
      <c r="D6" s="14"/>
      <c r="E6" s="14"/>
      <c r="F6" s="14"/>
      <c r="G6" s="14"/>
    </row>
    <row r="7" spans="1:12" x14ac:dyDescent="0.2">
      <c r="A7" s="14" t="s">
        <v>122</v>
      </c>
      <c r="B7" s="53">
        <v>-1.1482838807349118</v>
      </c>
      <c r="C7" s="53">
        <v>0.3792701070390892</v>
      </c>
      <c r="D7" s="14"/>
      <c r="E7" s="14"/>
      <c r="F7" s="14"/>
      <c r="G7" s="14"/>
    </row>
    <row r="8" spans="1:12" x14ac:dyDescent="0.2">
      <c r="A8" s="20" t="s">
        <v>123</v>
      </c>
      <c r="B8" s="53">
        <v>-0.71096901489978492</v>
      </c>
      <c r="C8" s="53">
        <v>0.21655470373374963</v>
      </c>
      <c r="D8" s="14"/>
      <c r="E8" s="14"/>
      <c r="F8" s="14"/>
      <c r="G8" s="14"/>
    </row>
    <row r="9" spans="1:12" x14ac:dyDescent="0.2">
      <c r="A9" s="20" t="s">
        <v>124</v>
      </c>
      <c r="B9" s="53">
        <v>-0.30710993115040353</v>
      </c>
      <c r="C9" s="53">
        <v>0.10275704497765405</v>
      </c>
      <c r="D9" s="14"/>
      <c r="E9" s="14"/>
      <c r="F9" s="14"/>
      <c r="G9" s="14"/>
    </row>
    <row r="10" spans="1:12" x14ac:dyDescent="0.2">
      <c r="A10" s="14"/>
      <c r="B10" s="14"/>
      <c r="C10" s="14"/>
      <c r="D10" s="14"/>
      <c r="E10" s="14"/>
      <c r="F10" s="14"/>
      <c r="G10" s="14"/>
    </row>
    <row r="11" spans="1:12" x14ac:dyDescent="0.2">
      <c r="A11" s="14"/>
      <c r="B11" s="14"/>
      <c r="C11" s="14"/>
      <c r="D11" s="14"/>
      <c r="E11" s="14"/>
      <c r="F11" s="14"/>
      <c r="G11" s="14"/>
    </row>
    <row r="12" spans="1:12" x14ac:dyDescent="0.2">
      <c r="A12" s="13" t="s">
        <v>28</v>
      </c>
      <c r="B12" s="13"/>
      <c r="C12" s="13"/>
      <c r="D12" s="13"/>
      <c r="E12" s="14"/>
      <c r="F12" s="14"/>
      <c r="G12" s="14"/>
    </row>
    <row r="13" spans="1:12" x14ac:dyDescent="0.2">
      <c r="A13" s="13" t="s">
        <v>94</v>
      </c>
      <c r="B13" s="13"/>
      <c r="C13" s="13"/>
      <c r="D13" s="13"/>
      <c r="E13" s="14"/>
      <c r="F13" s="14"/>
      <c r="G13" s="14"/>
    </row>
    <row r="14" spans="1:12" x14ac:dyDescent="0.2">
      <c r="A14" s="13"/>
      <c r="B14" s="13"/>
      <c r="C14" s="13"/>
      <c r="D14" s="13"/>
      <c r="E14" s="14"/>
      <c r="F14" s="14"/>
      <c r="G14" s="14"/>
    </row>
    <row r="15" spans="1:12" x14ac:dyDescent="0.2">
      <c r="A15" s="13"/>
      <c r="B15" s="13"/>
      <c r="C15" s="13"/>
      <c r="D15" s="13"/>
      <c r="E15" s="14"/>
      <c r="F15" s="14"/>
      <c r="G15" s="14"/>
    </row>
    <row r="16" spans="1:12" x14ac:dyDescent="0.2">
      <c r="A16" s="13"/>
      <c r="B16" s="13"/>
      <c r="C16" s="13"/>
      <c r="D16" s="13"/>
      <c r="E16" s="14"/>
      <c r="F16" s="14"/>
      <c r="G16" s="14"/>
    </row>
    <row r="17" spans="1:7" x14ac:dyDescent="0.2">
      <c r="A17" s="14"/>
      <c r="B17" s="14"/>
      <c r="C17" s="14"/>
      <c r="D17" s="14"/>
      <c r="E17" s="14"/>
      <c r="F17" s="14"/>
      <c r="G17" s="14"/>
    </row>
    <row r="18" spans="1:7" x14ac:dyDescent="0.2">
      <c r="A18" s="14"/>
      <c r="B18" s="14"/>
      <c r="C18" s="14"/>
      <c r="D18" s="14"/>
      <c r="E18" s="14"/>
      <c r="F18" s="14"/>
      <c r="G18" s="14"/>
    </row>
    <row r="19" spans="1:7" x14ac:dyDescent="0.2">
      <c r="A19" s="14"/>
      <c r="B19" s="14"/>
      <c r="C19" s="14"/>
      <c r="D19" s="14"/>
      <c r="E19" s="14"/>
      <c r="F19" s="14"/>
      <c r="G19" s="14"/>
    </row>
    <row r="20" spans="1:7" x14ac:dyDescent="0.2">
      <c r="A20" s="14"/>
      <c r="B20" s="14"/>
      <c r="C20" s="14"/>
      <c r="D20" s="14"/>
      <c r="E20" s="14"/>
      <c r="F20" s="14"/>
      <c r="G20" s="14"/>
    </row>
  </sheetData>
  <pageMargins left="0.75" right="0.75" top="1" bottom="1" header="0.5" footer="0.5"/>
  <pageSetup paperSize="9" orientation="portrait" horizontalDpi="4294967292" verticalDpi="429496729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workbookViewId="0">
      <selection activeCell="J13" sqref="J13"/>
    </sheetView>
  </sheetViews>
  <sheetFormatPr baseColWidth="10" defaultRowHeight="16" x14ac:dyDescent="0.2"/>
  <cols>
    <col min="3" max="3" width="18.1640625" customWidth="1"/>
  </cols>
  <sheetData>
    <row r="1" spans="1:9" x14ac:dyDescent="0.2">
      <c r="A1" s="36"/>
      <c r="B1" s="36"/>
      <c r="C1" s="36"/>
      <c r="D1" s="36"/>
      <c r="E1" s="36"/>
      <c r="F1" s="36"/>
      <c r="G1" s="36"/>
      <c r="H1" s="36"/>
      <c r="I1" s="36"/>
    </row>
    <row r="2" spans="1:9" ht="42" x14ac:dyDescent="0.2">
      <c r="A2" s="70"/>
      <c r="B2" s="70" t="s">
        <v>125</v>
      </c>
      <c r="C2" s="70" t="s">
        <v>126</v>
      </c>
      <c r="D2" s="70" t="s">
        <v>48</v>
      </c>
      <c r="E2" s="70" t="s">
        <v>127</v>
      </c>
      <c r="F2" s="70" t="s">
        <v>128</v>
      </c>
      <c r="G2" s="70" t="s">
        <v>129</v>
      </c>
      <c r="H2" s="70"/>
      <c r="I2" s="70"/>
    </row>
    <row r="3" spans="1:9" x14ac:dyDescent="0.2">
      <c r="A3" s="36"/>
      <c r="B3" s="36"/>
      <c r="C3" s="36"/>
      <c r="D3" s="71"/>
      <c r="E3" s="36"/>
      <c r="F3" s="36"/>
      <c r="G3" s="36"/>
      <c r="H3" s="36"/>
      <c r="I3" s="36"/>
    </row>
    <row r="4" spans="1:9" x14ac:dyDescent="0.2">
      <c r="A4" s="36"/>
      <c r="B4" s="36" t="s">
        <v>130</v>
      </c>
      <c r="C4" s="36" t="s">
        <v>4</v>
      </c>
      <c r="D4" s="75">
        <v>0.54700000000000004</v>
      </c>
      <c r="E4" s="72">
        <v>0.27956477560514609</v>
      </c>
      <c r="F4" s="72">
        <v>3.9013486058397141E-2</v>
      </c>
      <c r="G4" s="50">
        <f>E5/E4</f>
        <v>1.4021765408445266</v>
      </c>
      <c r="H4" s="36"/>
      <c r="I4" s="36"/>
    </row>
    <row r="5" spans="1:9" x14ac:dyDescent="0.2">
      <c r="A5" s="36"/>
      <c r="B5" s="36" t="s">
        <v>131</v>
      </c>
      <c r="C5" s="36" t="s">
        <v>27</v>
      </c>
      <c r="D5" s="76"/>
      <c r="E5" s="72">
        <v>0.39199917000000001</v>
      </c>
      <c r="F5" s="72">
        <v>1.0103778110191237E-2</v>
      </c>
      <c r="G5" s="50"/>
      <c r="H5" s="36"/>
      <c r="I5" s="36"/>
    </row>
    <row r="6" spans="1:9" x14ac:dyDescent="0.2">
      <c r="A6" s="36"/>
      <c r="B6" s="36"/>
      <c r="C6" s="36"/>
      <c r="D6" s="71"/>
      <c r="E6" s="72"/>
      <c r="F6" s="72"/>
      <c r="G6" s="50"/>
      <c r="H6" s="36"/>
      <c r="I6" s="36"/>
    </row>
    <row r="7" spans="1:9" x14ac:dyDescent="0.2">
      <c r="A7" s="36"/>
      <c r="B7" s="36" t="s">
        <v>132</v>
      </c>
      <c r="C7" s="36" t="s">
        <v>56</v>
      </c>
      <c r="D7" s="75">
        <v>0.51800000000000002</v>
      </c>
      <c r="E7" s="72">
        <v>3.4601199999999999E-2</v>
      </c>
      <c r="F7" s="72">
        <v>1.1772697885946511E-3</v>
      </c>
      <c r="G7" s="50">
        <f>E8/E7</f>
        <v>3.161506537345526</v>
      </c>
      <c r="H7" s="36"/>
      <c r="I7" s="36"/>
    </row>
    <row r="8" spans="1:9" x14ac:dyDescent="0.2">
      <c r="A8" s="36"/>
      <c r="B8" s="36" t="s">
        <v>133</v>
      </c>
      <c r="C8" s="36" t="s">
        <v>134</v>
      </c>
      <c r="D8" s="76"/>
      <c r="E8" s="72">
        <v>0.10939192</v>
      </c>
      <c r="F8" s="72">
        <v>1.0798043335540347E-2</v>
      </c>
      <c r="G8" s="50"/>
      <c r="H8" s="36"/>
      <c r="I8" s="36"/>
    </row>
    <row r="9" spans="1:9" x14ac:dyDescent="0.2">
      <c r="A9" s="36"/>
      <c r="B9" s="36"/>
      <c r="C9" s="36"/>
      <c r="D9" s="71"/>
      <c r="E9" s="36"/>
      <c r="F9" s="36"/>
      <c r="G9" s="50"/>
      <c r="H9" s="36"/>
      <c r="I9" s="36"/>
    </row>
    <row r="10" spans="1:9" x14ac:dyDescent="0.2">
      <c r="A10" s="36"/>
      <c r="B10" s="36" t="s">
        <v>135</v>
      </c>
      <c r="C10" s="36" t="s">
        <v>34</v>
      </c>
      <c r="D10" s="75">
        <v>0.49299999999999999</v>
      </c>
      <c r="E10" s="72">
        <v>0.18907399999999999</v>
      </c>
      <c r="F10" s="72">
        <v>2.4806615656137929E-2</v>
      </c>
      <c r="G10" s="50">
        <f>E11/E10</f>
        <v>2.5893027597660176</v>
      </c>
      <c r="H10" s="36"/>
      <c r="I10" s="36"/>
    </row>
    <row r="11" spans="1:9" x14ac:dyDescent="0.2">
      <c r="A11" s="36"/>
      <c r="B11" s="36" t="s">
        <v>136</v>
      </c>
      <c r="C11" s="36" t="s">
        <v>137</v>
      </c>
      <c r="D11" s="76"/>
      <c r="E11" s="72">
        <v>0.48956982999999998</v>
      </c>
      <c r="F11" s="72">
        <v>3.7086746098130438E-2</v>
      </c>
      <c r="G11" s="50"/>
      <c r="H11" s="36"/>
      <c r="I11" s="36"/>
    </row>
    <row r="12" spans="1:9" x14ac:dyDescent="0.2">
      <c r="A12" s="36"/>
      <c r="B12" s="36"/>
      <c r="C12" s="36"/>
      <c r="D12" s="71"/>
      <c r="E12" s="72"/>
      <c r="F12" s="72"/>
      <c r="G12" s="50"/>
      <c r="H12" s="36"/>
      <c r="I12" s="36"/>
    </row>
    <row r="13" spans="1:9" x14ac:dyDescent="0.2">
      <c r="A13" s="36"/>
      <c r="B13" s="36" t="s">
        <v>138</v>
      </c>
      <c r="C13" s="36" t="s">
        <v>139</v>
      </c>
      <c r="D13" s="75">
        <v>0.432</v>
      </c>
      <c r="E13" s="72">
        <v>8.8249279999999999E-2</v>
      </c>
      <c r="F13" s="72">
        <v>4.8899894696138079E-3</v>
      </c>
      <c r="G13" s="73">
        <f>E14/E13</f>
        <v>5.2257038244391341</v>
      </c>
      <c r="H13" s="36"/>
      <c r="I13" s="36"/>
    </row>
    <row r="14" spans="1:9" x14ac:dyDescent="0.2">
      <c r="A14" s="36"/>
      <c r="B14" s="36" t="s">
        <v>140</v>
      </c>
      <c r="C14" s="36" t="s">
        <v>141</v>
      </c>
      <c r="D14" s="76"/>
      <c r="E14" s="72">
        <v>0.46116459999999998</v>
      </c>
      <c r="F14" s="72">
        <v>2.7272491125486697E-2</v>
      </c>
      <c r="G14" s="50"/>
      <c r="H14" s="36"/>
      <c r="I14" s="36"/>
    </row>
    <row r="15" spans="1:9" x14ac:dyDescent="0.2">
      <c r="A15" s="36"/>
      <c r="B15" s="36"/>
      <c r="C15" s="36"/>
      <c r="D15" s="71"/>
      <c r="E15" s="72"/>
      <c r="F15" s="72"/>
      <c r="G15" s="50"/>
      <c r="H15" s="36"/>
      <c r="I15" s="36"/>
    </row>
    <row r="16" spans="1:9" x14ac:dyDescent="0.2">
      <c r="A16" s="36"/>
      <c r="B16" s="36" t="s">
        <v>142</v>
      </c>
      <c r="C16" s="36" t="s">
        <v>81</v>
      </c>
      <c r="D16" s="75">
        <v>0.375</v>
      </c>
      <c r="E16" s="72">
        <v>4.5919139999999997E-2</v>
      </c>
      <c r="F16" s="72">
        <v>4.0270397711580598E-3</v>
      </c>
      <c r="G16" s="50">
        <f>E17/E16</f>
        <v>14.344955937763645</v>
      </c>
      <c r="H16" s="36"/>
      <c r="I16" s="36"/>
    </row>
    <row r="17" spans="1:9" x14ac:dyDescent="0.2">
      <c r="A17" s="36"/>
      <c r="B17" s="36" t="s">
        <v>143</v>
      </c>
      <c r="C17" s="36" t="s">
        <v>144</v>
      </c>
      <c r="D17" s="76"/>
      <c r="E17" s="72">
        <v>0.65870804000000005</v>
      </c>
      <c r="F17" s="72">
        <v>0.10803187122987967</v>
      </c>
      <c r="G17" s="50"/>
      <c r="H17" s="36"/>
      <c r="I17" s="36"/>
    </row>
    <row r="18" spans="1:9" x14ac:dyDescent="0.2">
      <c r="A18" s="36"/>
      <c r="B18" s="36"/>
      <c r="C18" s="36"/>
      <c r="D18" s="36"/>
      <c r="E18" s="72"/>
      <c r="F18" s="72"/>
      <c r="G18" s="36"/>
      <c r="H18" s="36"/>
      <c r="I18" s="36"/>
    </row>
    <row r="19" spans="1:9" x14ac:dyDescent="0.2">
      <c r="A19" s="36"/>
      <c r="B19" s="36"/>
      <c r="C19" s="36"/>
      <c r="D19" s="36"/>
      <c r="E19" s="36"/>
      <c r="F19" s="36"/>
      <c r="G19" s="36"/>
      <c r="H19" s="36"/>
      <c r="I19" s="36"/>
    </row>
    <row r="20" spans="1:9" ht="67" customHeight="1" x14ac:dyDescent="0.2">
      <c r="A20" s="70"/>
      <c r="B20" s="74" t="s">
        <v>145</v>
      </c>
      <c r="C20" s="74"/>
      <c r="D20" s="74"/>
      <c r="E20" s="74"/>
      <c r="F20" s="74"/>
      <c r="G20" s="74"/>
      <c r="H20" s="70"/>
      <c r="I20" s="70"/>
    </row>
    <row r="21" spans="1:9" x14ac:dyDescent="0.2">
      <c r="A21" s="36"/>
      <c r="B21" s="36"/>
      <c r="C21" s="36"/>
      <c r="D21" s="36"/>
      <c r="E21" s="36"/>
      <c r="F21" s="36"/>
      <c r="G21" s="36"/>
      <c r="H21" s="36"/>
      <c r="I21" s="36"/>
    </row>
    <row r="22" spans="1:9" x14ac:dyDescent="0.2">
      <c r="A22" s="36"/>
      <c r="B22" s="36"/>
      <c r="C22" s="36"/>
      <c r="D22" s="36"/>
      <c r="E22" s="36"/>
      <c r="F22" s="36"/>
      <c r="G22" s="36"/>
      <c r="H22" s="36"/>
      <c r="I22" s="36"/>
    </row>
    <row r="23" spans="1:9" x14ac:dyDescent="0.2">
      <c r="A23" s="36"/>
      <c r="B23" s="36"/>
      <c r="C23" s="36"/>
      <c r="D23" s="36"/>
      <c r="E23" s="36"/>
      <c r="F23" s="36"/>
      <c r="G23" s="36"/>
      <c r="H23" s="36"/>
      <c r="I23" s="36"/>
    </row>
    <row r="24" spans="1:9" x14ac:dyDescent="0.2">
      <c r="A24" s="36"/>
      <c r="B24" s="36"/>
      <c r="C24" s="36"/>
      <c r="D24" s="36"/>
      <c r="E24" s="36"/>
      <c r="F24" s="36"/>
      <c r="G24" s="36"/>
      <c r="H24" s="36"/>
      <c r="I24" s="36"/>
    </row>
    <row r="25" spans="1:9" x14ac:dyDescent="0.2">
      <c r="A25" s="36"/>
      <c r="B25" s="36"/>
      <c r="C25" s="36"/>
      <c r="D25" s="36"/>
      <c r="E25" s="36"/>
      <c r="F25" s="36"/>
      <c r="G25" s="36"/>
      <c r="H25" s="36"/>
      <c r="I25" s="36"/>
    </row>
    <row r="26" spans="1:9" x14ac:dyDescent="0.2">
      <c r="A26" s="36"/>
      <c r="B26" s="36"/>
      <c r="C26" s="36"/>
      <c r="D26" s="36"/>
      <c r="E26" s="36"/>
      <c r="F26" s="36"/>
      <c r="G26" s="36"/>
      <c r="H26" s="36"/>
      <c r="I26" s="36"/>
    </row>
  </sheetData>
  <mergeCells count="6">
    <mergeCell ref="B20:G20"/>
    <mergeCell ref="D4:D5"/>
    <mergeCell ref="D7:D8"/>
    <mergeCell ref="D10:D11"/>
    <mergeCell ref="D13:D14"/>
    <mergeCell ref="D16:D1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>
      <selection activeCell="Q21" sqref="Q21"/>
    </sheetView>
  </sheetViews>
  <sheetFormatPr baseColWidth="10" defaultColWidth="11" defaultRowHeight="16" x14ac:dyDescent="0.2"/>
  <cols>
    <col min="1" max="8" width="11.83203125" style="49" customWidth="1"/>
    <col min="9" max="9" width="11.83203125" style="52" customWidth="1"/>
  </cols>
  <sheetData>
    <row r="1" spans="1:10" ht="56" x14ac:dyDescent="0.2">
      <c r="A1" s="46" t="s">
        <v>30</v>
      </c>
      <c r="B1" s="46" t="s">
        <v>3</v>
      </c>
      <c r="C1" s="46" t="s">
        <v>105</v>
      </c>
      <c r="D1" s="46" t="s">
        <v>2</v>
      </c>
      <c r="E1" s="46" t="s">
        <v>1</v>
      </c>
      <c r="F1" s="46" t="s">
        <v>102</v>
      </c>
      <c r="G1" s="46" t="s">
        <v>103</v>
      </c>
      <c r="H1" s="46" t="s">
        <v>33</v>
      </c>
      <c r="I1" s="46" t="s">
        <v>104</v>
      </c>
    </row>
    <row r="2" spans="1:10" ht="17" customHeight="1" x14ac:dyDescent="0.2">
      <c r="A2" s="46"/>
      <c r="B2" s="46"/>
      <c r="C2" s="46"/>
      <c r="D2" s="46"/>
      <c r="E2" s="46"/>
      <c r="F2" s="46"/>
      <c r="G2" s="46"/>
      <c r="H2" s="46"/>
      <c r="I2" s="46"/>
    </row>
    <row r="3" spans="1:10" s="45" customFormat="1" ht="17" customHeight="1" x14ac:dyDescent="0.2">
      <c r="A3" s="47" t="s">
        <v>42</v>
      </c>
      <c r="B3" s="48" t="s">
        <v>101</v>
      </c>
      <c r="C3" s="48" t="s">
        <v>101</v>
      </c>
      <c r="D3" s="50">
        <v>19.53</v>
      </c>
      <c r="E3" s="50">
        <v>20.350000000000001</v>
      </c>
      <c r="F3" s="60"/>
      <c r="G3" s="60"/>
      <c r="H3" s="60"/>
      <c r="I3" s="60"/>
      <c r="J3" s="61"/>
    </row>
    <row r="4" spans="1:10" ht="17" customHeight="1" x14ac:dyDescent="0.2">
      <c r="A4" s="46"/>
      <c r="B4" s="46"/>
      <c r="C4" s="46"/>
      <c r="D4" s="50"/>
      <c r="E4" s="50"/>
      <c r="F4" s="60"/>
      <c r="G4" s="60"/>
      <c r="H4" s="60"/>
      <c r="I4" s="60"/>
      <c r="J4" s="62"/>
    </row>
    <row r="5" spans="1:10" ht="17" customHeight="1" x14ac:dyDescent="0.2">
      <c r="A5" s="36">
        <v>4699.1000000000004</v>
      </c>
      <c r="B5" s="36" t="s">
        <v>4</v>
      </c>
      <c r="C5" s="36" t="s">
        <v>36</v>
      </c>
      <c r="D5" s="50">
        <v>516</v>
      </c>
      <c r="E5" s="50">
        <v>478.29</v>
      </c>
      <c r="F5" s="50">
        <f>E5-20.35</f>
        <v>457.94</v>
      </c>
      <c r="G5" s="50"/>
      <c r="H5" s="50"/>
      <c r="I5" s="63"/>
      <c r="J5" s="62"/>
    </row>
    <row r="6" spans="1:10" ht="17" customHeight="1" x14ac:dyDescent="0.2">
      <c r="A6" s="36">
        <v>4699.2</v>
      </c>
      <c r="B6" s="36" t="s">
        <v>4</v>
      </c>
      <c r="C6" s="36" t="s">
        <v>36</v>
      </c>
      <c r="D6" s="50">
        <v>471.28</v>
      </c>
      <c r="E6" s="50">
        <v>453.16</v>
      </c>
      <c r="F6" s="50">
        <f t="shared" ref="F6:F16" si="0">E6-20.35</f>
        <v>432.81</v>
      </c>
      <c r="G6" s="50">
        <f>AVERAGE(F5:F7)</f>
        <v>438.49333333333334</v>
      </c>
      <c r="H6" s="50">
        <f>STDEV(F5:F7)/SQRT(3)</f>
        <v>9.9991871891891613</v>
      </c>
      <c r="I6" s="63">
        <v>1</v>
      </c>
      <c r="J6" s="62"/>
    </row>
    <row r="7" spans="1:10" ht="17" customHeight="1" x14ac:dyDescent="0.2">
      <c r="A7" s="36">
        <v>4699.3</v>
      </c>
      <c r="B7" s="36" t="s">
        <v>4</v>
      </c>
      <c r="C7" s="36" t="s">
        <v>36</v>
      </c>
      <c r="D7" s="50">
        <v>463.83</v>
      </c>
      <c r="E7" s="50">
        <v>445.08</v>
      </c>
      <c r="F7" s="50">
        <f t="shared" si="0"/>
        <v>424.72999999999996</v>
      </c>
      <c r="G7" s="50"/>
      <c r="H7" s="50"/>
      <c r="I7" s="63"/>
      <c r="J7" s="62"/>
    </row>
    <row r="8" spans="1:10" ht="17" customHeight="1" x14ac:dyDescent="0.2">
      <c r="A8" s="36"/>
      <c r="B8" s="36"/>
      <c r="C8" s="36"/>
      <c r="D8" s="50"/>
      <c r="E8" s="50"/>
      <c r="F8" s="50"/>
      <c r="G8" s="50"/>
      <c r="H8" s="50"/>
      <c r="I8" s="63"/>
      <c r="J8" s="62"/>
    </row>
    <row r="9" spans="1:10" ht="17" customHeight="1" x14ac:dyDescent="0.2">
      <c r="A9" s="36">
        <v>4841.1000000000004</v>
      </c>
      <c r="B9" s="36" t="s">
        <v>4</v>
      </c>
      <c r="C9" s="36" t="s">
        <v>99</v>
      </c>
      <c r="D9" s="50">
        <v>19.670000000000002</v>
      </c>
      <c r="E9" s="50">
        <v>19.11</v>
      </c>
      <c r="F9" s="50">
        <f t="shared" si="0"/>
        <v>-1.240000000000002</v>
      </c>
      <c r="G9" s="50"/>
      <c r="H9" s="50"/>
      <c r="I9" s="63"/>
      <c r="J9" s="62"/>
    </row>
    <row r="10" spans="1:10" ht="17" customHeight="1" x14ac:dyDescent="0.2">
      <c r="A10" s="36">
        <v>4841.2</v>
      </c>
      <c r="B10" s="36" t="s">
        <v>4</v>
      </c>
      <c r="C10" s="36" t="s">
        <v>99</v>
      </c>
      <c r="D10" s="50">
        <v>20.58</v>
      </c>
      <c r="E10" s="50">
        <v>19.809999999999999</v>
      </c>
      <c r="F10" s="50">
        <f t="shared" si="0"/>
        <v>-0.5400000000000027</v>
      </c>
      <c r="G10" s="50">
        <f>AVERAGE(F9:F11)</f>
        <v>-0.95000000000000162</v>
      </c>
      <c r="H10" s="50">
        <f>STDEV(F9:F11)/SQRT(3)</f>
        <v>0.21079215671683132</v>
      </c>
      <c r="I10" s="63">
        <v>0</v>
      </c>
      <c r="J10" s="62"/>
    </row>
    <row r="11" spans="1:10" ht="17" customHeight="1" x14ac:dyDescent="0.2">
      <c r="A11" s="36">
        <v>4841.3</v>
      </c>
      <c r="B11" s="36" t="s">
        <v>4</v>
      </c>
      <c r="C11" s="36" t="s">
        <v>99</v>
      </c>
      <c r="D11" s="50">
        <v>19.850000000000001</v>
      </c>
      <c r="E11" s="50">
        <v>19.28</v>
      </c>
      <c r="F11" s="50">
        <f t="shared" si="0"/>
        <v>-1.0700000000000003</v>
      </c>
      <c r="G11" s="50"/>
      <c r="H11" s="50"/>
      <c r="I11" s="63"/>
      <c r="J11" s="62"/>
    </row>
    <row r="12" spans="1:10" ht="17" customHeight="1" x14ac:dyDescent="0.2">
      <c r="A12" s="36"/>
      <c r="B12" s="36"/>
      <c r="C12" s="36"/>
      <c r="D12" s="50"/>
      <c r="E12" s="50"/>
      <c r="F12" s="50"/>
      <c r="G12" s="50"/>
      <c r="H12" s="50"/>
      <c r="I12" s="63"/>
      <c r="J12" s="62"/>
    </row>
    <row r="13" spans="1:10" ht="17" customHeight="1" x14ac:dyDescent="0.2">
      <c r="A13" s="36"/>
      <c r="B13" s="36"/>
      <c r="C13" s="36"/>
      <c r="D13" s="50"/>
      <c r="E13" s="50"/>
      <c r="F13" s="50"/>
      <c r="G13" s="50"/>
      <c r="H13" s="50"/>
      <c r="I13" s="63"/>
      <c r="J13" s="62"/>
    </row>
    <row r="14" spans="1:10" ht="17" customHeight="1" x14ac:dyDescent="0.2">
      <c r="A14" s="36">
        <v>4842.1000000000004</v>
      </c>
      <c r="B14" s="36" t="s">
        <v>4</v>
      </c>
      <c r="C14" s="36" t="s">
        <v>100</v>
      </c>
      <c r="D14" s="50">
        <v>74.09</v>
      </c>
      <c r="E14" s="50">
        <v>69.16</v>
      </c>
      <c r="F14" s="50">
        <f t="shared" si="0"/>
        <v>48.809999999999995</v>
      </c>
      <c r="G14" s="50"/>
      <c r="H14" s="50"/>
      <c r="I14" s="63"/>
      <c r="J14" s="62"/>
    </row>
    <row r="15" spans="1:10" ht="17" customHeight="1" x14ac:dyDescent="0.2">
      <c r="A15" s="36">
        <v>4842.2</v>
      </c>
      <c r="B15" s="36" t="s">
        <v>4</v>
      </c>
      <c r="C15" s="36" t="s">
        <v>100</v>
      </c>
      <c r="D15" s="50">
        <v>67.849999999999994</v>
      </c>
      <c r="E15" s="50">
        <v>64.94</v>
      </c>
      <c r="F15" s="50">
        <f t="shared" si="0"/>
        <v>44.589999999999996</v>
      </c>
      <c r="G15" s="50">
        <f>AVERAGE(F14:F16)</f>
        <v>47.196666666666665</v>
      </c>
      <c r="H15" s="50">
        <f>STDEV(F14:F16)/SQRT(3)</f>
        <v>1.3155649399064699</v>
      </c>
      <c r="I15" s="63">
        <f>G15/G6</f>
        <v>0.10763371544987381</v>
      </c>
      <c r="J15" s="62"/>
    </row>
    <row r="16" spans="1:10" ht="17" customHeight="1" x14ac:dyDescent="0.2">
      <c r="A16" s="36">
        <v>4842.3</v>
      </c>
      <c r="B16" s="36" t="s">
        <v>4</v>
      </c>
      <c r="C16" s="36" t="s">
        <v>100</v>
      </c>
      <c r="D16" s="50">
        <v>73.989999999999995</v>
      </c>
      <c r="E16" s="50">
        <v>68.540000000000006</v>
      </c>
      <c r="F16" s="50">
        <f t="shared" si="0"/>
        <v>48.190000000000005</v>
      </c>
      <c r="G16" s="50"/>
      <c r="H16" s="50"/>
      <c r="I16" s="63"/>
      <c r="J16" s="62"/>
    </row>
    <row r="17" spans="1:9" ht="17" customHeight="1" x14ac:dyDescent="0.2">
      <c r="A17" s="36"/>
      <c r="B17" s="36"/>
      <c r="C17" s="36"/>
      <c r="D17" s="36"/>
      <c r="E17" s="36"/>
      <c r="F17" s="36"/>
      <c r="G17" s="36"/>
      <c r="H17" s="36"/>
      <c r="I17" s="51"/>
    </row>
    <row r="18" spans="1:9" ht="17" customHeight="1" x14ac:dyDescent="0.2">
      <c r="A18" s="36"/>
      <c r="B18" s="36"/>
      <c r="C18" s="36"/>
      <c r="D18" s="36"/>
      <c r="E18" s="36"/>
      <c r="F18" s="36"/>
      <c r="G18" s="36"/>
      <c r="H18" s="36"/>
      <c r="I18" s="51"/>
    </row>
    <row r="19" spans="1:9" ht="17" customHeight="1" x14ac:dyDescent="0.2">
      <c r="A19" s="36"/>
      <c r="B19" s="36"/>
      <c r="C19" s="36"/>
      <c r="D19" s="36"/>
      <c r="E19" s="36"/>
      <c r="F19" s="36"/>
      <c r="G19" s="36"/>
      <c r="H19" s="36"/>
      <c r="I19" s="51"/>
    </row>
    <row r="20" spans="1:9" ht="17" customHeight="1" x14ac:dyDescent="0.2">
      <c r="A20" s="36"/>
      <c r="B20" s="36"/>
      <c r="C20" s="36"/>
      <c r="D20" s="36"/>
      <c r="E20" s="36"/>
      <c r="F20" s="36"/>
      <c r="G20" s="36"/>
      <c r="H20" s="36"/>
      <c r="I20" s="51"/>
    </row>
  </sheetData>
  <phoneticPr fontId="4" type="noConversion"/>
  <pageMargins left="0.7" right="0.7" top="0.75" bottom="0.75" header="0.3" footer="0.3"/>
  <pageSetup paperSize="9" orientation="portrait" horizontalDpi="4294967292" verticalDpi="429496729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8"/>
  <sheetViews>
    <sheetView workbookViewId="0">
      <selection activeCell="I29" sqref="I29"/>
    </sheetView>
  </sheetViews>
  <sheetFormatPr baseColWidth="10" defaultRowHeight="14" x14ac:dyDescent="0.15"/>
  <cols>
    <col min="1" max="16384" width="10.83203125" style="36"/>
  </cols>
  <sheetData>
    <row r="2" spans="1:12" x14ac:dyDescent="0.15">
      <c r="A2" s="36" t="s">
        <v>119</v>
      </c>
    </row>
    <row r="4" spans="1:12" x14ac:dyDescent="0.15">
      <c r="I4" s="36" t="s">
        <v>109</v>
      </c>
      <c r="J4" s="36" t="s">
        <v>99</v>
      </c>
      <c r="K4" s="36" t="s">
        <v>100</v>
      </c>
    </row>
    <row r="5" spans="1:12" x14ac:dyDescent="0.15">
      <c r="A5" s="36" t="s">
        <v>117</v>
      </c>
      <c r="B5" s="36" t="s">
        <v>118</v>
      </c>
      <c r="C5" s="36" t="s">
        <v>110</v>
      </c>
      <c r="D5" s="36" t="s">
        <v>111</v>
      </c>
      <c r="E5" s="36" t="s">
        <v>112</v>
      </c>
      <c r="F5" s="36" t="s">
        <v>113</v>
      </c>
      <c r="G5" s="36" t="s">
        <v>114</v>
      </c>
    </row>
    <row r="7" spans="1:12" x14ac:dyDescent="0.15">
      <c r="A7" s="65">
        <v>6903</v>
      </c>
      <c r="B7" s="65">
        <v>1266</v>
      </c>
      <c r="C7" s="66">
        <f>A7/B7</f>
        <v>5.4526066350710902</v>
      </c>
      <c r="I7" s="66">
        <v>5.4526066350710902</v>
      </c>
      <c r="J7" s="66">
        <v>5.0054794520547947</v>
      </c>
      <c r="K7" s="66">
        <v>3.548841059602649</v>
      </c>
    </row>
    <row r="8" spans="1:12" x14ac:dyDescent="0.15">
      <c r="A8" s="65">
        <v>5742</v>
      </c>
      <c r="B8" s="65">
        <v>1376</v>
      </c>
      <c r="C8" s="66">
        <f>A8/B8</f>
        <v>4.1729651162790695</v>
      </c>
      <c r="D8" s="66">
        <f>AVERAGE(C7:C9)</f>
        <v>4.4109606556359324</v>
      </c>
      <c r="E8" s="66">
        <f>STDEV(C7:D9)/SQRT(3)</f>
        <v>0.44566083928691208</v>
      </c>
      <c r="F8" s="36">
        <v>1</v>
      </c>
      <c r="G8" s="66">
        <f>E8/4.41</f>
        <v>0.10105687965689616</v>
      </c>
      <c r="I8" s="66">
        <v>4.1729651162790695</v>
      </c>
      <c r="J8" s="66">
        <v>3.976627712854758</v>
      </c>
      <c r="K8" s="66">
        <v>3.2337461300309598</v>
      </c>
    </row>
    <row r="9" spans="1:12" x14ac:dyDescent="0.15">
      <c r="A9" s="65">
        <v>3849</v>
      </c>
      <c r="B9" s="65">
        <v>1067</v>
      </c>
      <c r="C9" s="66">
        <f>A9/B9</f>
        <v>3.6073102155576384</v>
      </c>
      <c r="I9" s="66">
        <v>3.6073102155576384</v>
      </c>
      <c r="J9" s="66">
        <v>5.1322580645161286</v>
      </c>
      <c r="K9" s="66">
        <v>3.2584973166368516</v>
      </c>
    </row>
    <row r="10" spans="1:12" x14ac:dyDescent="0.15">
      <c r="C10" s="66"/>
    </row>
    <row r="11" spans="1:12" x14ac:dyDescent="0.15">
      <c r="A11" s="36">
        <v>5481</v>
      </c>
      <c r="B11" s="36">
        <v>1095</v>
      </c>
      <c r="C11" s="66">
        <f>A11/B11</f>
        <v>5.0054794520547947</v>
      </c>
      <c r="I11" s="67"/>
      <c r="J11" s="36" t="s">
        <v>115</v>
      </c>
      <c r="K11" s="36" t="s">
        <v>116</v>
      </c>
    </row>
    <row r="12" spans="1:12" x14ac:dyDescent="0.15">
      <c r="A12" s="36">
        <v>4764</v>
      </c>
      <c r="B12" s="36">
        <v>1198</v>
      </c>
      <c r="C12" s="66">
        <f>A12/B12</f>
        <v>3.976627712854758</v>
      </c>
      <c r="D12" s="66">
        <f>AVERAGE(C11:C13)</f>
        <v>4.7047884098085611</v>
      </c>
      <c r="E12" s="66">
        <f>STDEV(C11:D13)/SQRT(3)</f>
        <v>0.29876847393762984</v>
      </c>
      <c r="F12" s="66">
        <f>D12/4.41</f>
        <v>1.0668454444010342</v>
      </c>
      <c r="G12" s="66">
        <f>E12/4.41</f>
        <v>6.7747953273838965E-2</v>
      </c>
      <c r="I12" s="68"/>
    </row>
    <row r="13" spans="1:12" x14ac:dyDescent="0.15">
      <c r="A13" s="36">
        <v>6364</v>
      </c>
      <c r="B13" s="36">
        <v>1240</v>
      </c>
      <c r="C13" s="66">
        <f>A13/B13</f>
        <v>5.1322580645161286</v>
      </c>
      <c r="F13" s="66"/>
      <c r="I13" s="68"/>
      <c r="J13" s="77" t="s">
        <v>120</v>
      </c>
      <c r="K13" s="78"/>
      <c r="L13" s="78"/>
    </row>
    <row r="14" spans="1:12" x14ac:dyDescent="0.15">
      <c r="C14" s="66"/>
      <c r="F14" s="66"/>
      <c r="I14" s="68"/>
      <c r="J14" s="78"/>
      <c r="K14" s="78"/>
      <c r="L14" s="78"/>
    </row>
    <row r="15" spans="1:12" x14ac:dyDescent="0.15">
      <c r="C15" s="66"/>
      <c r="F15" s="66"/>
      <c r="I15" s="68"/>
      <c r="J15" s="78"/>
      <c r="K15" s="78"/>
      <c r="L15" s="78"/>
    </row>
    <row r="16" spans="1:12" x14ac:dyDescent="0.15">
      <c r="A16" s="36">
        <v>4287</v>
      </c>
      <c r="B16" s="36">
        <v>1208</v>
      </c>
      <c r="C16" s="66">
        <f>A16/B16</f>
        <v>3.548841059602649</v>
      </c>
      <c r="F16" s="66"/>
      <c r="I16" s="68"/>
      <c r="J16" s="78"/>
      <c r="K16" s="78"/>
      <c r="L16" s="78"/>
    </row>
    <row r="17" spans="1:9" ht="16" x14ac:dyDescent="0.15">
      <c r="A17" s="36">
        <v>4178</v>
      </c>
      <c r="B17" s="36">
        <v>1292</v>
      </c>
      <c r="C17" s="66">
        <f>A17/B17</f>
        <v>3.2337461300309598</v>
      </c>
      <c r="D17" s="66">
        <f>AVERAGE(C16:C18)</f>
        <v>3.34702816875682</v>
      </c>
      <c r="E17" s="66">
        <f>STDEV(C16:D18)/SQRT(3)</f>
        <v>8.25960551832602E-2</v>
      </c>
      <c r="F17" s="66">
        <f>D17/4.41</f>
        <v>0.75896330357297503</v>
      </c>
      <c r="G17" s="66">
        <f>E17/4.41</f>
        <v>1.8729264213891202E-2</v>
      </c>
      <c r="I17" s="69"/>
    </row>
    <row r="18" spans="1:9" x14ac:dyDescent="0.15">
      <c r="A18" s="36">
        <v>3643</v>
      </c>
      <c r="B18" s="36">
        <v>1118</v>
      </c>
      <c r="C18" s="66">
        <f>A18/B18</f>
        <v>3.2584973166368516</v>
      </c>
    </row>
  </sheetData>
  <mergeCells count="1">
    <mergeCell ref="J13:L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SF6 key</vt:lpstr>
      <vt:lpstr>SF 6A GFP FC</vt:lpstr>
      <vt:lpstr>SF 6B GFP FC summary</vt:lpstr>
      <vt:lpstr>SF 6C 5'UTR hairpin FC</vt:lpstr>
      <vt:lpstr>SF 6D Hairpin FC summary</vt:lpstr>
      <vt:lpstr>SF 6E hairpin mRNA</vt:lpstr>
      <vt:lpstr>SF 6F Titred Hairpin FC</vt:lpstr>
      <vt:lpstr>SF 6G Titred hairpin mRNA</vt:lpstr>
    </vt:vector>
  </TitlesOfParts>
  <Company>Department of Biochemistry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Janaina Nascimento</dc:creator>
  <cp:lastModifiedBy>Microsoft Office User</cp:lastModifiedBy>
  <cp:lastPrinted>2017-08-02T20:08:29Z</cp:lastPrinted>
  <dcterms:created xsi:type="dcterms:W3CDTF">2014-11-18T17:55:53Z</dcterms:created>
  <dcterms:modified xsi:type="dcterms:W3CDTF">2018-02-21T16:34:15Z</dcterms:modified>
</cp:coreProperties>
</file>