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gian-lucamclelland/Documents/Fon Lab/My Manuscripts/16.01.21 Mfn2/eLife submission III/source data/"/>
    </mc:Choice>
  </mc:AlternateContent>
  <bookViews>
    <workbookView xWindow="640" yWindow="1180" windowWidth="24960" windowHeight="14740" tabRatio="500" activeTab="5"/>
  </bookViews>
  <sheets>
    <sheet name="1B to 1D" sheetId="1" r:id="rId1"/>
    <sheet name="1E" sheetId="2" r:id="rId2"/>
    <sheet name="1I" sheetId="3" r:id="rId3"/>
    <sheet name="1J" sheetId="4" r:id="rId4"/>
    <sheet name="1N" sheetId="5" r:id="rId5"/>
    <sheet name="1-S1B to D" sheetId="6" r:id="rId6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6" l="1"/>
  <c r="J4" i="6"/>
  <c r="N4" i="6"/>
  <c r="F5" i="6"/>
  <c r="J5" i="6"/>
  <c r="N5" i="6"/>
  <c r="F6" i="6"/>
  <c r="J6" i="6"/>
  <c r="N6" i="6"/>
  <c r="F7" i="6"/>
  <c r="J7" i="6"/>
  <c r="N7" i="6"/>
  <c r="F11" i="6"/>
  <c r="G11" i="6"/>
  <c r="K11" i="6"/>
  <c r="O11" i="6"/>
  <c r="F12" i="6"/>
  <c r="G12" i="6"/>
  <c r="J12" i="6"/>
  <c r="K12" i="6"/>
  <c r="O12" i="6"/>
  <c r="N13" i="6"/>
  <c r="J13" i="6"/>
  <c r="F13" i="6"/>
  <c r="G13" i="6"/>
  <c r="K13" i="6"/>
  <c r="O13" i="6"/>
  <c r="G14" i="6"/>
  <c r="K14" i="6"/>
  <c r="O14" i="6"/>
  <c r="F15" i="6"/>
  <c r="G15" i="6"/>
  <c r="N15" i="6"/>
  <c r="J15" i="6"/>
  <c r="K15" i="6"/>
  <c r="O15" i="6"/>
  <c r="N16" i="6"/>
  <c r="J16" i="6"/>
  <c r="F16" i="6"/>
  <c r="G16" i="6"/>
  <c r="K16" i="6"/>
  <c r="O16" i="6"/>
  <c r="N17" i="6"/>
  <c r="J17" i="6"/>
  <c r="F17" i="6"/>
  <c r="G17" i="6"/>
  <c r="K17" i="6"/>
  <c r="O17" i="6"/>
  <c r="G18" i="6"/>
  <c r="H18" i="6"/>
  <c r="K18" i="6"/>
  <c r="L18" i="6"/>
  <c r="O18" i="6"/>
  <c r="P18" i="6"/>
  <c r="J19" i="6"/>
  <c r="F19" i="6"/>
  <c r="G19" i="6"/>
  <c r="K19" i="6"/>
  <c r="O19" i="6"/>
  <c r="G20" i="6"/>
  <c r="K20" i="6"/>
  <c r="O20" i="6"/>
  <c r="J21" i="6"/>
  <c r="F21" i="6"/>
  <c r="G21" i="6"/>
  <c r="K21" i="6"/>
  <c r="O21" i="6"/>
  <c r="G22" i="6"/>
  <c r="K22" i="6"/>
  <c r="O22" i="6"/>
  <c r="J23" i="6"/>
  <c r="F23" i="6"/>
  <c r="G23" i="6"/>
  <c r="K23" i="6"/>
  <c r="O23" i="6"/>
  <c r="G24" i="6"/>
  <c r="K24" i="6"/>
  <c r="O24" i="6"/>
  <c r="N25" i="6"/>
  <c r="J25" i="6"/>
  <c r="F25" i="6"/>
  <c r="G25" i="6"/>
  <c r="K25" i="6"/>
  <c r="O25" i="6"/>
  <c r="N26" i="6"/>
  <c r="J26" i="6"/>
  <c r="F26" i="6"/>
  <c r="G26" i="6"/>
  <c r="K26" i="6"/>
  <c r="O26" i="6"/>
  <c r="F27" i="6"/>
  <c r="G27" i="6"/>
  <c r="K27" i="6"/>
  <c r="O27" i="6"/>
  <c r="N28" i="6"/>
  <c r="J28" i="6"/>
  <c r="F28" i="6"/>
  <c r="G28" i="6"/>
  <c r="K28" i="6"/>
  <c r="O28" i="6"/>
  <c r="F29" i="6"/>
  <c r="G29" i="6"/>
  <c r="K29" i="6"/>
  <c r="O29" i="6"/>
  <c r="N30" i="6"/>
  <c r="J30" i="6"/>
  <c r="F30" i="6"/>
  <c r="G30" i="6"/>
  <c r="K30" i="6"/>
  <c r="O30" i="6"/>
  <c r="F31" i="6"/>
  <c r="G31" i="6"/>
  <c r="K31" i="6"/>
  <c r="O31" i="6"/>
  <c r="J32" i="6"/>
  <c r="F32" i="6"/>
  <c r="G32" i="6"/>
  <c r="K32" i="6"/>
  <c r="O32" i="6"/>
  <c r="J33" i="6"/>
  <c r="F33" i="6"/>
  <c r="G33" i="6"/>
  <c r="K33" i="6"/>
  <c r="O33" i="6"/>
  <c r="J34" i="6"/>
  <c r="F34" i="6"/>
  <c r="G34" i="6"/>
  <c r="K34" i="6"/>
  <c r="O34" i="6"/>
  <c r="P34" i="6"/>
  <c r="F35" i="6"/>
  <c r="G35" i="6"/>
  <c r="K35" i="6"/>
  <c r="O35" i="6"/>
  <c r="J36" i="6"/>
  <c r="F36" i="6"/>
  <c r="G36" i="6"/>
  <c r="K36" i="6"/>
  <c r="O36" i="6"/>
  <c r="G37" i="6"/>
  <c r="H37" i="6"/>
  <c r="K37" i="6"/>
  <c r="L37" i="6"/>
  <c r="O37" i="6"/>
  <c r="P37" i="6"/>
  <c r="J38" i="6"/>
  <c r="F38" i="6"/>
  <c r="G38" i="6"/>
  <c r="K38" i="6"/>
  <c r="O38" i="6"/>
  <c r="J39" i="6"/>
  <c r="F39" i="6"/>
  <c r="G39" i="6"/>
  <c r="K39" i="6"/>
  <c r="O39" i="6"/>
  <c r="J40" i="6"/>
  <c r="F40" i="6"/>
  <c r="G40" i="6"/>
  <c r="K40" i="6"/>
  <c r="O40" i="6"/>
  <c r="J41" i="6"/>
  <c r="F41" i="6"/>
  <c r="G41" i="6"/>
  <c r="K41" i="6"/>
  <c r="O41" i="6"/>
  <c r="J42" i="6"/>
  <c r="F42" i="6"/>
  <c r="G42" i="6"/>
  <c r="K42" i="6"/>
  <c r="O42" i="6"/>
  <c r="J43" i="6"/>
  <c r="F43" i="6"/>
  <c r="G43" i="6"/>
  <c r="K43" i="6"/>
  <c r="O43" i="6"/>
  <c r="N44" i="6"/>
  <c r="J44" i="6"/>
  <c r="F44" i="6"/>
  <c r="G44" i="6"/>
  <c r="K44" i="6"/>
  <c r="O44" i="6"/>
  <c r="N45" i="6"/>
  <c r="J45" i="6"/>
  <c r="F45" i="6"/>
  <c r="G45" i="6"/>
  <c r="K45" i="6"/>
  <c r="O45" i="6"/>
  <c r="F46" i="6"/>
  <c r="G46" i="6"/>
  <c r="J46" i="6"/>
  <c r="K46" i="6"/>
  <c r="O46" i="6"/>
  <c r="N47" i="6"/>
  <c r="J47" i="6"/>
  <c r="F47" i="6"/>
  <c r="G47" i="6"/>
  <c r="K47" i="6"/>
  <c r="O47" i="6"/>
  <c r="N48" i="6"/>
  <c r="J48" i="6"/>
  <c r="F48" i="6"/>
  <c r="G48" i="6"/>
  <c r="K48" i="6"/>
  <c r="O48" i="6"/>
  <c r="N49" i="6"/>
  <c r="J49" i="6"/>
  <c r="F49" i="6"/>
  <c r="G49" i="6"/>
  <c r="K49" i="6"/>
  <c r="O49" i="6"/>
  <c r="J50" i="6"/>
  <c r="F50" i="6"/>
  <c r="G50" i="6"/>
  <c r="K50" i="6"/>
  <c r="O50" i="6"/>
  <c r="P50" i="6"/>
  <c r="J51" i="6"/>
  <c r="F51" i="6"/>
  <c r="G51" i="6"/>
  <c r="K51" i="6"/>
  <c r="O51" i="6"/>
  <c r="J52" i="6"/>
  <c r="F52" i="6"/>
  <c r="G52" i="6"/>
  <c r="K52" i="6"/>
  <c r="O52" i="6"/>
  <c r="J53" i="6"/>
  <c r="F53" i="6"/>
  <c r="G53" i="6"/>
  <c r="K53" i="6"/>
  <c r="O53" i="6"/>
  <c r="G54" i="6"/>
  <c r="K54" i="6"/>
  <c r="O54" i="6"/>
  <c r="J55" i="6"/>
  <c r="F55" i="6"/>
  <c r="G55" i="6"/>
  <c r="K55" i="6"/>
  <c r="O55" i="6"/>
  <c r="J56" i="6"/>
  <c r="F56" i="6"/>
  <c r="G56" i="6"/>
  <c r="K56" i="6"/>
  <c r="O56" i="6"/>
  <c r="J57" i="6"/>
  <c r="F57" i="6"/>
  <c r="G57" i="6"/>
  <c r="K57" i="6"/>
  <c r="O57" i="6"/>
  <c r="P57" i="6"/>
  <c r="J58" i="6"/>
  <c r="F58" i="6"/>
  <c r="G58" i="6"/>
  <c r="K58" i="6"/>
  <c r="O58" i="6"/>
  <c r="N59" i="6"/>
  <c r="J59" i="6"/>
  <c r="F59" i="6"/>
  <c r="G59" i="6"/>
  <c r="K59" i="6"/>
  <c r="O59" i="6"/>
  <c r="J60" i="6"/>
  <c r="F60" i="6"/>
  <c r="G60" i="6"/>
  <c r="K60" i="6"/>
  <c r="O60" i="6"/>
  <c r="G61" i="6"/>
  <c r="K61" i="6"/>
  <c r="O61" i="6"/>
  <c r="G62" i="6"/>
  <c r="K62" i="6"/>
  <c r="O62" i="6"/>
  <c r="J63" i="6"/>
  <c r="F63" i="6"/>
  <c r="G63" i="6"/>
  <c r="K63" i="6"/>
  <c r="O63" i="6"/>
  <c r="J64" i="6"/>
  <c r="F64" i="6"/>
  <c r="G64" i="6"/>
  <c r="K64" i="6"/>
  <c r="O64" i="6"/>
  <c r="N65" i="6"/>
  <c r="J65" i="6"/>
  <c r="F65" i="6"/>
  <c r="G65" i="6"/>
  <c r="K65" i="6"/>
  <c r="O65" i="6"/>
  <c r="N66" i="6"/>
  <c r="J66" i="6"/>
  <c r="F66" i="6"/>
  <c r="G66" i="6"/>
  <c r="K66" i="6"/>
  <c r="O66" i="6"/>
  <c r="J67" i="6"/>
  <c r="F67" i="6"/>
  <c r="G67" i="6"/>
  <c r="K67" i="6"/>
  <c r="O67" i="6"/>
  <c r="P67" i="6"/>
  <c r="J68" i="6"/>
  <c r="F68" i="6"/>
  <c r="G68" i="6"/>
  <c r="K68" i="6"/>
  <c r="O68" i="6"/>
  <c r="N69" i="6"/>
  <c r="J69" i="6"/>
  <c r="F69" i="6"/>
  <c r="G69" i="6"/>
  <c r="K69" i="6"/>
  <c r="O69" i="6"/>
  <c r="J70" i="6"/>
  <c r="F70" i="6"/>
  <c r="G70" i="6"/>
  <c r="K70" i="6"/>
  <c r="O70" i="6"/>
  <c r="J71" i="6"/>
  <c r="F71" i="6"/>
  <c r="G71" i="6"/>
  <c r="K71" i="6"/>
  <c r="O71" i="6"/>
  <c r="N72" i="6"/>
  <c r="J72" i="6"/>
  <c r="F72" i="6"/>
  <c r="G72" i="6"/>
  <c r="K72" i="6"/>
  <c r="O72" i="6"/>
  <c r="J73" i="6"/>
  <c r="F73" i="6"/>
  <c r="G73" i="6"/>
  <c r="K73" i="6"/>
  <c r="O73" i="6"/>
  <c r="N74" i="6"/>
  <c r="J74" i="6"/>
  <c r="F74" i="6"/>
  <c r="G74" i="6"/>
  <c r="K74" i="6"/>
  <c r="O74" i="6"/>
  <c r="J75" i="6"/>
  <c r="F75" i="6"/>
  <c r="G75" i="6"/>
  <c r="K75" i="6"/>
  <c r="O75" i="6"/>
  <c r="J76" i="6"/>
  <c r="F76" i="6"/>
  <c r="G76" i="6"/>
  <c r="K76" i="6"/>
  <c r="O76" i="6"/>
  <c r="J77" i="6"/>
  <c r="F77" i="6"/>
  <c r="G77" i="6"/>
  <c r="K77" i="6"/>
  <c r="O77" i="6"/>
  <c r="N78" i="6"/>
  <c r="J78" i="6"/>
  <c r="F78" i="6"/>
  <c r="G78" i="6"/>
  <c r="K78" i="6"/>
  <c r="O78" i="6"/>
  <c r="J79" i="6"/>
  <c r="F79" i="6"/>
  <c r="G79" i="6"/>
  <c r="K79" i="6"/>
  <c r="O79" i="6"/>
  <c r="J80" i="6"/>
  <c r="F80" i="6"/>
  <c r="G80" i="6"/>
  <c r="K80" i="6"/>
  <c r="O80" i="6"/>
  <c r="J81" i="6"/>
  <c r="F81" i="6"/>
  <c r="G81" i="6"/>
  <c r="K81" i="6"/>
  <c r="O81" i="6"/>
  <c r="G82" i="6"/>
  <c r="K82" i="6"/>
  <c r="O82" i="6"/>
  <c r="J83" i="6"/>
  <c r="F83" i="6"/>
  <c r="G83" i="6"/>
  <c r="K83" i="6"/>
  <c r="O83" i="6"/>
  <c r="J84" i="6"/>
  <c r="F84" i="6"/>
  <c r="G84" i="6"/>
  <c r="K84" i="6"/>
  <c r="O84" i="6"/>
  <c r="G85" i="6"/>
  <c r="K85" i="6"/>
  <c r="O85" i="6"/>
  <c r="F86" i="6"/>
  <c r="G86" i="6"/>
  <c r="K86" i="6"/>
  <c r="O86" i="6"/>
  <c r="J87" i="6"/>
  <c r="F87" i="6"/>
  <c r="G87" i="6"/>
  <c r="K87" i="6"/>
  <c r="O87" i="6"/>
  <c r="J88" i="6"/>
  <c r="F88" i="6"/>
  <c r="G88" i="6"/>
  <c r="K88" i="6"/>
  <c r="O88" i="6"/>
  <c r="N89" i="6"/>
  <c r="J89" i="6"/>
  <c r="F89" i="6"/>
  <c r="G89" i="6"/>
  <c r="K89" i="6"/>
  <c r="O89" i="6"/>
  <c r="J90" i="6"/>
  <c r="F90" i="6"/>
  <c r="G90" i="6"/>
  <c r="K90" i="6"/>
  <c r="O90" i="6"/>
  <c r="N91" i="6"/>
  <c r="J91" i="6"/>
  <c r="F91" i="6"/>
  <c r="G91" i="6"/>
  <c r="K91" i="6"/>
  <c r="O91" i="6"/>
  <c r="F92" i="6"/>
  <c r="G92" i="6"/>
  <c r="K92" i="6"/>
  <c r="O92" i="6"/>
  <c r="J93" i="6"/>
  <c r="F93" i="6"/>
  <c r="G93" i="6"/>
  <c r="K93" i="6"/>
  <c r="O93" i="6"/>
  <c r="G95" i="6"/>
  <c r="H95" i="6"/>
  <c r="K95" i="6"/>
  <c r="L95" i="6"/>
  <c r="O95" i="6"/>
  <c r="P95" i="6"/>
  <c r="G96" i="6"/>
  <c r="H96" i="6"/>
  <c r="K96" i="6"/>
  <c r="L96" i="6"/>
  <c r="O96" i="6"/>
  <c r="P96" i="6"/>
  <c r="J99" i="6"/>
  <c r="F99" i="6"/>
  <c r="G99" i="6"/>
  <c r="H99" i="6"/>
  <c r="K99" i="6"/>
  <c r="L99" i="6"/>
  <c r="O99" i="6"/>
  <c r="P99" i="6"/>
  <c r="J100" i="6"/>
  <c r="F100" i="6"/>
  <c r="G100" i="6"/>
  <c r="K100" i="6"/>
  <c r="O100" i="6"/>
  <c r="G101" i="6"/>
  <c r="K101" i="6"/>
  <c r="O101" i="6"/>
  <c r="G102" i="6"/>
  <c r="K102" i="6"/>
  <c r="O102" i="6"/>
  <c r="N103" i="6"/>
  <c r="J103" i="6"/>
  <c r="F103" i="6"/>
  <c r="G103" i="6"/>
  <c r="K103" i="6"/>
  <c r="O103" i="6"/>
  <c r="G104" i="6"/>
  <c r="K104" i="6"/>
  <c r="O104" i="6"/>
  <c r="G105" i="6"/>
  <c r="H105" i="6"/>
  <c r="K105" i="6"/>
  <c r="L105" i="6"/>
  <c r="O105" i="6"/>
  <c r="G106" i="6"/>
  <c r="K106" i="6"/>
  <c r="O106" i="6"/>
  <c r="G107" i="6"/>
  <c r="H107" i="6"/>
  <c r="K107" i="6"/>
  <c r="L107" i="6"/>
  <c r="O107" i="6"/>
  <c r="G108" i="6"/>
  <c r="K108" i="6"/>
  <c r="O108" i="6"/>
  <c r="G109" i="6"/>
  <c r="K109" i="6"/>
  <c r="O109" i="6"/>
  <c r="G110" i="6"/>
  <c r="K110" i="6"/>
  <c r="O110" i="6"/>
  <c r="G111" i="6"/>
  <c r="K111" i="6"/>
  <c r="O111" i="6"/>
  <c r="G112" i="6"/>
  <c r="K112" i="6"/>
  <c r="O112" i="6"/>
  <c r="G113" i="6"/>
  <c r="K113" i="6"/>
  <c r="O113" i="6"/>
  <c r="F114" i="6"/>
  <c r="G114" i="6"/>
  <c r="K114" i="6"/>
  <c r="O114" i="6"/>
  <c r="G115" i="6"/>
  <c r="H115" i="6"/>
  <c r="K115" i="6"/>
  <c r="L115" i="6"/>
  <c r="O115" i="6"/>
  <c r="P115" i="6"/>
  <c r="G116" i="6"/>
  <c r="K116" i="6"/>
  <c r="O116" i="6"/>
  <c r="G117" i="6"/>
  <c r="K117" i="6"/>
  <c r="O117" i="6"/>
  <c r="G118" i="6"/>
  <c r="K118" i="6"/>
  <c r="O118" i="6"/>
  <c r="G119" i="6"/>
  <c r="K119" i="6"/>
  <c r="O119" i="6"/>
  <c r="G120" i="6"/>
  <c r="K120" i="6"/>
  <c r="O120" i="6"/>
  <c r="G121" i="6"/>
  <c r="K121" i="6"/>
  <c r="O121" i="6"/>
  <c r="G122" i="6"/>
  <c r="K122" i="6"/>
  <c r="O122" i="6"/>
  <c r="F123" i="6"/>
  <c r="G123" i="6"/>
  <c r="K123" i="6"/>
  <c r="O123" i="6"/>
  <c r="G124" i="6"/>
  <c r="K124" i="6"/>
  <c r="O124" i="6"/>
  <c r="G125" i="6"/>
  <c r="K125" i="6"/>
  <c r="O125" i="6"/>
  <c r="G126" i="6"/>
  <c r="K126" i="6"/>
  <c r="O126" i="6"/>
  <c r="J127" i="6"/>
  <c r="F127" i="6"/>
  <c r="G127" i="6"/>
  <c r="K127" i="6"/>
  <c r="O127" i="6"/>
  <c r="G128" i="6"/>
  <c r="H128" i="6"/>
  <c r="K128" i="6"/>
  <c r="L128" i="6"/>
  <c r="O128" i="6"/>
  <c r="G129" i="6"/>
  <c r="K129" i="6"/>
  <c r="O129" i="6"/>
  <c r="J130" i="6"/>
  <c r="F130" i="6"/>
  <c r="G130" i="6"/>
  <c r="K130" i="6"/>
  <c r="O130" i="6"/>
  <c r="G131" i="6"/>
  <c r="K131" i="6"/>
  <c r="O131" i="6"/>
  <c r="G132" i="6"/>
  <c r="K132" i="6"/>
  <c r="O132" i="6"/>
  <c r="G133" i="6"/>
  <c r="K133" i="6"/>
  <c r="O133" i="6"/>
  <c r="G134" i="6"/>
  <c r="H134" i="6"/>
  <c r="K134" i="6"/>
  <c r="L134" i="6"/>
  <c r="O134" i="6"/>
  <c r="P134" i="6"/>
  <c r="G135" i="6"/>
  <c r="K135" i="6"/>
  <c r="O135" i="6"/>
  <c r="J136" i="6"/>
  <c r="F136" i="6"/>
  <c r="G136" i="6"/>
  <c r="K136" i="6"/>
  <c r="O136" i="6"/>
  <c r="G137" i="6"/>
  <c r="K137" i="6"/>
  <c r="O137" i="6"/>
  <c r="G138" i="6"/>
  <c r="K138" i="6"/>
  <c r="O138" i="6"/>
  <c r="G139" i="6"/>
  <c r="K139" i="6"/>
  <c r="O139" i="6"/>
  <c r="G140" i="6"/>
  <c r="K140" i="6"/>
  <c r="O140" i="6"/>
  <c r="G141" i="6"/>
  <c r="K141" i="6"/>
  <c r="O141" i="6"/>
  <c r="G142" i="6"/>
  <c r="H142" i="6"/>
  <c r="K142" i="6"/>
  <c r="L142" i="6"/>
  <c r="O142" i="6"/>
  <c r="P142" i="6"/>
  <c r="G143" i="6"/>
  <c r="K143" i="6"/>
  <c r="O143" i="6"/>
  <c r="G144" i="6"/>
  <c r="K144" i="6"/>
  <c r="O144" i="6"/>
  <c r="G145" i="6"/>
  <c r="K145" i="6"/>
  <c r="O145" i="6"/>
  <c r="G146" i="6"/>
  <c r="K146" i="6"/>
  <c r="O146" i="6"/>
  <c r="G147" i="6"/>
  <c r="K147" i="6"/>
  <c r="O147" i="6"/>
  <c r="G148" i="6"/>
  <c r="K148" i="6"/>
  <c r="O148" i="6"/>
  <c r="G149" i="6"/>
  <c r="K149" i="6"/>
  <c r="O149" i="6"/>
  <c r="G150" i="6"/>
  <c r="K150" i="6"/>
  <c r="O150" i="6"/>
  <c r="G151" i="6"/>
  <c r="K151" i="6"/>
  <c r="O151" i="6"/>
  <c r="G152" i="6"/>
  <c r="K152" i="6"/>
  <c r="O152" i="6"/>
  <c r="G153" i="6"/>
  <c r="H153" i="6"/>
  <c r="K153" i="6"/>
  <c r="L153" i="6"/>
  <c r="O153" i="6"/>
  <c r="P153" i="6"/>
  <c r="G154" i="6"/>
  <c r="K154" i="6"/>
  <c r="O154" i="6"/>
  <c r="G155" i="6"/>
  <c r="K155" i="6"/>
  <c r="O155" i="6"/>
  <c r="G156" i="6"/>
  <c r="K156" i="6"/>
  <c r="O156" i="6"/>
  <c r="G157" i="6"/>
  <c r="K157" i="6"/>
  <c r="O157" i="6"/>
  <c r="G158" i="6"/>
  <c r="K158" i="6"/>
  <c r="O158" i="6"/>
  <c r="G159" i="6"/>
  <c r="K159" i="6"/>
  <c r="O159" i="6"/>
  <c r="G160" i="6"/>
  <c r="K160" i="6"/>
  <c r="O160" i="6"/>
  <c r="G161" i="6"/>
  <c r="K161" i="6"/>
  <c r="O161" i="6"/>
  <c r="G162" i="6"/>
  <c r="K162" i="6"/>
  <c r="O162" i="6"/>
  <c r="N163" i="6"/>
  <c r="J163" i="6"/>
  <c r="F163" i="6"/>
  <c r="G163" i="6"/>
  <c r="H163" i="6"/>
  <c r="K163" i="6"/>
  <c r="L163" i="6"/>
  <c r="O163" i="6"/>
  <c r="P163" i="6"/>
  <c r="G164" i="6"/>
  <c r="K164" i="6"/>
  <c r="O164" i="6"/>
  <c r="G165" i="6"/>
  <c r="K165" i="6"/>
  <c r="O165" i="6"/>
  <c r="J166" i="6"/>
  <c r="F166" i="6"/>
  <c r="G166" i="6"/>
  <c r="K166" i="6"/>
  <c r="O166" i="6"/>
  <c r="G167" i="6"/>
  <c r="K167" i="6"/>
  <c r="O167" i="6"/>
  <c r="F168" i="6"/>
  <c r="G168" i="6"/>
  <c r="K168" i="6"/>
  <c r="O168" i="6"/>
  <c r="G169" i="6"/>
  <c r="K169" i="6"/>
  <c r="O169" i="6"/>
  <c r="G170" i="6"/>
  <c r="K170" i="6"/>
  <c r="O170" i="6"/>
  <c r="G171" i="6"/>
  <c r="K171" i="6"/>
  <c r="O171" i="6"/>
  <c r="G172" i="6"/>
  <c r="K172" i="6"/>
  <c r="O172" i="6"/>
  <c r="G173" i="6"/>
  <c r="K173" i="6"/>
  <c r="O173" i="6"/>
  <c r="J174" i="6"/>
  <c r="F174" i="6"/>
  <c r="G174" i="6"/>
  <c r="K174" i="6"/>
  <c r="L174" i="6"/>
  <c r="O174" i="6"/>
  <c r="P174" i="6"/>
  <c r="J175" i="6"/>
  <c r="F175" i="6"/>
  <c r="G175" i="6"/>
  <c r="K175" i="6"/>
  <c r="O175" i="6"/>
  <c r="G176" i="6"/>
  <c r="K176" i="6"/>
  <c r="O176" i="6"/>
  <c r="G177" i="6"/>
  <c r="K177" i="6"/>
  <c r="O177" i="6"/>
  <c r="J178" i="6"/>
  <c r="F178" i="6"/>
  <c r="G178" i="6"/>
  <c r="K178" i="6"/>
  <c r="O178" i="6"/>
  <c r="G179" i="6"/>
  <c r="K179" i="6"/>
  <c r="O179" i="6"/>
  <c r="G180" i="6"/>
  <c r="H180" i="6"/>
  <c r="K180" i="6"/>
  <c r="L180" i="6"/>
  <c r="O180" i="6"/>
  <c r="P180" i="6"/>
  <c r="G181" i="6"/>
  <c r="K181" i="6"/>
  <c r="O181" i="6"/>
  <c r="G182" i="6"/>
  <c r="K182" i="6"/>
  <c r="O182" i="6"/>
  <c r="G183" i="6"/>
  <c r="K183" i="6"/>
  <c r="O183" i="6"/>
  <c r="G184" i="6"/>
  <c r="K184" i="6"/>
  <c r="O184" i="6"/>
  <c r="G185" i="6"/>
  <c r="K185" i="6"/>
  <c r="O185" i="6"/>
  <c r="G186" i="6"/>
  <c r="K186" i="6"/>
  <c r="O186" i="6"/>
  <c r="G187" i="6"/>
  <c r="K187" i="6"/>
  <c r="O187" i="6"/>
  <c r="G188" i="6"/>
  <c r="K188" i="6"/>
  <c r="O188" i="6"/>
  <c r="G189" i="6"/>
  <c r="K189" i="6"/>
  <c r="O189" i="6"/>
  <c r="G190" i="6"/>
  <c r="H190" i="6"/>
  <c r="K190" i="6"/>
  <c r="L190" i="6"/>
  <c r="O190" i="6"/>
  <c r="G191" i="6"/>
  <c r="K191" i="6"/>
  <c r="O191" i="6"/>
  <c r="G192" i="6"/>
  <c r="K192" i="6"/>
  <c r="O192" i="6"/>
  <c r="G193" i="6"/>
  <c r="K193" i="6"/>
  <c r="O193" i="6"/>
  <c r="G194" i="6"/>
  <c r="K194" i="6"/>
  <c r="O194" i="6"/>
  <c r="G195" i="6"/>
  <c r="K195" i="6"/>
  <c r="O195" i="6"/>
  <c r="G196" i="6"/>
  <c r="K196" i="6"/>
  <c r="O196" i="6"/>
  <c r="G197" i="6"/>
  <c r="K197" i="6"/>
  <c r="O197" i="6"/>
  <c r="G198" i="6"/>
  <c r="K198" i="6"/>
  <c r="O198" i="6"/>
  <c r="G199" i="6"/>
  <c r="K199" i="6"/>
  <c r="O199" i="6"/>
  <c r="G200" i="6"/>
  <c r="K200" i="6"/>
  <c r="O200" i="6"/>
  <c r="G201" i="6"/>
  <c r="K201" i="6"/>
  <c r="O201" i="6"/>
  <c r="G202" i="6"/>
  <c r="K202" i="6"/>
  <c r="O202" i="6"/>
  <c r="G203" i="6"/>
  <c r="H203" i="6"/>
  <c r="K203" i="6"/>
  <c r="L203" i="6"/>
  <c r="O203" i="6"/>
  <c r="P203" i="6"/>
  <c r="G204" i="6"/>
  <c r="K204" i="6"/>
  <c r="O204" i="6"/>
  <c r="G205" i="6"/>
  <c r="K205" i="6"/>
  <c r="O205" i="6"/>
  <c r="G206" i="6"/>
  <c r="K206" i="6"/>
  <c r="O206" i="6"/>
  <c r="G207" i="6"/>
  <c r="H207" i="6"/>
  <c r="K207" i="6"/>
  <c r="L207" i="6"/>
  <c r="O207" i="6"/>
  <c r="P207" i="6"/>
  <c r="G208" i="6"/>
  <c r="K208" i="6"/>
  <c r="O208" i="6"/>
  <c r="G209" i="6"/>
  <c r="K209" i="6"/>
  <c r="O209" i="6"/>
  <c r="G210" i="6"/>
  <c r="K210" i="6"/>
  <c r="O210" i="6"/>
  <c r="G211" i="6"/>
  <c r="K211" i="6"/>
  <c r="O211" i="6"/>
  <c r="G212" i="6"/>
  <c r="K212" i="6"/>
  <c r="O212" i="6"/>
  <c r="G213" i="6"/>
  <c r="K213" i="6"/>
  <c r="O213" i="6"/>
  <c r="G214" i="6"/>
  <c r="H214" i="6"/>
  <c r="K214" i="6"/>
  <c r="L214" i="6"/>
  <c r="O214" i="6"/>
  <c r="P214" i="6"/>
  <c r="J215" i="6"/>
  <c r="F215" i="6"/>
  <c r="G215" i="6"/>
  <c r="K215" i="6"/>
  <c r="O215" i="6"/>
  <c r="G216" i="6"/>
  <c r="K216" i="6"/>
  <c r="O216" i="6"/>
  <c r="G217" i="6"/>
  <c r="K217" i="6"/>
  <c r="O217" i="6"/>
  <c r="G218" i="6"/>
  <c r="K218" i="6"/>
  <c r="O218" i="6"/>
  <c r="G219" i="6"/>
  <c r="K219" i="6"/>
  <c r="O219" i="6"/>
  <c r="G220" i="6"/>
  <c r="K220" i="6"/>
  <c r="O220" i="6"/>
  <c r="G221" i="6"/>
  <c r="K221" i="6"/>
  <c r="O221" i="6"/>
  <c r="G222" i="6"/>
  <c r="K222" i="6"/>
  <c r="O222" i="6"/>
  <c r="G223" i="6"/>
  <c r="H223" i="6"/>
  <c r="K223" i="6"/>
  <c r="L223" i="6"/>
  <c r="O223" i="6"/>
  <c r="P223" i="6"/>
  <c r="G224" i="6"/>
  <c r="K224" i="6"/>
  <c r="O224" i="6"/>
  <c r="G225" i="6"/>
  <c r="K225" i="6"/>
  <c r="O225" i="6"/>
  <c r="G226" i="6"/>
  <c r="K226" i="6"/>
  <c r="O226" i="6"/>
  <c r="G227" i="6"/>
  <c r="K227" i="6"/>
  <c r="O227" i="6"/>
  <c r="G228" i="6"/>
  <c r="K228" i="6"/>
  <c r="O228" i="6"/>
  <c r="F229" i="6"/>
  <c r="G229" i="6"/>
  <c r="K229" i="6"/>
  <c r="O229" i="6"/>
  <c r="G230" i="6"/>
  <c r="K230" i="6"/>
  <c r="O230" i="6"/>
  <c r="G231" i="6"/>
  <c r="K231" i="6"/>
  <c r="O231" i="6"/>
  <c r="G232" i="6"/>
  <c r="K232" i="6"/>
  <c r="O232" i="6"/>
  <c r="G233" i="6"/>
  <c r="K233" i="6"/>
  <c r="O233" i="6"/>
  <c r="G234" i="6"/>
  <c r="K234" i="6"/>
  <c r="O234" i="6"/>
  <c r="G235" i="6"/>
  <c r="K235" i="6"/>
  <c r="O235" i="6"/>
  <c r="G236" i="6"/>
  <c r="K236" i="6"/>
  <c r="O236" i="6"/>
  <c r="G237" i="6"/>
  <c r="K237" i="6"/>
  <c r="O237" i="6"/>
  <c r="F238" i="6"/>
  <c r="G238" i="6"/>
  <c r="J238" i="6"/>
  <c r="K238" i="6"/>
  <c r="O238" i="6"/>
  <c r="G239" i="6"/>
  <c r="K239" i="6"/>
  <c r="O239" i="6"/>
  <c r="G240" i="6"/>
  <c r="H240" i="6"/>
  <c r="K240" i="6"/>
  <c r="L240" i="6"/>
  <c r="O240" i="6"/>
  <c r="P240" i="6"/>
  <c r="G241" i="6"/>
  <c r="K241" i="6"/>
  <c r="O241" i="6"/>
  <c r="G242" i="6"/>
  <c r="K242" i="6"/>
  <c r="O242" i="6"/>
  <c r="G243" i="6"/>
  <c r="K243" i="6"/>
  <c r="O243" i="6"/>
  <c r="G244" i="6"/>
  <c r="K244" i="6"/>
  <c r="O244" i="6"/>
  <c r="G245" i="6"/>
  <c r="K245" i="6"/>
  <c r="O245" i="6"/>
  <c r="G246" i="6"/>
  <c r="K246" i="6"/>
  <c r="O246" i="6"/>
  <c r="F247" i="6"/>
  <c r="G247" i="6"/>
  <c r="K247" i="6"/>
  <c r="O247" i="6"/>
  <c r="J248" i="6"/>
  <c r="F248" i="6"/>
  <c r="G248" i="6"/>
  <c r="K248" i="6"/>
  <c r="O248" i="6"/>
  <c r="G250" i="6"/>
  <c r="H250" i="6"/>
  <c r="K250" i="6"/>
  <c r="L250" i="6"/>
  <c r="O250" i="6"/>
  <c r="P250" i="6"/>
  <c r="G251" i="6"/>
  <c r="H251" i="6"/>
  <c r="K251" i="6"/>
  <c r="L251" i="6"/>
  <c r="O251" i="6"/>
  <c r="P251" i="6"/>
  <c r="C255" i="6"/>
  <c r="D255" i="6"/>
  <c r="C256" i="6"/>
  <c r="D256" i="6"/>
  <c r="C257" i="6"/>
  <c r="D257" i="6"/>
  <c r="F255" i="6"/>
  <c r="C258" i="6"/>
  <c r="D258" i="6"/>
  <c r="C259" i="6"/>
  <c r="D259" i="6"/>
  <c r="C260" i="6"/>
  <c r="D260" i="6"/>
  <c r="F258" i="6"/>
  <c r="F5" i="5"/>
  <c r="I5" i="5"/>
  <c r="J5" i="5"/>
  <c r="E6" i="5"/>
  <c r="F6" i="5"/>
  <c r="I6" i="5"/>
  <c r="J6" i="5"/>
  <c r="F7" i="5"/>
  <c r="I7" i="5"/>
  <c r="J7" i="5"/>
  <c r="E8" i="5"/>
  <c r="F8" i="5"/>
  <c r="I8" i="5"/>
  <c r="J8" i="5"/>
  <c r="E9" i="5"/>
  <c r="F9" i="5"/>
  <c r="I9" i="5"/>
  <c r="J9" i="5"/>
  <c r="E10" i="5"/>
  <c r="F10" i="5"/>
  <c r="I10" i="5"/>
  <c r="J10" i="5"/>
  <c r="E11" i="5"/>
  <c r="F11" i="5"/>
  <c r="I11" i="5"/>
  <c r="J11" i="5"/>
  <c r="F12" i="5"/>
  <c r="I12" i="5"/>
  <c r="J12" i="5"/>
  <c r="E13" i="5"/>
  <c r="F13" i="5"/>
  <c r="I13" i="5"/>
  <c r="J13" i="5"/>
  <c r="E14" i="5"/>
  <c r="F14" i="5"/>
  <c r="I14" i="5"/>
  <c r="J14" i="5"/>
  <c r="E15" i="5"/>
  <c r="F15" i="5"/>
  <c r="I15" i="5"/>
  <c r="J15" i="5"/>
  <c r="E16" i="5"/>
  <c r="F16" i="5"/>
  <c r="I16" i="5"/>
  <c r="J16" i="5"/>
  <c r="E17" i="5"/>
  <c r="F17" i="5"/>
  <c r="I17" i="5"/>
  <c r="J17" i="5"/>
  <c r="F18" i="5"/>
  <c r="I18" i="5"/>
  <c r="J18" i="5"/>
  <c r="F19" i="5"/>
  <c r="I19" i="5"/>
  <c r="J19" i="5"/>
  <c r="E20" i="5"/>
  <c r="F20" i="5"/>
  <c r="I20" i="5"/>
  <c r="J20" i="5"/>
  <c r="E21" i="5"/>
  <c r="F21" i="5"/>
  <c r="I21" i="5"/>
  <c r="J21" i="5"/>
  <c r="E22" i="5"/>
  <c r="F22" i="5"/>
  <c r="I22" i="5"/>
  <c r="J22" i="5"/>
  <c r="E23" i="5"/>
  <c r="F23" i="5"/>
  <c r="I23" i="5"/>
  <c r="J23" i="5"/>
  <c r="F24" i="5"/>
  <c r="I24" i="5"/>
  <c r="J24" i="5"/>
  <c r="E25" i="5"/>
  <c r="F25" i="5"/>
  <c r="I25" i="5"/>
  <c r="J25" i="5"/>
  <c r="E26" i="5"/>
  <c r="F26" i="5"/>
  <c r="I26" i="5"/>
  <c r="J26" i="5"/>
  <c r="F27" i="5"/>
  <c r="I27" i="5"/>
  <c r="J27" i="5"/>
  <c r="E28" i="5"/>
  <c r="F28" i="5"/>
  <c r="I28" i="5"/>
  <c r="J28" i="5"/>
  <c r="E29" i="5"/>
  <c r="F29" i="5"/>
  <c r="I29" i="5"/>
  <c r="J29" i="5"/>
  <c r="F30" i="5"/>
  <c r="I30" i="5"/>
  <c r="J30" i="5"/>
  <c r="E31" i="5"/>
  <c r="F31" i="5"/>
  <c r="I31" i="5"/>
  <c r="J31" i="5"/>
  <c r="F32" i="5"/>
  <c r="I32" i="5"/>
  <c r="J32" i="5"/>
  <c r="F33" i="5"/>
  <c r="I33" i="5"/>
  <c r="J33" i="5"/>
  <c r="E34" i="5"/>
  <c r="F34" i="5"/>
  <c r="I34" i="5"/>
  <c r="J34" i="5"/>
  <c r="E35" i="5"/>
  <c r="F35" i="5"/>
  <c r="I35" i="5"/>
  <c r="J35" i="5"/>
  <c r="E36" i="5"/>
  <c r="F36" i="5"/>
  <c r="I36" i="5"/>
  <c r="J36" i="5"/>
  <c r="F37" i="5"/>
  <c r="I37" i="5"/>
  <c r="J37" i="5"/>
  <c r="E38" i="5"/>
  <c r="F38" i="5"/>
  <c r="I38" i="5"/>
  <c r="J38" i="5"/>
  <c r="E39" i="5"/>
  <c r="F39" i="5"/>
  <c r="I39" i="5"/>
  <c r="J39" i="5"/>
  <c r="E40" i="5"/>
  <c r="F40" i="5"/>
  <c r="I40" i="5"/>
  <c r="J40" i="5"/>
  <c r="E41" i="5"/>
  <c r="F41" i="5"/>
  <c r="I41" i="5"/>
  <c r="J41" i="5"/>
  <c r="E42" i="5"/>
  <c r="F42" i="5"/>
  <c r="I42" i="5"/>
  <c r="J42" i="5"/>
  <c r="E43" i="5"/>
  <c r="F43" i="5"/>
  <c r="I43" i="5"/>
  <c r="J43" i="5"/>
  <c r="E44" i="5"/>
  <c r="F44" i="5"/>
  <c r="I44" i="5"/>
  <c r="J44" i="5"/>
  <c r="E45" i="5"/>
  <c r="F45" i="5"/>
  <c r="I45" i="5"/>
  <c r="J45" i="5"/>
  <c r="E46" i="5"/>
  <c r="F46" i="5"/>
  <c r="I46" i="5"/>
  <c r="J46" i="5"/>
  <c r="E47" i="5"/>
  <c r="F47" i="5"/>
  <c r="I47" i="5"/>
  <c r="J47" i="5"/>
  <c r="E48" i="5"/>
  <c r="F48" i="5"/>
  <c r="I48" i="5"/>
  <c r="J48" i="5"/>
  <c r="E49" i="5"/>
  <c r="F49" i="5"/>
  <c r="I49" i="5"/>
  <c r="J49" i="5"/>
  <c r="E50" i="5"/>
  <c r="F50" i="5"/>
  <c r="I50" i="5"/>
  <c r="J50" i="5"/>
  <c r="F51" i="5"/>
  <c r="I51" i="5"/>
  <c r="J51" i="5"/>
  <c r="F52" i="5"/>
  <c r="I52" i="5"/>
  <c r="J52" i="5"/>
  <c r="F53" i="5"/>
  <c r="I53" i="5"/>
  <c r="J53" i="5"/>
  <c r="E54" i="5"/>
  <c r="F54" i="5"/>
  <c r="I54" i="5"/>
  <c r="J54" i="5"/>
  <c r="E55" i="5"/>
  <c r="F55" i="5"/>
  <c r="I55" i="5"/>
  <c r="J55" i="5"/>
  <c r="E56" i="5"/>
  <c r="F56" i="5"/>
  <c r="I56" i="5"/>
  <c r="J56" i="5"/>
  <c r="F57" i="5"/>
  <c r="I57" i="5"/>
  <c r="J57" i="5"/>
  <c r="E58" i="5"/>
  <c r="F58" i="5"/>
  <c r="I58" i="5"/>
  <c r="J58" i="5"/>
  <c r="F59" i="5"/>
  <c r="I59" i="5"/>
  <c r="J59" i="5"/>
  <c r="E60" i="5"/>
  <c r="F60" i="5"/>
  <c r="I60" i="5"/>
  <c r="J60" i="5"/>
  <c r="E61" i="5"/>
  <c r="F61" i="5"/>
  <c r="I61" i="5"/>
  <c r="J61" i="5"/>
  <c r="E62" i="5"/>
  <c r="F62" i="5"/>
  <c r="I62" i="5"/>
  <c r="J62" i="5"/>
  <c r="E63" i="5"/>
  <c r="F63" i="5"/>
  <c r="I63" i="5"/>
  <c r="J63" i="5"/>
  <c r="F64" i="5"/>
  <c r="I64" i="5"/>
  <c r="J64" i="5"/>
  <c r="E65" i="5"/>
  <c r="F65" i="5"/>
  <c r="I65" i="5"/>
  <c r="J65" i="5"/>
  <c r="E66" i="5"/>
  <c r="F66" i="5"/>
  <c r="I66" i="5"/>
  <c r="J66" i="5"/>
  <c r="F67" i="5"/>
  <c r="I67" i="5"/>
  <c r="J67" i="5"/>
  <c r="F68" i="5"/>
  <c r="I68" i="5"/>
  <c r="J68" i="5"/>
  <c r="E69" i="5"/>
  <c r="F69" i="5"/>
  <c r="I69" i="5"/>
  <c r="J69" i="5"/>
  <c r="F70" i="5"/>
  <c r="I70" i="5"/>
  <c r="J70" i="5"/>
  <c r="F71" i="5"/>
  <c r="I71" i="5"/>
  <c r="J71" i="5"/>
  <c r="E72" i="5"/>
  <c r="F72" i="5"/>
  <c r="I72" i="5"/>
  <c r="J72" i="5"/>
  <c r="F73" i="5"/>
  <c r="I73" i="5"/>
  <c r="J73" i="5"/>
  <c r="F74" i="5"/>
  <c r="I74" i="5"/>
  <c r="J74" i="5"/>
  <c r="E75" i="5"/>
  <c r="F75" i="5"/>
  <c r="I75" i="5"/>
  <c r="J75" i="5"/>
  <c r="E76" i="5"/>
  <c r="F76" i="5"/>
  <c r="I76" i="5"/>
  <c r="J76" i="5"/>
  <c r="E77" i="5"/>
  <c r="F77" i="5"/>
  <c r="I77" i="5"/>
  <c r="J77" i="5"/>
  <c r="E78" i="5"/>
  <c r="F78" i="5"/>
  <c r="H78" i="5"/>
  <c r="I78" i="5"/>
  <c r="J78" i="5"/>
  <c r="F79" i="5"/>
  <c r="I79" i="5"/>
  <c r="J79" i="5"/>
  <c r="F80" i="5"/>
  <c r="I80" i="5"/>
  <c r="J80" i="5"/>
  <c r="E81" i="5"/>
  <c r="F81" i="5"/>
  <c r="I81" i="5"/>
  <c r="J81" i="5"/>
  <c r="E82" i="5"/>
  <c r="F82" i="5"/>
  <c r="I82" i="5"/>
  <c r="J82" i="5"/>
  <c r="E83" i="5"/>
  <c r="F83" i="5"/>
  <c r="I83" i="5"/>
  <c r="J83" i="5"/>
  <c r="F84" i="5"/>
  <c r="I84" i="5"/>
  <c r="J84" i="5"/>
  <c r="E85" i="5"/>
  <c r="F85" i="5"/>
  <c r="I85" i="5"/>
  <c r="J85" i="5"/>
  <c r="E86" i="5"/>
  <c r="F86" i="5"/>
  <c r="I86" i="5"/>
  <c r="J86" i="5"/>
  <c r="E87" i="5"/>
  <c r="F87" i="5"/>
  <c r="I87" i="5"/>
  <c r="J87" i="5"/>
  <c r="E88" i="5"/>
  <c r="F88" i="5"/>
  <c r="I88" i="5"/>
  <c r="J88" i="5"/>
  <c r="F89" i="5"/>
  <c r="I89" i="5"/>
  <c r="J89" i="5"/>
  <c r="F90" i="5"/>
  <c r="I90" i="5"/>
  <c r="J90" i="5"/>
  <c r="E91" i="5"/>
  <c r="F91" i="5"/>
  <c r="H91" i="5"/>
  <c r="I91" i="5"/>
  <c r="J91" i="5"/>
  <c r="F92" i="5"/>
  <c r="I92" i="5"/>
  <c r="J92" i="5"/>
  <c r="E93" i="5"/>
  <c r="F93" i="5"/>
  <c r="I93" i="5"/>
  <c r="J93" i="5"/>
  <c r="F94" i="5"/>
  <c r="I94" i="5"/>
  <c r="J94" i="5"/>
  <c r="F95" i="5"/>
  <c r="I95" i="5"/>
  <c r="J95" i="5"/>
  <c r="F96" i="5"/>
  <c r="I96" i="5"/>
  <c r="J96" i="5"/>
  <c r="F97" i="5"/>
  <c r="I97" i="5"/>
  <c r="J97" i="5"/>
  <c r="F98" i="5"/>
  <c r="I98" i="5"/>
  <c r="J98" i="5"/>
  <c r="E99" i="5"/>
  <c r="F99" i="5"/>
  <c r="I99" i="5"/>
  <c r="J99" i="5"/>
  <c r="E100" i="5"/>
  <c r="F100" i="5"/>
  <c r="I100" i="5"/>
  <c r="J100" i="5"/>
  <c r="D102" i="5"/>
  <c r="E102" i="5"/>
  <c r="F102" i="5"/>
  <c r="H102" i="5"/>
  <c r="I102" i="5"/>
  <c r="J102" i="5"/>
  <c r="D103" i="5"/>
  <c r="E103" i="5"/>
  <c r="F103" i="5"/>
  <c r="H103" i="5"/>
  <c r="I103" i="5"/>
  <c r="J103" i="5"/>
  <c r="E107" i="5"/>
  <c r="F107" i="5"/>
  <c r="I107" i="5"/>
  <c r="J107" i="5"/>
  <c r="F108" i="5"/>
  <c r="I108" i="5"/>
  <c r="J108" i="5"/>
  <c r="E109" i="5"/>
  <c r="F109" i="5"/>
  <c r="I109" i="5"/>
  <c r="J109" i="5"/>
  <c r="E110" i="5"/>
  <c r="F110" i="5"/>
  <c r="I110" i="5"/>
  <c r="J110" i="5"/>
  <c r="E111" i="5"/>
  <c r="F111" i="5"/>
  <c r="I111" i="5"/>
  <c r="J111" i="5"/>
  <c r="F112" i="5"/>
  <c r="I112" i="5"/>
  <c r="J112" i="5"/>
  <c r="F113" i="5"/>
  <c r="I113" i="5"/>
  <c r="J113" i="5"/>
  <c r="E114" i="5"/>
  <c r="F114" i="5"/>
  <c r="I114" i="5"/>
  <c r="J114" i="5"/>
  <c r="F115" i="5"/>
  <c r="H115" i="5"/>
  <c r="I115" i="5"/>
  <c r="J115" i="5"/>
  <c r="F116" i="5"/>
  <c r="I116" i="5"/>
  <c r="J116" i="5"/>
  <c r="F117" i="5"/>
  <c r="I117" i="5"/>
  <c r="J117" i="5"/>
  <c r="F118" i="5"/>
  <c r="I118" i="5"/>
  <c r="J118" i="5"/>
  <c r="F119" i="5"/>
  <c r="I119" i="5"/>
  <c r="J119" i="5"/>
  <c r="E120" i="5"/>
  <c r="F120" i="5"/>
  <c r="I120" i="5"/>
  <c r="J120" i="5"/>
  <c r="F121" i="5"/>
  <c r="I121" i="5"/>
  <c r="J121" i="5"/>
  <c r="F122" i="5"/>
  <c r="I122" i="5"/>
  <c r="J122" i="5"/>
  <c r="E123" i="5"/>
  <c r="F123" i="5"/>
  <c r="I123" i="5"/>
  <c r="J123" i="5"/>
  <c r="E124" i="5"/>
  <c r="F124" i="5"/>
  <c r="I124" i="5"/>
  <c r="J124" i="5"/>
  <c r="E125" i="5"/>
  <c r="F125" i="5"/>
  <c r="I125" i="5"/>
  <c r="J125" i="5"/>
  <c r="F126" i="5"/>
  <c r="I126" i="5"/>
  <c r="J126" i="5"/>
  <c r="E127" i="5"/>
  <c r="F127" i="5"/>
  <c r="H127" i="5"/>
  <c r="I127" i="5"/>
  <c r="J127" i="5"/>
  <c r="E128" i="5"/>
  <c r="F128" i="5"/>
  <c r="I128" i="5"/>
  <c r="J128" i="5"/>
  <c r="E129" i="5"/>
  <c r="F129" i="5"/>
  <c r="I129" i="5"/>
  <c r="J129" i="5"/>
  <c r="E130" i="5"/>
  <c r="F130" i="5"/>
  <c r="I130" i="5"/>
  <c r="J130" i="5"/>
  <c r="E131" i="5"/>
  <c r="F131" i="5"/>
  <c r="I131" i="5"/>
  <c r="J131" i="5"/>
  <c r="F132" i="5"/>
  <c r="I132" i="5"/>
  <c r="J132" i="5"/>
  <c r="F133" i="5"/>
  <c r="I133" i="5"/>
  <c r="J133" i="5"/>
  <c r="E134" i="5"/>
  <c r="F134" i="5"/>
  <c r="I134" i="5"/>
  <c r="J134" i="5"/>
  <c r="E135" i="5"/>
  <c r="F135" i="5"/>
  <c r="I135" i="5"/>
  <c r="J135" i="5"/>
  <c r="E136" i="5"/>
  <c r="F136" i="5"/>
  <c r="I136" i="5"/>
  <c r="J136" i="5"/>
  <c r="E137" i="5"/>
  <c r="F137" i="5"/>
  <c r="I137" i="5"/>
  <c r="J137" i="5"/>
  <c r="E138" i="5"/>
  <c r="F138" i="5"/>
  <c r="I138" i="5"/>
  <c r="J138" i="5"/>
  <c r="E139" i="5"/>
  <c r="F139" i="5"/>
  <c r="I139" i="5"/>
  <c r="J139" i="5"/>
  <c r="E140" i="5"/>
  <c r="F140" i="5"/>
  <c r="I140" i="5"/>
  <c r="J140" i="5"/>
  <c r="F141" i="5"/>
  <c r="I141" i="5"/>
  <c r="J141" i="5"/>
  <c r="E142" i="5"/>
  <c r="F142" i="5"/>
  <c r="I142" i="5"/>
  <c r="J142" i="5"/>
  <c r="F143" i="5"/>
  <c r="I143" i="5"/>
  <c r="J143" i="5"/>
  <c r="F144" i="5"/>
  <c r="I144" i="5"/>
  <c r="J144" i="5"/>
  <c r="E145" i="5"/>
  <c r="F145" i="5"/>
  <c r="I145" i="5"/>
  <c r="J145" i="5"/>
  <c r="E146" i="5"/>
  <c r="F146" i="5"/>
  <c r="I146" i="5"/>
  <c r="J146" i="5"/>
  <c r="E147" i="5"/>
  <c r="F147" i="5"/>
  <c r="I147" i="5"/>
  <c r="J147" i="5"/>
  <c r="F148" i="5"/>
  <c r="I148" i="5"/>
  <c r="J148" i="5"/>
  <c r="E149" i="5"/>
  <c r="F149" i="5"/>
  <c r="I149" i="5"/>
  <c r="J149" i="5"/>
  <c r="E150" i="5"/>
  <c r="F150" i="5"/>
  <c r="I150" i="5"/>
  <c r="J150" i="5"/>
  <c r="E151" i="5"/>
  <c r="F151" i="5"/>
  <c r="I151" i="5"/>
  <c r="J151" i="5"/>
  <c r="E152" i="5"/>
  <c r="F152" i="5"/>
  <c r="I152" i="5"/>
  <c r="J152" i="5"/>
  <c r="F153" i="5"/>
  <c r="I153" i="5"/>
  <c r="J153" i="5"/>
  <c r="E154" i="5"/>
  <c r="F154" i="5"/>
  <c r="I154" i="5"/>
  <c r="J154" i="5"/>
  <c r="E155" i="5"/>
  <c r="F155" i="5"/>
  <c r="H155" i="5"/>
  <c r="I155" i="5"/>
  <c r="J155" i="5"/>
  <c r="F156" i="5"/>
  <c r="I156" i="5"/>
  <c r="J156" i="5"/>
  <c r="F157" i="5"/>
  <c r="I157" i="5"/>
  <c r="J157" i="5"/>
  <c r="E158" i="5"/>
  <c r="F158" i="5"/>
  <c r="I158" i="5"/>
  <c r="J158" i="5"/>
  <c r="E159" i="5"/>
  <c r="F159" i="5"/>
  <c r="I159" i="5"/>
  <c r="J159" i="5"/>
  <c r="E160" i="5"/>
  <c r="F160" i="5"/>
  <c r="I160" i="5"/>
  <c r="J160" i="5"/>
  <c r="F161" i="5"/>
  <c r="I161" i="5"/>
  <c r="J161" i="5"/>
  <c r="F162" i="5"/>
  <c r="I162" i="5"/>
  <c r="J162" i="5"/>
  <c r="F163" i="5"/>
  <c r="I163" i="5"/>
  <c r="J163" i="5"/>
  <c r="F164" i="5"/>
  <c r="I164" i="5"/>
  <c r="J164" i="5"/>
  <c r="E165" i="5"/>
  <c r="F165" i="5"/>
  <c r="I165" i="5"/>
  <c r="J165" i="5"/>
  <c r="E166" i="5"/>
  <c r="F166" i="5"/>
  <c r="I166" i="5"/>
  <c r="J166" i="5"/>
  <c r="F167" i="5"/>
  <c r="I167" i="5"/>
  <c r="J167" i="5"/>
  <c r="E168" i="5"/>
  <c r="F168" i="5"/>
  <c r="H168" i="5"/>
  <c r="I168" i="5"/>
  <c r="J168" i="5"/>
  <c r="F169" i="5"/>
  <c r="I169" i="5"/>
  <c r="J169" i="5"/>
  <c r="E170" i="5"/>
  <c r="F170" i="5"/>
  <c r="I170" i="5"/>
  <c r="J170" i="5"/>
  <c r="F171" i="5"/>
  <c r="I171" i="5"/>
  <c r="J171" i="5"/>
  <c r="E172" i="5"/>
  <c r="F172" i="5"/>
  <c r="I172" i="5"/>
  <c r="J172" i="5"/>
  <c r="E173" i="5"/>
  <c r="F173" i="5"/>
  <c r="I173" i="5"/>
  <c r="J173" i="5"/>
  <c r="E174" i="5"/>
  <c r="F174" i="5"/>
  <c r="I174" i="5"/>
  <c r="J174" i="5"/>
  <c r="F175" i="5"/>
  <c r="I175" i="5"/>
  <c r="J175" i="5"/>
  <c r="F176" i="5"/>
  <c r="H176" i="5"/>
  <c r="I176" i="5"/>
  <c r="J176" i="5"/>
  <c r="F177" i="5"/>
  <c r="I177" i="5"/>
  <c r="J177" i="5"/>
  <c r="F178" i="5"/>
  <c r="I178" i="5"/>
  <c r="J178" i="5"/>
  <c r="F179" i="5"/>
  <c r="I179" i="5"/>
  <c r="J179" i="5"/>
  <c r="F180" i="5"/>
  <c r="I180" i="5"/>
  <c r="J180" i="5"/>
  <c r="F181" i="5"/>
  <c r="I181" i="5"/>
  <c r="J181" i="5"/>
  <c r="F182" i="5"/>
  <c r="I182" i="5"/>
  <c r="J182" i="5"/>
  <c r="E183" i="5"/>
  <c r="F183" i="5"/>
  <c r="I183" i="5"/>
  <c r="J183" i="5"/>
  <c r="E184" i="5"/>
  <c r="F184" i="5"/>
  <c r="I184" i="5"/>
  <c r="J184" i="5"/>
  <c r="F185" i="5"/>
  <c r="I185" i="5"/>
  <c r="J185" i="5"/>
  <c r="F186" i="5"/>
  <c r="I186" i="5"/>
  <c r="J186" i="5"/>
  <c r="F187" i="5"/>
  <c r="I187" i="5"/>
  <c r="J187" i="5"/>
  <c r="E188" i="5"/>
  <c r="F188" i="5"/>
  <c r="I188" i="5"/>
  <c r="J188" i="5"/>
  <c r="F189" i="5"/>
  <c r="I189" i="5"/>
  <c r="J189" i="5"/>
  <c r="F190" i="5"/>
  <c r="I190" i="5"/>
  <c r="J190" i="5"/>
  <c r="E191" i="5"/>
  <c r="F191" i="5"/>
  <c r="I191" i="5"/>
  <c r="J191" i="5"/>
  <c r="E192" i="5"/>
  <c r="F192" i="5"/>
  <c r="I192" i="5"/>
  <c r="J192" i="5"/>
  <c r="E193" i="5"/>
  <c r="F193" i="5"/>
  <c r="I193" i="5"/>
  <c r="J193" i="5"/>
  <c r="E194" i="5"/>
  <c r="F194" i="5"/>
  <c r="I194" i="5"/>
  <c r="J194" i="5"/>
  <c r="E195" i="5"/>
  <c r="F195" i="5"/>
  <c r="I195" i="5"/>
  <c r="J195" i="5"/>
  <c r="E196" i="5"/>
  <c r="F196" i="5"/>
  <c r="I196" i="5"/>
  <c r="J196" i="5"/>
  <c r="E197" i="5"/>
  <c r="F197" i="5"/>
  <c r="I197" i="5"/>
  <c r="J197" i="5"/>
  <c r="E198" i="5"/>
  <c r="F198" i="5"/>
  <c r="I198" i="5"/>
  <c r="J198" i="5"/>
  <c r="E199" i="5"/>
  <c r="F199" i="5"/>
  <c r="I199" i="5"/>
  <c r="J199" i="5"/>
  <c r="F200" i="5"/>
  <c r="I200" i="5"/>
  <c r="J200" i="5"/>
  <c r="F201" i="5"/>
  <c r="I201" i="5"/>
  <c r="J201" i="5"/>
  <c r="F202" i="5"/>
  <c r="I202" i="5"/>
  <c r="J202" i="5"/>
  <c r="F203" i="5"/>
  <c r="I203" i="5"/>
  <c r="J203" i="5"/>
  <c r="F204" i="5"/>
  <c r="I204" i="5"/>
  <c r="J204" i="5"/>
  <c r="E205" i="5"/>
  <c r="F205" i="5"/>
  <c r="I205" i="5"/>
  <c r="J205" i="5"/>
  <c r="F206" i="5"/>
  <c r="I206" i="5"/>
  <c r="J206" i="5"/>
  <c r="F207" i="5"/>
  <c r="I207" i="5"/>
  <c r="J207" i="5"/>
  <c r="E208" i="5"/>
  <c r="F208" i="5"/>
  <c r="I208" i="5"/>
  <c r="J208" i="5"/>
  <c r="F209" i="5"/>
  <c r="I209" i="5"/>
  <c r="J209" i="5"/>
  <c r="E210" i="5"/>
  <c r="F210" i="5"/>
  <c r="I210" i="5"/>
  <c r="J210" i="5"/>
  <c r="F211" i="5"/>
  <c r="I211" i="5"/>
  <c r="J211" i="5"/>
  <c r="F212" i="5"/>
  <c r="I212" i="5"/>
  <c r="J212" i="5"/>
  <c r="F213" i="5"/>
  <c r="I213" i="5"/>
  <c r="J213" i="5"/>
  <c r="E214" i="5"/>
  <c r="F214" i="5"/>
  <c r="I214" i="5"/>
  <c r="J214" i="5"/>
  <c r="F215" i="5"/>
  <c r="I215" i="5"/>
  <c r="J215" i="5"/>
  <c r="E216" i="5"/>
  <c r="F216" i="5"/>
  <c r="I216" i="5"/>
  <c r="J216" i="5"/>
  <c r="E217" i="5"/>
  <c r="F217" i="5"/>
  <c r="I217" i="5"/>
  <c r="J217" i="5"/>
  <c r="F218" i="5"/>
  <c r="I218" i="5"/>
  <c r="J218" i="5"/>
  <c r="E219" i="5"/>
  <c r="F219" i="5"/>
  <c r="I219" i="5"/>
  <c r="J219" i="5"/>
  <c r="F220" i="5"/>
  <c r="I220" i="5"/>
  <c r="J220" i="5"/>
  <c r="F221" i="5"/>
  <c r="I221" i="5"/>
  <c r="J221" i="5"/>
  <c r="D223" i="5"/>
  <c r="E223" i="5"/>
  <c r="F223" i="5"/>
  <c r="H223" i="5"/>
  <c r="I223" i="5"/>
  <c r="J223" i="5"/>
  <c r="D224" i="5"/>
  <c r="E224" i="5"/>
  <c r="F224" i="5"/>
  <c r="H224" i="5"/>
  <c r="I224" i="5"/>
  <c r="J224" i="5"/>
  <c r="E228" i="5"/>
  <c r="F228" i="5"/>
  <c r="I228" i="5"/>
  <c r="J228" i="5"/>
  <c r="E229" i="5"/>
  <c r="F229" i="5"/>
  <c r="I229" i="5"/>
  <c r="J229" i="5"/>
  <c r="F230" i="5"/>
  <c r="I230" i="5"/>
  <c r="J230" i="5"/>
  <c r="F231" i="5"/>
  <c r="I231" i="5"/>
  <c r="J231" i="5"/>
  <c r="E232" i="5"/>
  <c r="F232" i="5"/>
  <c r="I232" i="5"/>
  <c r="J232" i="5"/>
  <c r="F233" i="5"/>
  <c r="I233" i="5"/>
  <c r="J233" i="5"/>
  <c r="E234" i="5"/>
  <c r="F234" i="5"/>
  <c r="I234" i="5"/>
  <c r="J234" i="5"/>
  <c r="E235" i="5"/>
  <c r="F235" i="5"/>
  <c r="I235" i="5"/>
  <c r="J235" i="5"/>
  <c r="F236" i="5"/>
  <c r="I236" i="5"/>
  <c r="J236" i="5"/>
  <c r="E237" i="5"/>
  <c r="F237" i="5"/>
  <c r="I237" i="5"/>
  <c r="J237" i="5"/>
  <c r="E238" i="5"/>
  <c r="F238" i="5"/>
  <c r="I238" i="5"/>
  <c r="J238" i="5"/>
  <c r="E239" i="5"/>
  <c r="F239" i="5"/>
  <c r="I239" i="5"/>
  <c r="J239" i="5"/>
  <c r="F240" i="5"/>
  <c r="I240" i="5"/>
  <c r="J240" i="5"/>
  <c r="E241" i="5"/>
  <c r="F241" i="5"/>
  <c r="I241" i="5"/>
  <c r="J241" i="5"/>
  <c r="E242" i="5"/>
  <c r="F242" i="5"/>
  <c r="I242" i="5"/>
  <c r="J242" i="5"/>
  <c r="E243" i="5"/>
  <c r="F243" i="5"/>
  <c r="I243" i="5"/>
  <c r="J243" i="5"/>
  <c r="F244" i="5"/>
  <c r="I244" i="5"/>
  <c r="J244" i="5"/>
  <c r="E245" i="5"/>
  <c r="F245" i="5"/>
  <c r="I245" i="5"/>
  <c r="J245" i="5"/>
  <c r="F246" i="5"/>
  <c r="I246" i="5"/>
  <c r="J246" i="5"/>
  <c r="F247" i="5"/>
  <c r="I247" i="5"/>
  <c r="J247" i="5"/>
  <c r="F248" i="5"/>
  <c r="I248" i="5"/>
  <c r="J248" i="5"/>
  <c r="F249" i="5"/>
  <c r="I249" i="5"/>
  <c r="J249" i="5"/>
  <c r="F250" i="5"/>
  <c r="I250" i="5"/>
  <c r="J250" i="5"/>
  <c r="F251" i="5"/>
  <c r="I251" i="5"/>
  <c r="J251" i="5"/>
  <c r="F252" i="5"/>
  <c r="I252" i="5"/>
  <c r="J252" i="5"/>
  <c r="E253" i="5"/>
  <c r="F253" i="5"/>
  <c r="I253" i="5"/>
  <c r="J253" i="5"/>
  <c r="F254" i="5"/>
  <c r="I254" i="5"/>
  <c r="J254" i="5"/>
  <c r="F255" i="5"/>
  <c r="I255" i="5"/>
  <c r="J255" i="5"/>
  <c r="F256" i="5"/>
  <c r="I256" i="5"/>
  <c r="J256" i="5"/>
  <c r="F257" i="5"/>
  <c r="I257" i="5"/>
  <c r="J257" i="5"/>
  <c r="E258" i="5"/>
  <c r="F258" i="5"/>
  <c r="I258" i="5"/>
  <c r="J258" i="5"/>
  <c r="E259" i="5"/>
  <c r="F259" i="5"/>
  <c r="I259" i="5"/>
  <c r="J259" i="5"/>
  <c r="E260" i="5"/>
  <c r="F260" i="5"/>
  <c r="I260" i="5"/>
  <c r="J260" i="5"/>
  <c r="E261" i="5"/>
  <c r="F261" i="5"/>
  <c r="I261" i="5"/>
  <c r="J261" i="5"/>
  <c r="E262" i="5"/>
  <c r="F262" i="5"/>
  <c r="I262" i="5"/>
  <c r="J262" i="5"/>
  <c r="E263" i="5"/>
  <c r="F263" i="5"/>
  <c r="I263" i="5"/>
  <c r="J263" i="5"/>
  <c r="F264" i="5"/>
  <c r="I264" i="5"/>
  <c r="J264" i="5"/>
  <c r="E265" i="5"/>
  <c r="F265" i="5"/>
  <c r="I265" i="5"/>
  <c r="J265" i="5"/>
  <c r="E266" i="5"/>
  <c r="F266" i="5"/>
  <c r="I266" i="5"/>
  <c r="J266" i="5"/>
  <c r="E267" i="5"/>
  <c r="F267" i="5"/>
  <c r="I267" i="5"/>
  <c r="J267" i="5"/>
  <c r="F268" i="5"/>
  <c r="I268" i="5"/>
  <c r="J268" i="5"/>
  <c r="F269" i="5"/>
  <c r="I269" i="5"/>
  <c r="J269" i="5"/>
  <c r="E270" i="5"/>
  <c r="F270" i="5"/>
  <c r="I270" i="5"/>
  <c r="J270" i="5"/>
  <c r="E271" i="5"/>
  <c r="F271" i="5"/>
  <c r="I271" i="5"/>
  <c r="J271" i="5"/>
  <c r="E272" i="5"/>
  <c r="F272" i="5"/>
  <c r="I272" i="5"/>
  <c r="J272" i="5"/>
  <c r="F273" i="5"/>
  <c r="I273" i="5"/>
  <c r="J273" i="5"/>
  <c r="E274" i="5"/>
  <c r="F274" i="5"/>
  <c r="I274" i="5"/>
  <c r="J274" i="5"/>
  <c r="E275" i="5"/>
  <c r="F275" i="5"/>
  <c r="I275" i="5"/>
  <c r="J275" i="5"/>
  <c r="E276" i="5"/>
  <c r="F276" i="5"/>
  <c r="I276" i="5"/>
  <c r="J276" i="5"/>
  <c r="E277" i="5"/>
  <c r="F277" i="5"/>
  <c r="I277" i="5"/>
  <c r="J277" i="5"/>
  <c r="E278" i="5"/>
  <c r="F278" i="5"/>
  <c r="I278" i="5"/>
  <c r="J278" i="5"/>
  <c r="F279" i="5"/>
  <c r="I279" i="5"/>
  <c r="J279" i="5"/>
  <c r="F280" i="5"/>
  <c r="I280" i="5"/>
  <c r="J280" i="5"/>
  <c r="E281" i="5"/>
  <c r="F281" i="5"/>
  <c r="I281" i="5"/>
  <c r="J281" i="5"/>
  <c r="E282" i="5"/>
  <c r="F282" i="5"/>
  <c r="I282" i="5"/>
  <c r="J282" i="5"/>
  <c r="E283" i="5"/>
  <c r="F283" i="5"/>
  <c r="I283" i="5"/>
  <c r="J283" i="5"/>
  <c r="E284" i="5"/>
  <c r="F284" i="5"/>
  <c r="I284" i="5"/>
  <c r="J284" i="5"/>
  <c r="E285" i="5"/>
  <c r="F285" i="5"/>
  <c r="I285" i="5"/>
  <c r="J285" i="5"/>
  <c r="E286" i="5"/>
  <c r="F286" i="5"/>
  <c r="I286" i="5"/>
  <c r="J286" i="5"/>
  <c r="E287" i="5"/>
  <c r="F287" i="5"/>
  <c r="H287" i="5"/>
  <c r="I287" i="5"/>
  <c r="J287" i="5"/>
  <c r="F288" i="5"/>
  <c r="I288" i="5"/>
  <c r="J288" i="5"/>
  <c r="F289" i="5"/>
  <c r="I289" i="5"/>
  <c r="J289" i="5"/>
  <c r="E290" i="5"/>
  <c r="F290" i="5"/>
  <c r="I290" i="5"/>
  <c r="J290" i="5"/>
  <c r="E291" i="5"/>
  <c r="F291" i="5"/>
  <c r="I291" i="5"/>
  <c r="J291" i="5"/>
  <c r="E292" i="5"/>
  <c r="F292" i="5"/>
  <c r="I292" i="5"/>
  <c r="J292" i="5"/>
  <c r="E293" i="5"/>
  <c r="F293" i="5"/>
  <c r="I293" i="5"/>
  <c r="J293" i="5"/>
  <c r="E294" i="5"/>
  <c r="F294" i="5"/>
  <c r="I294" i="5"/>
  <c r="J294" i="5"/>
  <c r="E295" i="5"/>
  <c r="F295" i="5"/>
  <c r="I295" i="5"/>
  <c r="J295" i="5"/>
  <c r="E296" i="5"/>
  <c r="F296" i="5"/>
  <c r="I296" i="5"/>
  <c r="J296" i="5"/>
  <c r="E297" i="5"/>
  <c r="F297" i="5"/>
  <c r="I297" i="5"/>
  <c r="J297" i="5"/>
  <c r="E298" i="5"/>
  <c r="F298" i="5"/>
  <c r="I298" i="5"/>
  <c r="J298" i="5"/>
  <c r="E299" i="5"/>
  <c r="F299" i="5"/>
  <c r="I299" i="5"/>
  <c r="J299" i="5"/>
  <c r="E300" i="5"/>
  <c r="F300" i="5"/>
  <c r="I300" i="5"/>
  <c r="J300" i="5"/>
  <c r="E301" i="5"/>
  <c r="F301" i="5"/>
  <c r="I301" i="5"/>
  <c r="J301" i="5"/>
  <c r="E302" i="5"/>
  <c r="F302" i="5"/>
  <c r="I302" i="5"/>
  <c r="J302" i="5"/>
  <c r="E303" i="5"/>
  <c r="F303" i="5"/>
  <c r="I303" i="5"/>
  <c r="J303" i="5"/>
  <c r="E304" i="5"/>
  <c r="F304" i="5"/>
  <c r="I304" i="5"/>
  <c r="J304" i="5"/>
  <c r="E305" i="5"/>
  <c r="F305" i="5"/>
  <c r="I305" i="5"/>
  <c r="J305" i="5"/>
  <c r="E306" i="5"/>
  <c r="F306" i="5"/>
  <c r="I306" i="5"/>
  <c r="J306" i="5"/>
  <c r="E307" i="5"/>
  <c r="F307" i="5"/>
  <c r="I307" i="5"/>
  <c r="J307" i="5"/>
  <c r="F308" i="5"/>
  <c r="I308" i="5"/>
  <c r="J308" i="5"/>
  <c r="E309" i="5"/>
  <c r="F309" i="5"/>
  <c r="I309" i="5"/>
  <c r="J309" i="5"/>
  <c r="E310" i="5"/>
  <c r="F310" i="5"/>
  <c r="I310" i="5"/>
  <c r="J310" i="5"/>
  <c r="E311" i="5"/>
  <c r="F311" i="5"/>
  <c r="I311" i="5"/>
  <c r="J311" i="5"/>
  <c r="E312" i="5"/>
  <c r="F312" i="5"/>
  <c r="I312" i="5"/>
  <c r="J312" i="5"/>
  <c r="E313" i="5"/>
  <c r="F313" i="5"/>
  <c r="I313" i="5"/>
  <c r="J313" i="5"/>
  <c r="E314" i="5"/>
  <c r="F314" i="5"/>
  <c r="I314" i="5"/>
  <c r="J314" i="5"/>
  <c r="F315" i="5"/>
  <c r="I315" i="5"/>
  <c r="J315" i="5"/>
  <c r="E316" i="5"/>
  <c r="F316" i="5"/>
  <c r="I316" i="5"/>
  <c r="J316" i="5"/>
  <c r="E317" i="5"/>
  <c r="F317" i="5"/>
  <c r="I317" i="5"/>
  <c r="J317" i="5"/>
  <c r="E318" i="5"/>
  <c r="F318" i="5"/>
  <c r="I318" i="5"/>
  <c r="J318" i="5"/>
  <c r="E319" i="5"/>
  <c r="F319" i="5"/>
  <c r="I319" i="5"/>
  <c r="J319" i="5"/>
  <c r="E320" i="5"/>
  <c r="F320" i="5"/>
  <c r="I320" i="5"/>
  <c r="J320" i="5"/>
  <c r="E321" i="5"/>
  <c r="F321" i="5"/>
  <c r="I321" i="5"/>
  <c r="J321" i="5"/>
  <c r="F322" i="5"/>
  <c r="I322" i="5"/>
  <c r="J322" i="5"/>
  <c r="F323" i="5"/>
  <c r="I323" i="5"/>
  <c r="J323" i="5"/>
  <c r="E324" i="5"/>
  <c r="F324" i="5"/>
  <c r="I324" i="5"/>
  <c r="J324" i="5"/>
  <c r="E325" i="5"/>
  <c r="F325" i="5"/>
  <c r="I325" i="5"/>
  <c r="J325" i="5"/>
  <c r="E326" i="5"/>
  <c r="F326" i="5"/>
  <c r="I326" i="5"/>
  <c r="J326" i="5"/>
  <c r="E327" i="5"/>
  <c r="F327" i="5"/>
  <c r="I327" i="5"/>
  <c r="J327" i="5"/>
  <c r="E328" i="5"/>
  <c r="F328" i="5"/>
  <c r="I328" i="5"/>
  <c r="J328" i="5"/>
  <c r="E329" i="5"/>
  <c r="F329" i="5"/>
  <c r="I329" i="5"/>
  <c r="J329" i="5"/>
  <c r="E330" i="5"/>
  <c r="F330" i="5"/>
  <c r="I330" i="5"/>
  <c r="J330" i="5"/>
  <c r="E331" i="5"/>
  <c r="F331" i="5"/>
  <c r="I331" i="5"/>
  <c r="J331" i="5"/>
  <c r="E332" i="5"/>
  <c r="F332" i="5"/>
  <c r="I332" i="5"/>
  <c r="J332" i="5"/>
  <c r="D334" i="5"/>
  <c r="E334" i="5"/>
  <c r="F334" i="5"/>
  <c r="H334" i="5"/>
  <c r="I334" i="5"/>
  <c r="J334" i="5"/>
  <c r="D335" i="5"/>
  <c r="E335" i="5"/>
  <c r="F335" i="5"/>
  <c r="H335" i="5"/>
  <c r="I335" i="5"/>
  <c r="J335" i="5"/>
  <c r="F339" i="5"/>
  <c r="I339" i="5"/>
  <c r="J339" i="5"/>
  <c r="E340" i="5"/>
  <c r="F340" i="5"/>
  <c r="I340" i="5"/>
  <c r="J340" i="5"/>
  <c r="F341" i="5"/>
  <c r="I341" i="5"/>
  <c r="J341" i="5"/>
  <c r="F342" i="5"/>
  <c r="I342" i="5"/>
  <c r="J342" i="5"/>
  <c r="F343" i="5"/>
  <c r="I343" i="5"/>
  <c r="J343" i="5"/>
  <c r="E344" i="5"/>
  <c r="F344" i="5"/>
  <c r="I344" i="5"/>
  <c r="J344" i="5"/>
  <c r="F345" i="5"/>
  <c r="H345" i="5"/>
  <c r="I345" i="5"/>
  <c r="J345" i="5"/>
  <c r="F346" i="5"/>
  <c r="I346" i="5"/>
  <c r="J346" i="5"/>
  <c r="F347" i="5"/>
  <c r="I347" i="5"/>
  <c r="J347" i="5"/>
  <c r="E348" i="5"/>
  <c r="F348" i="5"/>
  <c r="I348" i="5"/>
  <c r="J348" i="5"/>
  <c r="F349" i="5"/>
  <c r="I349" i="5"/>
  <c r="J349" i="5"/>
  <c r="E350" i="5"/>
  <c r="F350" i="5"/>
  <c r="I350" i="5"/>
  <c r="J350" i="5"/>
  <c r="F351" i="5"/>
  <c r="I351" i="5"/>
  <c r="J351" i="5"/>
  <c r="E352" i="5"/>
  <c r="F352" i="5"/>
  <c r="I352" i="5"/>
  <c r="J352" i="5"/>
  <c r="F353" i="5"/>
  <c r="I353" i="5"/>
  <c r="J353" i="5"/>
  <c r="F354" i="5"/>
  <c r="I354" i="5"/>
  <c r="J354" i="5"/>
  <c r="E355" i="5"/>
  <c r="F355" i="5"/>
  <c r="H355" i="5"/>
  <c r="I355" i="5"/>
  <c r="J355" i="5"/>
  <c r="E356" i="5"/>
  <c r="F356" i="5"/>
  <c r="I356" i="5"/>
  <c r="J356" i="5"/>
  <c r="E357" i="5"/>
  <c r="F357" i="5"/>
  <c r="I357" i="5"/>
  <c r="J357" i="5"/>
  <c r="F358" i="5"/>
  <c r="I358" i="5"/>
  <c r="J358" i="5"/>
  <c r="F359" i="5"/>
  <c r="I359" i="5"/>
  <c r="J359" i="5"/>
  <c r="F360" i="5"/>
  <c r="I360" i="5"/>
  <c r="J360" i="5"/>
  <c r="E361" i="5"/>
  <c r="F361" i="5"/>
  <c r="I361" i="5"/>
  <c r="J361" i="5"/>
  <c r="F362" i="5"/>
  <c r="I362" i="5"/>
  <c r="J362" i="5"/>
  <c r="E363" i="5"/>
  <c r="F363" i="5"/>
  <c r="I363" i="5"/>
  <c r="J363" i="5"/>
  <c r="E364" i="5"/>
  <c r="F364" i="5"/>
  <c r="I364" i="5"/>
  <c r="J364" i="5"/>
  <c r="E365" i="5"/>
  <c r="F365" i="5"/>
  <c r="I365" i="5"/>
  <c r="J365" i="5"/>
  <c r="E366" i="5"/>
  <c r="F366" i="5"/>
  <c r="I366" i="5"/>
  <c r="J366" i="5"/>
  <c r="F367" i="5"/>
  <c r="I367" i="5"/>
  <c r="J367" i="5"/>
  <c r="E368" i="5"/>
  <c r="F368" i="5"/>
  <c r="I368" i="5"/>
  <c r="J368" i="5"/>
  <c r="F369" i="5"/>
  <c r="I369" i="5"/>
  <c r="J369" i="5"/>
  <c r="E370" i="5"/>
  <c r="F370" i="5"/>
  <c r="I370" i="5"/>
  <c r="J370" i="5"/>
  <c r="F371" i="5"/>
  <c r="I371" i="5"/>
  <c r="J371" i="5"/>
  <c r="F372" i="5"/>
  <c r="I372" i="5"/>
  <c r="J372" i="5"/>
  <c r="F373" i="5"/>
  <c r="I373" i="5"/>
  <c r="J373" i="5"/>
  <c r="F374" i="5"/>
  <c r="H374" i="5"/>
  <c r="I374" i="5"/>
  <c r="J374" i="5"/>
  <c r="F375" i="5"/>
  <c r="I375" i="5"/>
  <c r="J375" i="5"/>
  <c r="E376" i="5"/>
  <c r="F376" i="5"/>
  <c r="I376" i="5"/>
  <c r="J376" i="5"/>
  <c r="F377" i="5"/>
  <c r="I377" i="5"/>
  <c r="J377" i="5"/>
  <c r="F378" i="5"/>
  <c r="I378" i="5"/>
  <c r="J378" i="5"/>
  <c r="E379" i="5"/>
  <c r="F379" i="5"/>
  <c r="I379" i="5"/>
  <c r="J379" i="5"/>
  <c r="E380" i="5"/>
  <c r="F380" i="5"/>
  <c r="I380" i="5"/>
  <c r="J380" i="5"/>
  <c r="F381" i="5"/>
  <c r="I381" i="5"/>
  <c r="J381" i="5"/>
  <c r="F382" i="5"/>
  <c r="H382" i="5"/>
  <c r="I382" i="5"/>
  <c r="J382" i="5"/>
  <c r="E383" i="5"/>
  <c r="F383" i="5"/>
  <c r="I383" i="5"/>
  <c r="J383" i="5"/>
  <c r="F384" i="5"/>
  <c r="I384" i="5"/>
  <c r="J384" i="5"/>
  <c r="F385" i="5"/>
  <c r="I385" i="5"/>
  <c r="J385" i="5"/>
  <c r="F386" i="5"/>
  <c r="I386" i="5"/>
  <c r="J386" i="5"/>
  <c r="E387" i="5"/>
  <c r="F387" i="5"/>
  <c r="H387" i="5"/>
  <c r="I387" i="5"/>
  <c r="J387" i="5"/>
  <c r="F388" i="5"/>
  <c r="I388" i="5"/>
  <c r="J388" i="5"/>
  <c r="F389" i="5"/>
  <c r="I389" i="5"/>
  <c r="J389" i="5"/>
  <c r="F390" i="5"/>
  <c r="I390" i="5"/>
  <c r="J390" i="5"/>
  <c r="E391" i="5"/>
  <c r="F391" i="5"/>
  <c r="I391" i="5"/>
  <c r="J391" i="5"/>
  <c r="F392" i="5"/>
  <c r="I392" i="5"/>
  <c r="J392" i="5"/>
  <c r="F393" i="5"/>
  <c r="I393" i="5"/>
  <c r="J393" i="5"/>
  <c r="F394" i="5"/>
  <c r="I394" i="5"/>
  <c r="J394" i="5"/>
  <c r="F395" i="5"/>
  <c r="I395" i="5"/>
  <c r="J395" i="5"/>
  <c r="F396" i="5"/>
  <c r="I396" i="5"/>
  <c r="J396" i="5"/>
  <c r="E397" i="5"/>
  <c r="F397" i="5"/>
  <c r="I397" i="5"/>
  <c r="J397" i="5"/>
  <c r="E398" i="5"/>
  <c r="F398" i="5"/>
  <c r="I398" i="5"/>
  <c r="J398" i="5"/>
  <c r="F399" i="5"/>
  <c r="I399" i="5"/>
  <c r="J399" i="5"/>
  <c r="F400" i="5"/>
  <c r="I400" i="5"/>
  <c r="J400" i="5"/>
  <c r="E401" i="5"/>
  <c r="F401" i="5"/>
  <c r="I401" i="5"/>
  <c r="J401" i="5"/>
  <c r="E402" i="5"/>
  <c r="F402" i="5"/>
  <c r="H402" i="5"/>
  <c r="I402" i="5"/>
  <c r="J402" i="5"/>
  <c r="F403" i="5"/>
  <c r="I403" i="5"/>
  <c r="J403" i="5"/>
  <c r="E404" i="5"/>
  <c r="F404" i="5"/>
  <c r="I404" i="5"/>
  <c r="J404" i="5"/>
  <c r="E405" i="5"/>
  <c r="F405" i="5"/>
  <c r="I405" i="5"/>
  <c r="J405" i="5"/>
  <c r="F406" i="5"/>
  <c r="I406" i="5"/>
  <c r="J406" i="5"/>
  <c r="E407" i="5"/>
  <c r="F407" i="5"/>
  <c r="I407" i="5"/>
  <c r="J407" i="5"/>
  <c r="E408" i="5"/>
  <c r="F408" i="5"/>
  <c r="H408" i="5"/>
  <c r="I408" i="5"/>
  <c r="J408" i="5"/>
  <c r="E409" i="5"/>
  <c r="F409" i="5"/>
  <c r="I409" i="5"/>
  <c r="J409" i="5"/>
  <c r="E410" i="5"/>
  <c r="F410" i="5"/>
  <c r="I410" i="5"/>
  <c r="J410" i="5"/>
  <c r="F411" i="5"/>
  <c r="I411" i="5"/>
  <c r="J411" i="5"/>
  <c r="F412" i="5"/>
  <c r="I412" i="5"/>
  <c r="J412" i="5"/>
  <c r="E413" i="5"/>
  <c r="F413" i="5"/>
  <c r="I413" i="5"/>
  <c r="J413" i="5"/>
  <c r="E414" i="5"/>
  <c r="F414" i="5"/>
  <c r="I414" i="5"/>
  <c r="J414" i="5"/>
  <c r="E415" i="5"/>
  <c r="F415" i="5"/>
  <c r="I415" i="5"/>
  <c r="J415" i="5"/>
  <c r="F416" i="5"/>
  <c r="I416" i="5"/>
  <c r="J416" i="5"/>
  <c r="F417" i="5"/>
  <c r="I417" i="5"/>
  <c r="J417" i="5"/>
  <c r="F418" i="5"/>
  <c r="I418" i="5"/>
  <c r="J418" i="5"/>
  <c r="F419" i="5"/>
  <c r="I419" i="5"/>
  <c r="J419" i="5"/>
  <c r="E420" i="5"/>
  <c r="F420" i="5"/>
  <c r="I420" i="5"/>
  <c r="J420" i="5"/>
  <c r="E421" i="5"/>
  <c r="F421" i="5"/>
  <c r="I421" i="5"/>
  <c r="J421" i="5"/>
  <c r="F422" i="5"/>
  <c r="I422" i="5"/>
  <c r="J422" i="5"/>
  <c r="F423" i="5"/>
  <c r="I423" i="5"/>
  <c r="J423" i="5"/>
  <c r="E424" i="5"/>
  <c r="F424" i="5"/>
  <c r="I424" i="5"/>
  <c r="J424" i="5"/>
  <c r="F425" i="5"/>
  <c r="I425" i="5"/>
  <c r="J425" i="5"/>
  <c r="E426" i="5"/>
  <c r="F426" i="5"/>
  <c r="I426" i="5"/>
  <c r="J426" i="5"/>
  <c r="E427" i="5"/>
  <c r="F427" i="5"/>
  <c r="I427" i="5"/>
  <c r="J427" i="5"/>
  <c r="F428" i="5"/>
  <c r="I428" i="5"/>
  <c r="J428" i="5"/>
  <c r="E429" i="5"/>
  <c r="F429" i="5"/>
  <c r="I429" i="5"/>
  <c r="J429" i="5"/>
  <c r="F430" i="5"/>
  <c r="H430" i="5"/>
  <c r="I430" i="5"/>
  <c r="J430" i="5"/>
  <c r="F431" i="5"/>
  <c r="I431" i="5"/>
  <c r="J431" i="5"/>
  <c r="F432" i="5"/>
  <c r="I432" i="5"/>
  <c r="J432" i="5"/>
  <c r="F433" i="5"/>
  <c r="I433" i="5"/>
  <c r="J433" i="5"/>
  <c r="F434" i="5"/>
  <c r="I434" i="5"/>
  <c r="J434" i="5"/>
  <c r="F435" i="5"/>
  <c r="I435" i="5"/>
  <c r="J435" i="5"/>
  <c r="F436" i="5"/>
  <c r="I436" i="5"/>
  <c r="J436" i="5"/>
  <c r="F437" i="5"/>
  <c r="I437" i="5"/>
  <c r="J437" i="5"/>
  <c r="F438" i="5"/>
  <c r="I438" i="5"/>
  <c r="J438" i="5"/>
  <c r="F439" i="5"/>
  <c r="I439" i="5"/>
  <c r="J439" i="5"/>
  <c r="F440" i="5"/>
  <c r="I440" i="5"/>
  <c r="J440" i="5"/>
  <c r="F441" i="5"/>
  <c r="I441" i="5"/>
  <c r="J441" i="5"/>
  <c r="E442" i="5"/>
  <c r="F442" i="5"/>
  <c r="I442" i="5"/>
  <c r="J442" i="5"/>
  <c r="F443" i="5"/>
  <c r="I443" i="5"/>
  <c r="J443" i="5"/>
  <c r="F444" i="5"/>
  <c r="I444" i="5"/>
  <c r="J444" i="5"/>
  <c r="F445" i="5"/>
  <c r="I445" i="5"/>
  <c r="J445" i="5"/>
  <c r="F446" i="5"/>
  <c r="I446" i="5"/>
  <c r="J446" i="5"/>
  <c r="F447" i="5"/>
  <c r="I447" i="5"/>
  <c r="J447" i="5"/>
  <c r="F448" i="5"/>
  <c r="I448" i="5"/>
  <c r="J448" i="5"/>
  <c r="E449" i="5"/>
  <c r="F449" i="5"/>
  <c r="I449" i="5"/>
  <c r="J449" i="5"/>
  <c r="F450" i="5"/>
  <c r="I450" i="5"/>
  <c r="J450" i="5"/>
  <c r="F451" i="5"/>
  <c r="I451" i="5"/>
  <c r="J451" i="5"/>
  <c r="F452" i="5"/>
  <c r="I452" i="5"/>
  <c r="J452" i="5"/>
  <c r="E453" i="5"/>
  <c r="F453" i="5"/>
  <c r="I453" i="5"/>
  <c r="J453" i="5"/>
  <c r="F454" i="5"/>
  <c r="I454" i="5"/>
  <c r="J454" i="5"/>
  <c r="F455" i="5"/>
  <c r="I455" i="5"/>
  <c r="J455" i="5"/>
  <c r="F456" i="5"/>
  <c r="I456" i="5"/>
  <c r="J456" i="5"/>
  <c r="F457" i="5"/>
  <c r="I457" i="5"/>
  <c r="J457" i="5"/>
  <c r="E458" i="5"/>
  <c r="F458" i="5"/>
  <c r="I458" i="5"/>
  <c r="J458" i="5"/>
  <c r="F459" i="5"/>
  <c r="I459" i="5"/>
  <c r="J459" i="5"/>
  <c r="F460" i="5"/>
  <c r="H460" i="5"/>
  <c r="I460" i="5"/>
  <c r="J460" i="5"/>
  <c r="E461" i="5"/>
  <c r="F461" i="5"/>
  <c r="I461" i="5"/>
  <c r="J461" i="5"/>
  <c r="E462" i="5"/>
  <c r="F462" i="5"/>
  <c r="I462" i="5"/>
  <c r="J462" i="5"/>
  <c r="E463" i="5"/>
  <c r="F463" i="5"/>
  <c r="I463" i="5"/>
  <c r="J463" i="5"/>
  <c r="F464" i="5"/>
  <c r="I464" i="5"/>
  <c r="J464" i="5"/>
  <c r="F465" i="5"/>
  <c r="I465" i="5"/>
  <c r="J465" i="5"/>
  <c r="F466" i="5"/>
  <c r="I466" i="5"/>
  <c r="J466" i="5"/>
  <c r="F467" i="5"/>
  <c r="I467" i="5"/>
  <c r="J467" i="5"/>
  <c r="F468" i="5"/>
  <c r="I468" i="5"/>
  <c r="J468" i="5"/>
  <c r="E469" i="5"/>
  <c r="F469" i="5"/>
  <c r="I469" i="5"/>
  <c r="J469" i="5"/>
  <c r="D471" i="5"/>
  <c r="E471" i="5"/>
  <c r="F471" i="5"/>
  <c r="H471" i="5"/>
  <c r="I471" i="5"/>
  <c r="J471" i="5"/>
  <c r="D472" i="5"/>
  <c r="E472" i="5"/>
  <c r="F472" i="5"/>
  <c r="H472" i="5"/>
  <c r="I472" i="5"/>
  <c r="J472" i="5"/>
  <c r="F476" i="5"/>
  <c r="I476" i="5"/>
  <c r="J476" i="5"/>
  <c r="E477" i="5"/>
  <c r="F477" i="5"/>
  <c r="I477" i="5"/>
  <c r="J477" i="5"/>
  <c r="F478" i="5"/>
  <c r="I478" i="5"/>
  <c r="J478" i="5"/>
  <c r="F479" i="5"/>
  <c r="I479" i="5"/>
  <c r="J479" i="5"/>
  <c r="E480" i="5"/>
  <c r="F480" i="5"/>
  <c r="I480" i="5"/>
  <c r="J480" i="5"/>
  <c r="E481" i="5"/>
  <c r="F481" i="5"/>
  <c r="I481" i="5"/>
  <c r="J481" i="5"/>
  <c r="E482" i="5"/>
  <c r="F482" i="5"/>
  <c r="H482" i="5"/>
  <c r="I482" i="5"/>
  <c r="J482" i="5"/>
  <c r="F483" i="5"/>
  <c r="I483" i="5"/>
  <c r="J483" i="5"/>
  <c r="F484" i="5"/>
  <c r="I484" i="5"/>
  <c r="J484" i="5"/>
  <c r="F485" i="5"/>
  <c r="I485" i="5"/>
  <c r="J485" i="5"/>
  <c r="F486" i="5"/>
  <c r="I486" i="5"/>
  <c r="J486" i="5"/>
  <c r="E487" i="5"/>
  <c r="F487" i="5"/>
  <c r="I487" i="5"/>
  <c r="J487" i="5"/>
  <c r="E488" i="5"/>
  <c r="F488" i="5"/>
  <c r="I488" i="5"/>
  <c r="J488" i="5"/>
  <c r="E489" i="5"/>
  <c r="F489" i="5"/>
  <c r="I489" i="5"/>
  <c r="J489" i="5"/>
  <c r="F490" i="5"/>
  <c r="I490" i="5"/>
  <c r="J490" i="5"/>
  <c r="E491" i="5"/>
  <c r="F491" i="5"/>
  <c r="I491" i="5"/>
  <c r="J491" i="5"/>
  <c r="E492" i="5"/>
  <c r="F492" i="5"/>
  <c r="I492" i="5"/>
  <c r="J492" i="5"/>
  <c r="F493" i="5"/>
  <c r="I493" i="5"/>
  <c r="J493" i="5"/>
  <c r="E494" i="5"/>
  <c r="F494" i="5"/>
  <c r="I494" i="5"/>
  <c r="J494" i="5"/>
  <c r="E495" i="5"/>
  <c r="F495" i="5"/>
  <c r="I495" i="5"/>
  <c r="J495" i="5"/>
  <c r="E496" i="5"/>
  <c r="F496" i="5"/>
  <c r="I496" i="5"/>
  <c r="J496" i="5"/>
  <c r="E497" i="5"/>
  <c r="F497" i="5"/>
  <c r="I497" i="5"/>
  <c r="J497" i="5"/>
  <c r="F498" i="5"/>
  <c r="I498" i="5"/>
  <c r="J498" i="5"/>
  <c r="E499" i="5"/>
  <c r="F499" i="5"/>
  <c r="I499" i="5"/>
  <c r="J499" i="5"/>
  <c r="F500" i="5"/>
  <c r="I500" i="5"/>
  <c r="J500" i="5"/>
  <c r="E501" i="5"/>
  <c r="F501" i="5"/>
  <c r="I501" i="5"/>
  <c r="J501" i="5"/>
  <c r="E502" i="5"/>
  <c r="F502" i="5"/>
  <c r="I502" i="5"/>
  <c r="J502" i="5"/>
  <c r="E503" i="5"/>
  <c r="F503" i="5"/>
  <c r="I503" i="5"/>
  <c r="J503" i="5"/>
  <c r="E504" i="5"/>
  <c r="F504" i="5"/>
  <c r="I504" i="5"/>
  <c r="J504" i="5"/>
  <c r="F505" i="5"/>
  <c r="I505" i="5"/>
  <c r="J505" i="5"/>
  <c r="F506" i="5"/>
  <c r="I506" i="5"/>
  <c r="J506" i="5"/>
  <c r="E507" i="5"/>
  <c r="F507" i="5"/>
  <c r="I507" i="5"/>
  <c r="J507" i="5"/>
  <c r="F508" i="5"/>
  <c r="I508" i="5"/>
  <c r="J508" i="5"/>
  <c r="E509" i="5"/>
  <c r="F509" i="5"/>
  <c r="I509" i="5"/>
  <c r="J509" i="5"/>
  <c r="F510" i="5"/>
  <c r="I510" i="5"/>
  <c r="J510" i="5"/>
  <c r="E511" i="5"/>
  <c r="F511" i="5"/>
  <c r="I511" i="5"/>
  <c r="J511" i="5"/>
  <c r="E512" i="5"/>
  <c r="F512" i="5"/>
  <c r="I512" i="5"/>
  <c r="J512" i="5"/>
  <c r="F513" i="5"/>
  <c r="I513" i="5"/>
  <c r="J513" i="5"/>
  <c r="E514" i="5"/>
  <c r="F514" i="5"/>
  <c r="I514" i="5"/>
  <c r="J514" i="5"/>
  <c r="F515" i="5"/>
  <c r="I515" i="5"/>
  <c r="J515" i="5"/>
  <c r="E516" i="5"/>
  <c r="F516" i="5"/>
  <c r="I516" i="5"/>
  <c r="J516" i="5"/>
  <c r="E517" i="5"/>
  <c r="F517" i="5"/>
  <c r="I517" i="5"/>
  <c r="J517" i="5"/>
  <c r="F518" i="5"/>
  <c r="I518" i="5"/>
  <c r="J518" i="5"/>
  <c r="E519" i="5"/>
  <c r="F519" i="5"/>
  <c r="I519" i="5"/>
  <c r="J519" i="5"/>
  <c r="E520" i="5"/>
  <c r="F520" i="5"/>
  <c r="I520" i="5"/>
  <c r="J520" i="5"/>
  <c r="E521" i="5"/>
  <c r="F521" i="5"/>
  <c r="I521" i="5"/>
  <c r="J521" i="5"/>
  <c r="E522" i="5"/>
  <c r="F522" i="5"/>
  <c r="I522" i="5"/>
  <c r="J522" i="5"/>
  <c r="E523" i="5"/>
  <c r="F523" i="5"/>
  <c r="I523" i="5"/>
  <c r="J523" i="5"/>
  <c r="E524" i="5"/>
  <c r="F524" i="5"/>
  <c r="I524" i="5"/>
  <c r="J524" i="5"/>
  <c r="E525" i="5"/>
  <c r="F525" i="5"/>
  <c r="I525" i="5"/>
  <c r="J525" i="5"/>
  <c r="E526" i="5"/>
  <c r="F526" i="5"/>
  <c r="I526" i="5"/>
  <c r="J526" i="5"/>
  <c r="E527" i="5"/>
  <c r="F527" i="5"/>
  <c r="I527" i="5"/>
  <c r="J527" i="5"/>
  <c r="E528" i="5"/>
  <c r="F528" i="5"/>
  <c r="I528" i="5"/>
  <c r="J528" i="5"/>
  <c r="E529" i="5"/>
  <c r="F529" i="5"/>
  <c r="I529" i="5"/>
  <c r="J529" i="5"/>
  <c r="E530" i="5"/>
  <c r="F530" i="5"/>
  <c r="I530" i="5"/>
  <c r="J530" i="5"/>
  <c r="E531" i="5"/>
  <c r="F531" i="5"/>
  <c r="I531" i="5"/>
  <c r="J531" i="5"/>
  <c r="E532" i="5"/>
  <c r="F532" i="5"/>
  <c r="I532" i="5"/>
  <c r="J532" i="5"/>
  <c r="E533" i="5"/>
  <c r="F533" i="5"/>
  <c r="I533" i="5"/>
  <c r="J533" i="5"/>
  <c r="F534" i="5"/>
  <c r="I534" i="5"/>
  <c r="J534" i="5"/>
  <c r="E535" i="5"/>
  <c r="F535" i="5"/>
  <c r="I535" i="5"/>
  <c r="J535" i="5"/>
  <c r="E536" i="5"/>
  <c r="F536" i="5"/>
  <c r="I536" i="5"/>
  <c r="J536" i="5"/>
  <c r="E537" i="5"/>
  <c r="F537" i="5"/>
  <c r="I537" i="5"/>
  <c r="J537" i="5"/>
  <c r="E538" i="5"/>
  <c r="F538" i="5"/>
  <c r="I538" i="5"/>
  <c r="J538" i="5"/>
  <c r="F539" i="5"/>
  <c r="I539" i="5"/>
  <c r="J539" i="5"/>
  <c r="E540" i="5"/>
  <c r="F540" i="5"/>
  <c r="I540" i="5"/>
  <c r="J540" i="5"/>
  <c r="E541" i="5"/>
  <c r="F541" i="5"/>
  <c r="I541" i="5"/>
  <c r="J541" i="5"/>
  <c r="E542" i="5"/>
  <c r="F542" i="5"/>
  <c r="I542" i="5"/>
  <c r="J542" i="5"/>
  <c r="E543" i="5"/>
  <c r="F543" i="5"/>
  <c r="I543" i="5"/>
  <c r="J543" i="5"/>
  <c r="E544" i="5"/>
  <c r="F544" i="5"/>
  <c r="I544" i="5"/>
  <c r="J544" i="5"/>
  <c r="E545" i="5"/>
  <c r="F545" i="5"/>
  <c r="I545" i="5"/>
  <c r="J545" i="5"/>
  <c r="E546" i="5"/>
  <c r="F546" i="5"/>
  <c r="I546" i="5"/>
  <c r="J546" i="5"/>
  <c r="E547" i="5"/>
  <c r="F547" i="5"/>
  <c r="I547" i="5"/>
  <c r="J547" i="5"/>
  <c r="E548" i="5"/>
  <c r="F548" i="5"/>
  <c r="I548" i="5"/>
  <c r="J548" i="5"/>
  <c r="F549" i="5"/>
  <c r="I549" i="5"/>
  <c r="J549" i="5"/>
  <c r="E550" i="5"/>
  <c r="F550" i="5"/>
  <c r="I550" i="5"/>
  <c r="J550" i="5"/>
  <c r="E551" i="5"/>
  <c r="F551" i="5"/>
  <c r="I551" i="5"/>
  <c r="J551" i="5"/>
  <c r="E552" i="5"/>
  <c r="F552" i="5"/>
  <c r="I552" i="5"/>
  <c r="J552" i="5"/>
  <c r="E553" i="5"/>
  <c r="F553" i="5"/>
  <c r="I553" i="5"/>
  <c r="J553" i="5"/>
  <c r="E554" i="5"/>
  <c r="F554" i="5"/>
  <c r="I554" i="5"/>
  <c r="J554" i="5"/>
  <c r="F555" i="5"/>
  <c r="I555" i="5"/>
  <c r="J555" i="5"/>
  <c r="F556" i="5"/>
  <c r="I556" i="5"/>
  <c r="J556" i="5"/>
  <c r="D558" i="5"/>
  <c r="E558" i="5"/>
  <c r="F558" i="5"/>
  <c r="H558" i="5"/>
  <c r="I558" i="5"/>
  <c r="J558" i="5"/>
  <c r="D559" i="5"/>
  <c r="E559" i="5"/>
  <c r="F559" i="5"/>
  <c r="H559" i="5"/>
  <c r="I559" i="5"/>
  <c r="J559" i="5"/>
  <c r="E563" i="5"/>
  <c r="F563" i="5"/>
  <c r="I563" i="5"/>
  <c r="J563" i="5"/>
  <c r="F564" i="5"/>
  <c r="I564" i="5"/>
  <c r="J564" i="5"/>
  <c r="F565" i="5"/>
  <c r="I565" i="5"/>
  <c r="J565" i="5"/>
  <c r="F566" i="5"/>
  <c r="I566" i="5"/>
  <c r="J566" i="5"/>
  <c r="E567" i="5"/>
  <c r="F567" i="5"/>
  <c r="I567" i="5"/>
  <c r="J567" i="5"/>
  <c r="F568" i="5"/>
  <c r="I568" i="5"/>
  <c r="J568" i="5"/>
  <c r="E569" i="5"/>
  <c r="F569" i="5"/>
  <c r="I569" i="5"/>
  <c r="J569" i="5"/>
  <c r="E570" i="5"/>
  <c r="F570" i="5"/>
  <c r="I570" i="5"/>
  <c r="J570" i="5"/>
  <c r="F571" i="5"/>
  <c r="I571" i="5"/>
  <c r="J571" i="5"/>
  <c r="E572" i="5"/>
  <c r="F572" i="5"/>
  <c r="I572" i="5"/>
  <c r="J572" i="5"/>
  <c r="E573" i="5"/>
  <c r="F573" i="5"/>
  <c r="I573" i="5"/>
  <c r="J573" i="5"/>
  <c r="E574" i="5"/>
  <c r="F574" i="5"/>
  <c r="I574" i="5"/>
  <c r="J574" i="5"/>
  <c r="F575" i="5"/>
  <c r="I575" i="5"/>
  <c r="J575" i="5"/>
  <c r="E576" i="5"/>
  <c r="F576" i="5"/>
  <c r="I576" i="5"/>
  <c r="J576" i="5"/>
  <c r="E577" i="5"/>
  <c r="F577" i="5"/>
  <c r="I577" i="5"/>
  <c r="J577" i="5"/>
  <c r="F578" i="5"/>
  <c r="I578" i="5"/>
  <c r="J578" i="5"/>
  <c r="E579" i="5"/>
  <c r="F579" i="5"/>
  <c r="I579" i="5"/>
  <c r="J579" i="5"/>
  <c r="F580" i="5"/>
  <c r="I580" i="5"/>
  <c r="J580" i="5"/>
  <c r="E581" i="5"/>
  <c r="F581" i="5"/>
  <c r="I581" i="5"/>
  <c r="J581" i="5"/>
  <c r="E582" i="5"/>
  <c r="F582" i="5"/>
  <c r="I582" i="5"/>
  <c r="J582" i="5"/>
  <c r="E583" i="5"/>
  <c r="F583" i="5"/>
  <c r="I583" i="5"/>
  <c r="J583" i="5"/>
  <c r="E584" i="5"/>
  <c r="F584" i="5"/>
  <c r="I584" i="5"/>
  <c r="J584" i="5"/>
  <c r="E585" i="5"/>
  <c r="F585" i="5"/>
  <c r="I585" i="5"/>
  <c r="J585" i="5"/>
  <c r="E586" i="5"/>
  <c r="F586" i="5"/>
  <c r="I586" i="5"/>
  <c r="J586" i="5"/>
  <c r="E587" i="5"/>
  <c r="F587" i="5"/>
  <c r="I587" i="5"/>
  <c r="J587" i="5"/>
  <c r="E588" i="5"/>
  <c r="F588" i="5"/>
  <c r="I588" i="5"/>
  <c r="J588" i="5"/>
  <c r="E589" i="5"/>
  <c r="F589" i="5"/>
  <c r="I589" i="5"/>
  <c r="J589" i="5"/>
  <c r="E590" i="5"/>
  <c r="F590" i="5"/>
  <c r="H590" i="5"/>
  <c r="I590" i="5"/>
  <c r="J590" i="5"/>
  <c r="F591" i="5"/>
  <c r="I591" i="5"/>
  <c r="J591" i="5"/>
  <c r="E592" i="5"/>
  <c r="F592" i="5"/>
  <c r="I592" i="5"/>
  <c r="J592" i="5"/>
  <c r="F593" i="5"/>
  <c r="I593" i="5"/>
  <c r="J593" i="5"/>
  <c r="F594" i="5"/>
  <c r="I594" i="5"/>
  <c r="J594" i="5"/>
  <c r="E595" i="5"/>
  <c r="F595" i="5"/>
  <c r="I595" i="5"/>
  <c r="J595" i="5"/>
  <c r="E596" i="5"/>
  <c r="F596" i="5"/>
  <c r="I596" i="5"/>
  <c r="J596" i="5"/>
  <c r="E597" i="5"/>
  <c r="F597" i="5"/>
  <c r="I597" i="5"/>
  <c r="J597" i="5"/>
  <c r="F598" i="5"/>
  <c r="I598" i="5"/>
  <c r="J598" i="5"/>
  <c r="E599" i="5"/>
  <c r="F599" i="5"/>
  <c r="I599" i="5"/>
  <c r="J599" i="5"/>
  <c r="E600" i="5"/>
  <c r="F600" i="5"/>
  <c r="I600" i="5"/>
  <c r="J600" i="5"/>
  <c r="F601" i="5"/>
  <c r="I601" i="5"/>
  <c r="J601" i="5"/>
  <c r="E602" i="5"/>
  <c r="F602" i="5"/>
  <c r="I602" i="5"/>
  <c r="J602" i="5"/>
  <c r="E603" i="5"/>
  <c r="F603" i="5"/>
  <c r="I603" i="5"/>
  <c r="J603" i="5"/>
  <c r="E604" i="5"/>
  <c r="F604" i="5"/>
  <c r="I604" i="5"/>
  <c r="J604" i="5"/>
  <c r="F605" i="5"/>
  <c r="I605" i="5"/>
  <c r="J605" i="5"/>
  <c r="E606" i="5"/>
  <c r="F606" i="5"/>
  <c r="I606" i="5"/>
  <c r="J606" i="5"/>
  <c r="E607" i="5"/>
  <c r="F607" i="5"/>
  <c r="I607" i="5"/>
  <c r="J607" i="5"/>
  <c r="F608" i="5"/>
  <c r="H608" i="5"/>
  <c r="I608" i="5"/>
  <c r="J608" i="5"/>
  <c r="F609" i="5"/>
  <c r="I609" i="5"/>
  <c r="J609" i="5"/>
  <c r="F610" i="5"/>
  <c r="I610" i="5"/>
  <c r="J610" i="5"/>
  <c r="E611" i="5"/>
  <c r="F611" i="5"/>
  <c r="I611" i="5"/>
  <c r="J611" i="5"/>
  <c r="F612" i="5"/>
  <c r="I612" i="5"/>
  <c r="J612" i="5"/>
  <c r="E613" i="5"/>
  <c r="F613" i="5"/>
  <c r="I613" i="5"/>
  <c r="J613" i="5"/>
  <c r="E614" i="5"/>
  <c r="F614" i="5"/>
  <c r="I614" i="5"/>
  <c r="J614" i="5"/>
  <c r="E615" i="5"/>
  <c r="F615" i="5"/>
  <c r="I615" i="5"/>
  <c r="J615" i="5"/>
  <c r="E616" i="5"/>
  <c r="F616" i="5"/>
  <c r="I616" i="5"/>
  <c r="J616" i="5"/>
  <c r="F617" i="5"/>
  <c r="I617" i="5"/>
  <c r="J617" i="5"/>
  <c r="E618" i="5"/>
  <c r="F618" i="5"/>
  <c r="I618" i="5"/>
  <c r="J618" i="5"/>
  <c r="F619" i="5"/>
  <c r="I619" i="5"/>
  <c r="J619" i="5"/>
  <c r="E620" i="5"/>
  <c r="F620" i="5"/>
  <c r="I620" i="5"/>
  <c r="J620" i="5"/>
  <c r="F621" i="5"/>
  <c r="I621" i="5"/>
  <c r="J621" i="5"/>
  <c r="F622" i="5"/>
  <c r="I622" i="5"/>
  <c r="J622" i="5"/>
  <c r="F623" i="5"/>
  <c r="I623" i="5"/>
  <c r="J623" i="5"/>
  <c r="F624" i="5"/>
  <c r="I624" i="5"/>
  <c r="J624" i="5"/>
  <c r="E625" i="5"/>
  <c r="F625" i="5"/>
  <c r="I625" i="5"/>
  <c r="J625" i="5"/>
  <c r="E626" i="5"/>
  <c r="F626" i="5"/>
  <c r="I626" i="5"/>
  <c r="J626" i="5"/>
  <c r="E627" i="5"/>
  <c r="F627" i="5"/>
  <c r="I627" i="5"/>
  <c r="J627" i="5"/>
  <c r="F628" i="5"/>
  <c r="I628" i="5"/>
  <c r="J628" i="5"/>
  <c r="E629" i="5"/>
  <c r="F629" i="5"/>
  <c r="I629" i="5"/>
  <c r="J629" i="5"/>
  <c r="E630" i="5"/>
  <c r="F630" i="5"/>
  <c r="I630" i="5"/>
  <c r="J630" i="5"/>
  <c r="E631" i="5"/>
  <c r="F631" i="5"/>
  <c r="I631" i="5"/>
  <c r="J631" i="5"/>
  <c r="E632" i="5"/>
  <c r="F632" i="5"/>
  <c r="I632" i="5"/>
  <c r="J632" i="5"/>
  <c r="E633" i="5"/>
  <c r="F633" i="5"/>
  <c r="I633" i="5"/>
  <c r="J633" i="5"/>
  <c r="E634" i="5"/>
  <c r="F634" i="5"/>
  <c r="I634" i="5"/>
  <c r="J634" i="5"/>
  <c r="E635" i="5"/>
  <c r="F635" i="5"/>
  <c r="I635" i="5"/>
  <c r="J635" i="5"/>
  <c r="E636" i="5"/>
  <c r="F636" i="5"/>
  <c r="I636" i="5"/>
  <c r="J636" i="5"/>
  <c r="E637" i="5"/>
  <c r="F637" i="5"/>
  <c r="I637" i="5"/>
  <c r="J637" i="5"/>
  <c r="E638" i="5"/>
  <c r="F638" i="5"/>
  <c r="I638" i="5"/>
  <c r="J638" i="5"/>
  <c r="F639" i="5"/>
  <c r="I639" i="5"/>
  <c r="J639" i="5"/>
  <c r="F640" i="5"/>
  <c r="I640" i="5"/>
  <c r="J640" i="5"/>
  <c r="E641" i="5"/>
  <c r="F641" i="5"/>
  <c r="I641" i="5"/>
  <c r="J641" i="5"/>
  <c r="E642" i="5"/>
  <c r="F642" i="5"/>
  <c r="I642" i="5"/>
  <c r="J642" i="5"/>
  <c r="D644" i="5"/>
  <c r="E644" i="5"/>
  <c r="F644" i="5"/>
  <c r="H644" i="5"/>
  <c r="I644" i="5"/>
  <c r="J644" i="5"/>
  <c r="D645" i="5"/>
  <c r="E645" i="5"/>
  <c r="F645" i="5"/>
  <c r="H645" i="5"/>
  <c r="I645" i="5"/>
  <c r="J645" i="5"/>
  <c r="E5" i="4"/>
  <c r="K5" i="4"/>
  <c r="Q5" i="4"/>
  <c r="K6" i="4"/>
  <c r="E7" i="4"/>
  <c r="Q7" i="4"/>
  <c r="K8" i="4"/>
  <c r="K9" i="4"/>
  <c r="B10" i="4"/>
  <c r="K10" i="4"/>
  <c r="K11" i="4"/>
  <c r="N11" i="4"/>
  <c r="K12" i="4"/>
  <c r="H13" i="4"/>
  <c r="K13" i="4"/>
  <c r="N13" i="4"/>
  <c r="Q13" i="4"/>
  <c r="E14" i="4"/>
  <c r="Q14" i="4"/>
  <c r="K15" i="4"/>
  <c r="Q15" i="4"/>
  <c r="H16" i="4"/>
  <c r="K16" i="4"/>
  <c r="Q17" i="4"/>
  <c r="H18" i="4"/>
  <c r="K18" i="4"/>
  <c r="B22" i="4"/>
  <c r="E22" i="4"/>
  <c r="H22" i="4"/>
  <c r="K22" i="4"/>
  <c r="N22" i="4"/>
  <c r="Q22" i="4"/>
  <c r="B23" i="4"/>
  <c r="E23" i="4"/>
  <c r="H23" i="4"/>
  <c r="K23" i="4"/>
  <c r="N23" i="4"/>
  <c r="Q23" i="4"/>
  <c r="E5" i="3"/>
  <c r="F5" i="3"/>
  <c r="G5" i="3"/>
  <c r="E6" i="3"/>
  <c r="F6" i="3"/>
  <c r="G6" i="3"/>
  <c r="E7" i="3"/>
  <c r="F7" i="3"/>
  <c r="G7" i="3"/>
  <c r="F8" i="3"/>
  <c r="G8" i="3"/>
  <c r="E9" i="3"/>
  <c r="F9" i="3"/>
  <c r="G9" i="3"/>
  <c r="E10" i="3"/>
  <c r="F10" i="3"/>
  <c r="G10" i="3"/>
  <c r="F11" i="3"/>
  <c r="G11" i="3"/>
  <c r="E12" i="3"/>
  <c r="F12" i="3"/>
  <c r="G12" i="3"/>
  <c r="E13" i="3"/>
  <c r="F13" i="3"/>
  <c r="G13" i="3"/>
  <c r="F14" i="3"/>
  <c r="G14" i="3"/>
  <c r="E15" i="3"/>
  <c r="F15" i="3"/>
  <c r="G15" i="3"/>
  <c r="F16" i="3"/>
  <c r="G16" i="3"/>
  <c r="E17" i="3"/>
  <c r="F17" i="3"/>
  <c r="G17" i="3"/>
  <c r="E18" i="3"/>
  <c r="F18" i="3"/>
  <c r="G18" i="3"/>
  <c r="F19" i="3"/>
  <c r="G19" i="3"/>
  <c r="E20" i="3"/>
  <c r="F20" i="3"/>
  <c r="G20" i="3"/>
  <c r="E21" i="3"/>
  <c r="F21" i="3"/>
  <c r="G21" i="3"/>
  <c r="E22" i="3"/>
  <c r="F22" i="3"/>
  <c r="G22" i="3"/>
  <c r="E23" i="3"/>
  <c r="F23" i="3"/>
  <c r="G23" i="3"/>
  <c r="E24" i="3"/>
  <c r="F24" i="3"/>
  <c r="G24" i="3"/>
  <c r="E25" i="3"/>
  <c r="F25" i="3"/>
  <c r="G25" i="3"/>
  <c r="E26" i="3"/>
  <c r="F26" i="3"/>
  <c r="G26" i="3"/>
  <c r="E27" i="3"/>
  <c r="F27" i="3"/>
  <c r="G27" i="3"/>
  <c r="E28" i="3"/>
  <c r="F28" i="3"/>
  <c r="G28" i="3"/>
  <c r="E29" i="3"/>
  <c r="F29" i="3"/>
  <c r="G29" i="3"/>
  <c r="E30" i="3"/>
  <c r="F30" i="3"/>
  <c r="G30" i="3"/>
  <c r="E31" i="3"/>
  <c r="F31" i="3"/>
  <c r="G31" i="3"/>
  <c r="E32" i="3"/>
  <c r="F32" i="3"/>
  <c r="G32" i="3"/>
  <c r="E33" i="3"/>
  <c r="F33" i="3"/>
  <c r="G33" i="3"/>
  <c r="F34" i="3"/>
  <c r="G34" i="3"/>
  <c r="E35" i="3"/>
  <c r="F35" i="3"/>
  <c r="G35" i="3"/>
  <c r="E36" i="3"/>
  <c r="F36" i="3"/>
  <c r="G36" i="3"/>
  <c r="E37" i="3"/>
  <c r="F37" i="3"/>
  <c r="G37" i="3"/>
  <c r="E38" i="3"/>
  <c r="F38" i="3"/>
  <c r="G38" i="3"/>
  <c r="F39" i="3"/>
  <c r="G39" i="3"/>
  <c r="E40" i="3"/>
  <c r="F40" i="3"/>
  <c r="G40" i="3"/>
  <c r="E41" i="3"/>
  <c r="F41" i="3"/>
  <c r="G41" i="3"/>
  <c r="E42" i="3"/>
  <c r="F42" i="3"/>
  <c r="G42" i="3"/>
  <c r="E43" i="3"/>
  <c r="F43" i="3"/>
  <c r="G43" i="3"/>
  <c r="F44" i="3"/>
  <c r="G44" i="3"/>
  <c r="F45" i="3"/>
  <c r="G45" i="3"/>
  <c r="E46" i="3"/>
  <c r="F46" i="3"/>
  <c r="G46" i="3"/>
  <c r="E47" i="3"/>
  <c r="F47" i="3"/>
  <c r="G47" i="3"/>
  <c r="E48" i="3"/>
  <c r="F48" i="3"/>
  <c r="G48" i="3"/>
  <c r="F49" i="3"/>
  <c r="G49" i="3"/>
  <c r="F50" i="3"/>
  <c r="G50" i="3"/>
  <c r="F51" i="3"/>
  <c r="G51" i="3"/>
  <c r="E52" i="3"/>
  <c r="F52" i="3"/>
  <c r="G52" i="3"/>
  <c r="F53" i="3"/>
  <c r="G53" i="3"/>
  <c r="E54" i="3"/>
  <c r="F54" i="3"/>
  <c r="G54" i="3"/>
  <c r="F55" i="3"/>
  <c r="G55" i="3"/>
  <c r="E56" i="3"/>
  <c r="F56" i="3"/>
  <c r="G56" i="3"/>
  <c r="F57" i="3"/>
  <c r="G57" i="3"/>
  <c r="E58" i="3"/>
  <c r="F58" i="3"/>
  <c r="G58" i="3"/>
  <c r="E59" i="3"/>
  <c r="F59" i="3"/>
  <c r="G59" i="3"/>
  <c r="F60" i="3"/>
  <c r="G60" i="3"/>
  <c r="E61" i="3"/>
  <c r="F61" i="3"/>
  <c r="G61" i="3"/>
  <c r="E62" i="3"/>
  <c r="F62" i="3"/>
  <c r="G62" i="3"/>
  <c r="F63" i="3"/>
  <c r="G63" i="3"/>
  <c r="E64" i="3"/>
  <c r="F64" i="3"/>
  <c r="G64" i="3"/>
  <c r="E65" i="3"/>
  <c r="F65" i="3"/>
  <c r="G65" i="3"/>
  <c r="F66" i="3"/>
  <c r="G66" i="3"/>
  <c r="F67" i="3"/>
  <c r="G67" i="3"/>
  <c r="F68" i="3"/>
  <c r="G68" i="3"/>
  <c r="E69" i="3"/>
  <c r="F69" i="3"/>
  <c r="G69" i="3"/>
  <c r="F70" i="3"/>
  <c r="G70" i="3"/>
  <c r="E71" i="3"/>
  <c r="F71" i="3"/>
  <c r="G71" i="3"/>
  <c r="F72" i="3"/>
  <c r="G72" i="3"/>
  <c r="F73" i="3"/>
  <c r="G73" i="3"/>
  <c r="F74" i="3"/>
  <c r="G74" i="3"/>
  <c r="E75" i="3"/>
  <c r="F75" i="3"/>
  <c r="G75" i="3"/>
  <c r="E76" i="3"/>
  <c r="F76" i="3"/>
  <c r="G76" i="3"/>
  <c r="E77" i="3"/>
  <c r="F77" i="3"/>
  <c r="G77" i="3"/>
  <c r="E78" i="3"/>
  <c r="F78" i="3"/>
  <c r="G78" i="3"/>
  <c r="F79" i="3"/>
  <c r="G79" i="3"/>
  <c r="E80" i="3"/>
  <c r="F80" i="3"/>
  <c r="G80" i="3"/>
  <c r="F81" i="3"/>
  <c r="G81" i="3"/>
  <c r="F82" i="3"/>
  <c r="G82" i="3"/>
  <c r="E83" i="3"/>
  <c r="F83" i="3"/>
  <c r="G83" i="3"/>
  <c r="E84" i="3"/>
  <c r="F84" i="3"/>
  <c r="G84" i="3"/>
  <c r="E85" i="3"/>
  <c r="F85" i="3"/>
  <c r="G85" i="3"/>
  <c r="E86" i="3"/>
  <c r="F86" i="3"/>
  <c r="G86" i="3"/>
  <c r="E87" i="3"/>
  <c r="F87" i="3"/>
  <c r="G87" i="3"/>
  <c r="F88" i="3"/>
  <c r="G88" i="3"/>
  <c r="E89" i="3"/>
  <c r="F89" i="3"/>
  <c r="G89" i="3"/>
  <c r="E90" i="3"/>
  <c r="F90" i="3"/>
  <c r="G90" i="3"/>
  <c r="F91" i="3"/>
  <c r="G91" i="3"/>
  <c r="F92" i="3"/>
  <c r="G92" i="3"/>
  <c r="E93" i="3"/>
  <c r="F93" i="3"/>
  <c r="G93" i="3"/>
  <c r="E94" i="3"/>
  <c r="F94" i="3"/>
  <c r="G94" i="3"/>
  <c r="E95" i="3"/>
  <c r="F95" i="3"/>
  <c r="G95" i="3"/>
  <c r="F96" i="3"/>
  <c r="G96" i="3"/>
  <c r="E97" i="3"/>
  <c r="F97" i="3"/>
  <c r="G97" i="3"/>
  <c r="E98" i="3"/>
  <c r="F98" i="3"/>
  <c r="G98" i="3"/>
  <c r="E99" i="3"/>
  <c r="F99" i="3"/>
  <c r="G99" i="3"/>
  <c r="F100" i="3"/>
  <c r="G100" i="3"/>
  <c r="F101" i="3"/>
  <c r="G101" i="3"/>
  <c r="E102" i="3"/>
  <c r="F102" i="3"/>
  <c r="G102" i="3"/>
  <c r="E103" i="3"/>
  <c r="F103" i="3"/>
  <c r="G103" i="3"/>
  <c r="E104" i="3"/>
  <c r="F104" i="3"/>
  <c r="G104" i="3"/>
  <c r="E105" i="3"/>
  <c r="F105" i="3"/>
  <c r="G105" i="3"/>
  <c r="F106" i="3"/>
  <c r="G106" i="3"/>
  <c r="F107" i="3"/>
  <c r="G107" i="3"/>
  <c r="E108" i="3"/>
  <c r="F108" i="3"/>
  <c r="G108" i="3"/>
  <c r="F109" i="3"/>
  <c r="G109" i="3"/>
  <c r="F110" i="3"/>
  <c r="G110" i="3"/>
  <c r="F111" i="3"/>
  <c r="G111" i="3"/>
  <c r="E112" i="3"/>
  <c r="F112" i="3"/>
  <c r="G112" i="3"/>
  <c r="F113" i="3"/>
  <c r="G113" i="3"/>
  <c r="F114" i="3"/>
  <c r="G114" i="3"/>
  <c r="E115" i="3"/>
  <c r="F115" i="3"/>
  <c r="G115" i="3"/>
  <c r="E116" i="3"/>
  <c r="F116" i="3"/>
  <c r="G116" i="3"/>
  <c r="F117" i="3"/>
  <c r="G117" i="3"/>
  <c r="E118" i="3"/>
  <c r="F118" i="3"/>
  <c r="G118" i="3"/>
  <c r="E119" i="3"/>
  <c r="F119" i="3"/>
  <c r="G119" i="3"/>
  <c r="F120" i="3"/>
  <c r="G120" i="3"/>
  <c r="F121" i="3"/>
  <c r="G121" i="3"/>
  <c r="F122" i="3"/>
  <c r="G122" i="3"/>
  <c r="E123" i="3"/>
  <c r="F123" i="3"/>
  <c r="G123" i="3"/>
  <c r="E124" i="3"/>
  <c r="F124" i="3"/>
  <c r="G124" i="3"/>
  <c r="E125" i="3"/>
  <c r="F125" i="3"/>
  <c r="G125" i="3"/>
  <c r="F126" i="3"/>
  <c r="G126" i="3"/>
  <c r="D128" i="3"/>
  <c r="E128" i="3"/>
  <c r="F128" i="3"/>
  <c r="G128" i="3"/>
  <c r="D129" i="3"/>
  <c r="E129" i="3"/>
  <c r="F129" i="3"/>
  <c r="G129" i="3"/>
  <c r="F133" i="3"/>
  <c r="G133" i="3"/>
  <c r="E134" i="3"/>
  <c r="F134" i="3"/>
  <c r="G134" i="3"/>
  <c r="E135" i="3"/>
  <c r="F135" i="3"/>
  <c r="G135" i="3"/>
  <c r="E136" i="3"/>
  <c r="F136" i="3"/>
  <c r="G136" i="3"/>
  <c r="E137" i="3"/>
  <c r="F137" i="3"/>
  <c r="G137" i="3"/>
  <c r="E138" i="3"/>
  <c r="F138" i="3"/>
  <c r="G138" i="3"/>
  <c r="E139" i="3"/>
  <c r="F139" i="3"/>
  <c r="G139" i="3"/>
  <c r="E140" i="3"/>
  <c r="F140" i="3"/>
  <c r="G140" i="3"/>
  <c r="E141" i="3"/>
  <c r="F141" i="3"/>
  <c r="G141" i="3"/>
  <c r="F142" i="3"/>
  <c r="G142" i="3"/>
  <c r="E143" i="3"/>
  <c r="F143" i="3"/>
  <c r="G143" i="3"/>
  <c r="E144" i="3"/>
  <c r="F144" i="3"/>
  <c r="G144" i="3"/>
  <c r="F145" i="3"/>
  <c r="G145" i="3"/>
  <c r="F146" i="3"/>
  <c r="G146" i="3"/>
  <c r="E147" i="3"/>
  <c r="F147" i="3"/>
  <c r="G147" i="3"/>
  <c r="F148" i="3"/>
  <c r="G148" i="3"/>
  <c r="F149" i="3"/>
  <c r="G149" i="3"/>
  <c r="F150" i="3"/>
  <c r="G150" i="3"/>
  <c r="E151" i="3"/>
  <c r="F151" i="3"/>
  <c r="G151" i="3"/>
  <c r="E152" i="3"/>
  <c r="F152" i="3"/>
  <c r="G152" i="3"/>
  <c r="E153" i="3"/>
  <c r="F153" i="3"/>
  <c r="G153" i="3"/>
  <c r="E154" i="3"/>
  <c r="F154" i="3"/>
  <c r="G154" i="3"/>
  <c r="E155" i="3"/>
  <c r="F155" i="3"/>
  <c r="G155" i="3"/>
  <c r="E156" i="3"/>
  <c r="F156" i="3"/>
  <c r="G156" i="3"/>
  <c r="F157" i="3"/>
  <c r="G157" i="3"/>
  <c r="F158" i="3"/>
  <c r="G158" i="3"/>
  <c r="E159" i="3"/>
  <c r="F159" i="3"/>
  <c r="G159" i="3"/>
  <c r="F160" i="3"/>
  <c r="G160" i="3"/>
  <c r="E161" i="3"/>
  <c r="F161" i="3"/>
  <c r="G161" i="3"/>
  <c r="F162" i="3"/>
  <c r="G162" i="3"/>
  <c r="E163" i="3"/>
  <c r="F163" i="3"/>
  <c r="G163" i="3"/>
  <c r="F164" i="3"/>
  <c r="G164" i="3"/>
  <c r="E165" i="3"/>
  <c r="F165" i="3"/>
  <c r="G165" i="3"/>
  <c r="F166" i="3"/>
  <c r="G166" i="3"/>
  <c r="F167" i="3"/>
  <c r="G167" i="3"/>
  <c r="F168" i="3"/>
  <c r="G168" i="3"/>
  <c r="F169" i="3"/>
  <c r="G169" i="3"/>
  <c r="F170" i="3"/>
  <c r="G170" i="3"/>
  <c r="F171" i="3"/>
  <c r="G171" i="3"/>
  <c r="F172" i="3"/>
  <c r="G172" i="3"/>
  <c r="F173" i="3"/>
  <c r="G173" i="3"/>
  <c r="E174" i="3"/>
  <c r="F174" i="3"/>
  <c r="G174" i="3"/>
  <c r="F175" i="3"/>
  <c r="G175" i="3"/>
  <c r="F176" i="3"/>
  <c r="G176" i="3"/>
  <c r="F177" i="3"/>
  <c r="G177" i="3"/>
  <c r="F178" i="3"/>
  <c r="G178" i="3"/>
  <c r="F179" i="3"/>
  <c r="G179" i="3"/>
  <c r="F180" i="3"/>
  <c r="G180" i="3"/>
  <c r="F181" i="3"/>
  <c r="G181" i="3"/>
  <c r="E182" i="3"/>
  <c r="F182" i="3"/>
  <c r="G182" i="3"/>
  <c r="F183" i="3"/>
  <c r="G183" i="3"/>
  <c r="F184" i="3"/>
  <c r="G184" i="3"/>
  <c r="E185" i="3"/>
  <c r="F185" i="3"/>
  <c r="G185" i="3"/>
  <c r="E186" i="3"/>
  <c r="F186" i="3"/>
  <c r="G186" i="3"/>
  <c r="E187" i="3"/>
  <c r="F187" i="3"/>
  <c r="G187" i="3"/>
  <c r="E188" i="3"/>
  <c r="F188" i="3"/>
  <c r="G188" i="3"/>
  <c r="E189" i="3"/>
  <c r="F189" i="3"/>
  <c r="G189" i="3"/>
  <c r="F190" i="3"/>
  <c r="G190" i="3"/>
  <c r="F191" i="3"/>
  <c r="G191" i="3"/>
  <c r="E192" i="3"/>
  <c r="F192" i="3"/>
  <c r="G192" i="3"/>
  <c r="F193" i="3"/>
  <c r="G193" i="3"/>
  <c r="E194" i="3"/>
  <c r="F194" i="3"/>
  <c r="G194" i="3"/>
  <c r="F195" i="3"/>
  <c r="G195" i="3"/>
  <c r="E196" i="3"/>
  <c r="F196" i="3"/>
  <c r="G196" i="3"/>
  <c r="E197" i="3"/>
  <c r="F197" i="3"/>
  <c r="G197" i="3"/>
  <c r="E198" i="3"/>
  <c r="F198" i="3"/>
  <c r="G198" i="3"/>
  <c r="E199" i="3"/>
  <c r="F199" i="3"/>
  <c r="G199" i="3"/>
  <c r="F200" i="3"/>
  <c r="G200" i="3"/>
  <c r="F201" i="3"/>
  <c r="G201" i="3"/>
  <c r="F202" i="3"/>
  <c r="G202" i="3"/>
  <c r="F203" i="3"/>
  <c r="G203" i="3"/>
  <c r="E204" i="3"/>
  <c r="F204" i="3"/>
  <c r="G204" i="3"/>
  <c r="F205" i="3"/>
  <c r="G205" i="3"/>
  <c r="F206" i="3"/>
  <c r="G206" i="3"/>
  <c r="F207" i="3"/>
  <c r="G207" i="3"/>
  <c r="E208" i="3"/>
  <c r="F208" i="3"/>
  <c r="G208" i="3"/>
  <c r="E209" i="3"/>
  <c r="F209" i="3"/>
  <c r="G209" i="3"/>
  <c r="E210" i="3"/>
  <c r="F210" i="3"/>
  <c r="G210" i="3"/>
  <c r="F211" i="3"/>
  <c r="G211" i="3"/>
  <c r="E212" i="3"/>
  <c r="F212" i="3"/>
  <c r="G212" i="3"/>
  <c r="E213" i="3"/>
  <c r="F213" i="3"/>
  <c r="G213" i="3"/>
  <c r="E214" i="3"/>
  <c r="F214" i="3"/>
  <c r="G214" i="3"/>
  <c r="E215" i="3"/>
  <c r="F215" i="3"/>
  <c r="G215" i="3"/>
  <c r="E216" i="3"/>
  <c r="F216" i="3"/>
  <c r="G216" i="3"/>
  <c r="E217" i="3"/>
  <c r="F217" i="3"/>
  <c r="G217" i="3"/>
  <c r="F218" i="3"/>
  <c r="G218" i="3"/>
  <c r="F219" i="3"/>
  <c r="G219" i="3"/>
  <c r="F220" i="3"/>
  <c r="G220" i="3"/>
  <c r="E221" i="3"/>
  <c r="F221" i="3"/>
  <c r="G221" i="3"/>
  <c r="F222" i="3"/>
  <c r="G222" i="3"/>
  <c r="F223" i="3"/>
  <c r="G223" i="3"/>
  <c r="F224" i="3"/>
  <c r="G224" i="3"/>
  <c r="F225" i="3"/>
  <c r="G225" i="3"/>
  <c r="F226" i="3"/>
  <c r="G226" i="3"/>
  <c r="F227" i="3"/>
  <c r="G227" i="3"/>
  <c r="E228" i="3"/>
  <c r="F228" i="3"/>
  <c r="G228" i="3"/>
  <c r="F229" i="3"/>
  <c r="G229" i="3"/>
  <c r="F230" i="3"/>
  <c r="G230" i="3"/>
  <c r="E231" i="3"/>
  <c r="F231" i="3"/>
  <c r="G231" i="3"/>
  <c r="E232" i="3"/>
  <c r="F232" i="3"/>
  <c r="G232" i="3"/>
  <c r="F233" i="3"/>
  <c r="G233" i="3"/>
  <c r="E234" i="3"/>
  <c r="F234" i="3"/>
  <c r="G234" i="3"/>
  <c r="F235" i="3"/>
  <c r="G235" i="3"/>
  <c r="F236" i="3"/>
  <c r="G236" i="3"/>
  <c r="E237" i="3"/>
  <c r="F237" i="3"/>
  <c r="G237" i="3"/>
  <c r="F238" i="3"/>
  <c r="G238" i="3"/>
  <c r="F239" i="3"/>
  <c r="G239" i="3"/>
  <c r="E240" i="3"/>
  <c r="F240" i="3"/>
  <c r="G240" i="3"/>
  <c r="E241" i="3"/>
  <c r="F241" i="3"/>
  <c r="G241" i="3"/>
  <c r="E242" i="3"/>
  <c r="F242" i="3"/>
  <c r="G242" i="3"/>
  <c r="E243" i="3"/>
  <c r="F243" i="3"/>
  <c r="G243" i="3"/>
  <c r="F244" i="3"/>
  <c r="G244" i="3"/>
  <c r="E245" i="3"/>
  <c r="F245" i="3"/>
  <c r="G245" i="3"/>
  <c r="E246" i="3"/>
  <c r="F246" i="3"/>
  <c r="G246" i="3"/>
  <c r="E247" i="3"/>
  <c r="F247" i="3"/>
  <c r="G247" i="3"/>
  <c r="E248" i="3"/>
  <c r="F248" i="3"/>
  <c r="G248" i="3"/>
  <c r="E249" i="3"/>
  <c r="F249" i="3"/>
  <c r="G249" i="3"/>
  <c r="E250" i="3"/>
  <c r="F250" i="3"/>
  <c r="G250" i="3"/>
  <c r="E251" i="3"/>
  <c r="F251" i="3"/>
  <c r="G251" i="3"/>
  <c r="F252" i="3"/>
  <c r="G252" i="3"/>
  <c r="E253" i="3"/>
  <c r="F253" i="3"/>
  <c r="G253" i="3"/>
  <c r="E254" i="3"/>
  <c r="F254" i="3"/>
  <c r="G254" i="3"/>
  <c r="D256" i="3"/>
  <c r="E256" i="3"/>
  <c r="F256" i="3"/>
  <c r="G256" i="3"/>
  <c r="D257" i="3"/>
  <c r="E257" i="3"/>
  <c r="F257" i="3"/>
  <c r="G257" i="3"/>
  <c r="F261" i="3"/>
  <c r="G261" i="3"/>
  <c r="E262" i="3"/>
  <c r="F262" i="3"/>
  <c r="G262" i="3"/>
  <c r="E263" i="3"/>
  <c r="F263" i="3"/>
  <c r="G263" i="3"/>
  <c r="F264" i="3"/>
  <c r="G264" i="3"/>
  <c r="F265" i="3"/>
  <c r="G265" i="3"/>
  <c r="F266" i="3"/>
  <c r="G266" i="3"/>
  <c r="E267" i="3"/>
  <c r="F267" i="3"/>
  <c r="G267" i="3"/>
  <c r="F268" i="3"/>
  <c r="G268" i="3"/>
  <c r="E269" i="3"/>
  <c r="F269" i="3"/>
  <c r="G269" i="3"/>
  <c r="E270" i="3"/>
  <c r="F270" i="3"/>
  <c r="G270" i="3"/>
  <c r="E271" i="3"/>
  <c r="F271" i="3"/>
  <c r="G271" i="3"/>
  <c r="E272" i="3"/>
  <c r="F272" i="3"/>
  <c r="G272" i="3"/>
  <c r="E273" i="3"/>
  <c r="F273" i="3"/>
  <c r="G273" i="3"/>
  <c r="E274" i="3"/>
  <c r="F274" i="3"/>
  <c r="G274" i="3"/>
  <c r="F275" i="3"/>
  <c r="G275" i="3"/>
  <c r="F276" i="3"/>
  <c r="G276" i="3"/>
  <c r="F277" i="3"/>
  <c r="G277" i="3"/>
  <c r="E278" i="3"/>
  <c r="F278" i="3"/>
  <c r="G278" i="3"/>
  <c r="F279" i="3"/>
  <c r="G279" i="3"/>
  <c r="E280" i="3"/>
  <c r="F280" i="3"/>
  <c r="G280" i="3"/>
  <c r="E281" i="3"/>
  <c r="F281" i="3"/>
  <c r="G281" i="3"/>
  <c r="E282" i="3"/>
  <c r="F282" i="3"/>
  <c r="G282" i="3"/>
  <c r="E283" i="3"/>
  <c r="F283" i="3"/>
  <c r="G283" i="3"/>
  <c r="E284" i="3"/>
  <c r="F284" i="3"/>
  <c r="G284" i="3"/>
  <c r="F285" i="3"/>
  <c r="G285" i="3"/>
  <c r="E286" i="3"/>
  <c r="F286" i="3"/>
  <c r="G286" i="3"/>
  <c r="F287" i="3"/>
  <c r="G287" i="3"/>
  <c r="E288" i="3"/>
  <c r="F288" i="3"/>
  <c r="G288" i="3"/>
  <c r="E289" i="3"/>
  <c r="F289" i="3"/>
  <c r="G289" i="3"/>
  <c r="E290" i="3"/>
  <c r="F290" i="3"/>
  <c r="G290" i="3"/>
  <c r="F291" i="3"/>
  <c r="G291" i="3"/>
  <c r="F292" i="3"/>
  <c r="G292" i="3"/>
  <c r="F293" i="3"/>
  <c r="G293" i="3"/>
  <c r="F294" i="3"/>
  <c r="G294" i="3"/>
  <c r="F295" i="3"/>
  <c r="G295" i="3"/>
  <c r="E296" i="3"/>
  <c r="F296" i="3"/>
  <c r="G296" i="3"/>
  <c r="E297" i="3"/>
  <c r="F297" i="3"/>
  <c r="G297" i="3"/>
  <c r="E298" i="3"/>
  <c r="F298" i="3"/>
  <c r="G298" i="3"/>
  <c r="E299" i="3"/>
  <c r="F299" i="3"/>
  <c r="G299" i="3"/>
  <c r="E300" i="3"/>
  <c r="F300" i="3"/>
  <c r="G300" i="3"/>
  <c r="E301" i="3"/>
  <c r="F301" i="3"/>
  <c r="G301" i="3"/>
  <c r="E302" i="3"/>
  <c r="F302" i="3"/>
  <c r="G302" i="3"/>
  <c r="F303" i="3"/>
  <c r="G303" i="3"/>
  <c r="F304" i="3"/>
  <c r="G304" i="3"/>
  <c r="E305" i="3"/>
  <c r="F305" i="3"/>
  <c r="G305" i="3"/>
  <c r="F306" i="3"/>
  <c r="G306" i="3"/>
  <c r="E307" i="3"/>
  <c r="F307" i="3"/>
  <c r="G307" i="3"/>
  <c r="E308" i="3"/>
  <c r="F308" i="3"/>
  <c r="G308" i="3"/>
  <c r="E309" i="3"/>
  <c r="F309" i="3"/>
  <c r="G309" i="3"/>
  <c r="F310" i="3"/>
  <c r="G310" i="3"/>
  <c r="F311" i="3"/>
  <c r="G311" i="3"/>
  <c r="F312" i="3"/>
  <c r="G312" i="3"/>
  <c r="F313" i="3"/>
  <c r="G313" i="3"/>
  <c r="E314" i="3"/>
  <c r="F314" i="3"/>
  <c r="G314" i="3"/>
  <c r="F315" i="3"/>
  <c r="G315" i="3"/>
  <c r="E316" i="3"/>
  <c r="F316" i="3"/>
  <c r="G316" i="3"/>
  <c r="F317" i="3"/>
  <c r="G317" i="3"/>
  <c r="E318" i="3"/>
  <c r="F318" i="3"/>
  <c r="G318" i="3"/>
  <c r="F319" i="3"/>
  <c r="G319" i="3"/>
  <c r="F320" i="3"/>
  <c r="G320" i="3"/>
  <c r="F321" i="3"/>
  <c r="G321" i="3"/>
  <c r="F322" i="3"/>
  <c r="G322" i="3"/>
  <c r="E323" i="3"/>
  <c r="F323" i="3"/>
  <c r="G323" i="3"/>
  <c r="E324" i="3"/>
  <c r="F324" i="3"/>
  <c r="G324" i="3"/>
  <c r="F325" i="3"/>
  <c r="G325" i="3"/>
  <c r="F326" i="3"/>
  <c r="G326" i="3"/>
  <c r="E327" i="3"/>
  <c r="F327" i="3"/>
  <c r="G327" i="3"/>
  <c r="E328" i="3"/>
  <c r="F328" i="3"/>
  <c r="G328" i="3"/>
  <c r="E329" i="3"/>
  <c r="F329" i="3"/>
  <c r="G329" i="3"/>
  <c r="E330" i="3"/>
  <c r="F330" i="3"/>
  <c r="G330" i="3"/>
  <c r="E331" i="3"/>
  <c r="F331" i="3"/>
  <c r="G331" i="3"/>
  <c r="E332" i="3"/>
  <c r="F332" i="3"/>
  <c r="G332" i="3"/>
  <c r="E333" i="3"/>
  <c r="F333" i="3"/>
  <c r="G333" i="3"/>
  <c r="F334" i="3"/>
  <c r="G334" i="3"/>
  <c r="F335" i="3"/>
  <c r="G335" i="3"/>
  <c r="F336" i="3"/>
  <c r="G336" i="3"/>
  <c r="E337" i="3"/>
  <c r="F337" i="3"/>
  <c r="G337" i="3"/>
  <c r="E338" i="3"/>
  <c r="F338" i="3"/>
  <c r="G338" i="3"/>
  <c r="F339" i="3"/>
  <c r="G339" i="3"/>
  <c r="E340" i="3"/>
  <c r="F340" i="3"/>
  <c r="G340" i="3"/>
  <c r="E341" i="3"/>
  <c r="F341" i="3"/>
  <c r="G341" i="3"/>
  <c r="E342" i="3"/>
  <c r="F342" i="3"/>
  <c r="G342" i="3"/>
  <c r="F343" i="3"/>
  <c r="G343" i="3"/>
  <c r="F344" i="3"/>
  <c r="G344" i="3"/>
  <c r="F345" i="3"/>
  <c r="G345" i="3"/>
  <c r="E346" i="3"/>
  <c r="F346" i="3"/>
  <c r="G346" i="3"/>
  <c r="E347" i="3"/>
  <c r="F347" i="3"/>
  <c r="G347" i="3"/>
  <c r="F348" i="3"/>
  <c r="G348" i="3"/>
  <c r="F349" i="3"/>
  <c r="G349" i="3"/>
  <c r="F350" i="3"/>
  <c r="G350" i="3"/>
  <c r="F351" i="3"/>
  <c r="G351" i="3"/>
  <c r="E352" i="3"/>
  <c r="F352" i="3"/>
  <c r="G352" i="3"/>
  <c r="E353" i="3"/>
  <c r="F353" i="3"/>
  <c r="G353" i="3"/>
  <c r="E354" i="3"/>
  <c r="F354" i="3"/>
  <c r="G354" i="3"/>
  <c r="E355" i="3"/>
  <c r="F355" i="3"/>
  <c r="G355" i="3"/>
  <c r="F356" i="3"/>
  <c r="G356" i="3"/>
  <c r="F357" i="3"/>
  <c r="G357" i="3"/>
  <c r="E358" i="3"/>
  <c r="F358" i="3"/>
  <c r="G358" i="3"/>
  <c r="F359" i="3"/>
  <c r="G359" i="3"/>
  <c r="F360" i="3"/>
  <c r="G360" i="3"/>
  <c r="E361" i="3"/>
  <c r="F361" i="3"/>
  <c r="G361" i="3"/>
  <c r="D363" i="3"/>
  <c r="E363" i="3"/>
  <c r="F363" i="3"/>
  <c r="G363" i="3"/>
  <c r="D364" i="3"/>
  <c r="E364" i="3"/>
  <c r="F364" i="3"/>
  <c r="G364" i="3"/>
  <c r="F368" i="3"/>
  <c r="G368" i="3"/>
  <c r="F369" i="3"/>
  <c r="G369" i="3"/>
  <c r="F370" i="3"/>
  <c r="G370" i="3"/>
  <c r="F371" i="3"/>
  <c r="G371" i="3"/>
  <c r="F372" i="3"/>
  <c r="G372" i="3"/>
  <c r="F373" i="3"/>
  <c r="G373" i="3"/>
  <c r="F374" i="3"/>
  <c r="G374" i="3"/>
  <c r="F375" i="3"/>
  <c r="G375" i="3"/>
  <c r="F376" i="3"/>
  <c r="G376" i="3"/>
  <c r="F377" i="3"/>
  <c r="G377" i="3"/>
  <c r="F378" i="3"/>
  <c r="G378" i="3"/>
  <c r="F379" i="3"/>
  <c r="G379" i="3"/>
  <c r="F380" i="3"/>
  <c r="G380" i="3"/>
  <c r="F381" i="3"/>
  <c r="G381" i="3"/>
  <c r="E382" i="3"/>
  <c r="F382" i="3"/>
  <c r="G382" i="3"/>
  <c r="F383" i="3"/>
  <c r="G383" i="3"/>
  <c r="F384" i="3"/>
  <c r="G384" i="3"/>
  <c r="F385" i="3"/>
  <c r="G385" i="3"/>
  <c r="F386" i="3"/>
  <c r="G386" i="3"/>
  <c r="F387" i="3"/>
  <c r="G387" i="3"/>
  <c r="F388" i="3"/>
  <c r="G388" i="3"/>
  <c r="F389" i="3"/>
  <c r="G389" i="3"/>
  <c r="F390" i="3"/>
  <c r="G390" i="3"/>
  <c r="E391" i="3"/>
  <c r="F391" i="3"/>
  <c r="G391" i="3"/>
  <c r="F392" i="3"/>
  <c r="G392" i="3"/>
  <c r="F393" i="3"/>
  <c r="G393" i="3"/>
  <c r="E394" i="3"/>
  <c r="F394" i="3"/>
  <c r="G394" i="3"/>
  <c r="F395" i="3"/>
  <c r="G395" i="3"/>
  <c r="F396" i="3"/>
  <c r="G396" i="3"/>
  <c r="F397" i="3"/>
  <c r="G397" i="3"/>
  <c r="E398" i="3"/>
  <c r="F398" i="3"/>
  <c r="G398" i="3"/>
  <c r="F399" i="3"/>
  <c r="G399" i="3"/>
  <c r="F400" i="3"/>
  <c r="G400" i="3"/>
  <c r="F401" i="3"/>
  <c r="G401" i="3"/>
  <c r="F402" i="3"/>
  <c r="G402" i="3"/>
  <c r="F403" i="3"/>
  <c r="G403" i="3"/>
  <c r="F404" i="3"/>
  <c r="G404" i="3"/>
  <c r="F405" i="3"/>
  <c r="G405" i="3"/>
  <c r="F406" i="3"/>
  <c r="G406" i="3"/>
  <c r="F407" i="3"/>
  <c r="G407" i="3"/>
  <c r="F408" i="3"/>
  <c r="G408" i="3"/>
  <c r="F409" i="3"/>
  <c r="G409" i="3"/>
  <c r="F410" i="3"/>
  <c r="G410" i="3"/>
  <c r="E411" i="3"/>
  <c r="F411" i="3"/>
  <c r="G411" i="3"/>
  <c r="F412" i="3"/>
  <c r="G412" i="3"/>
  <c r="F413" i="3"/>
  <c r="G413" i="3"/>
  <c r="F414" i="3"/>
  <c r="G414" i="3"/>
  <c r="F415" i="3"/>
  <c r="G415" i="3"/>
  <c r="F416" i="3"/>
  <c r="G416" i="3"/>
  <c r="F417" i="3"/>
  <c r="G417" i="3"/>
  <c r="F418" i="3"/>
  <c r="G418" i="3"/>
  <c r="E419" i="3"/>
  <c r="F419" i="3"/>
  <c r="G419" i="3"/>
  <c r="E420" i="3"/>
  <c r="F420" i="3"/>
  <c r="G420" i="3"/>
  <c r="E421" i="3"/>
  <c r="F421" i="3"/>
  <c r="G421" i="3"/>
  <c r="F422" i="3"/>
  <c r="G422" i="3"/>
  <c r="F423" i="3"/>
  <c r="G423" i="3"/>
  <c r="F424" i="3"/>
  <c r="G424" i="3"/>
  <c r="F425" i="3"/>
  <c r="G425" i="3"/>
  <c r="E426" i="3"/>
  <c r="F426" i="3"/>
  <c r="G426" i="3"/>
  <c r="F427" i="3"/>
  <c r="G427" i="3"/>
  <c r="F428" i="3"/>
  <c r="G428" i="3"/>
  <c r="E429" i="3"/>
  <c r="F429" i="3"/>
  <c r="G429" i="3"/>
  <c r="F430" i="3"/>
  <c r="G430" i="3"/>
  <c r="F431" i="3"/>
  <c r="G431" i="3"/>
  <c r="F432" i="3"/>
  <c r="G432" i="3"/>
  <c r="F433" i="3"/>
  <c r="G433" i="3"/>
  <c r="F434" i="3"/>
  <c r="G434" i="3"/>
  <c r="F435" i="3"/>
  <c r="G435" i="3"/>
  <c r="F436" i="3"/>
  <c r="G436" i="3"/>
  <c r="F437" i="3"/>
  <c r="G437" i="3"/>
  <c r="F438" i="3"/>
  <c r="G438" i="3"/>
  <c r="E439" i="3"/>
  <c r="F439" i="3"/>
  <c r="G439" i="3"/>
  <c r="F440" i="3"/>
  <c r="G440" i="3"/>
  <c r="D441" i="3"/>
  <c r="F441" i="3"/>
  <c r="G441" i="3"/>
  <c r="F442" i="3"/>
  <c r="G442" i="3"/>
  <c r="F443" i="3"/>
  <c r="G443" i="3"/>
  <c r="E444" i="3"/>
  <c r="F444" i="3"/>
  <c r="G444" i="3"/>
  <c r="E445" i="3"/>
  <c r="F445" i="3"/>
  <c r="G445" i="3"/>
  <c r="F446" i="3"/>
  <c r="G446" i="3"/>
  <c r="E447" i="3"/>
  <c r="F447" i="3"/>
  <c r="G447" i="3"/>
  <c r="E448" i="3"/>
  <c r="F448" i="3"/>
  <c r="G448" i="3"/>
  <c r="F449" i="3"/>
  <c r="G449" i="3"/>
  <c r="F450" i="3"/>
  <c r="G450" i="3"/>
  <c r="E451" i="3"/>
  <c r="F451" i="3"/>
  <c r="G451" i="3"/>
  <c r="E452" i="3"/>
  <c r="F452" i="3"/>
  <c r="G452" i="3"/>
  <c r="F453" i="3"/>
  <c r="G453" i="3"/>
  <c r="F454" i="3"/>
  <c r="G454" i="3"/>
  <c r="E455" i="3"/>
  <c r="F455" i="3"/>
  <c r="G455" i="3"/>
  <c r="F456" i="3"/>
  <c r="G456" i="3"/>
  <c r="F457" i="3"/>
  <c r="G457" i="3"/>
  <c r="E458" i="3"/>
  <c r="F458" i="3"/>
  <c r="G458" i="3"/>
  <c r="F459" i="3"/>
  <c r="G459" i="3"/>
  <c r="F460" i="3"/>
  <c r="G460" i="3"/>
  <c r="F461" i="3"/>
  <c r="G461" i="3"/>
  <c r="F462" i="3"/>
  <c r="G462" i="3"/>
  <c r="F463" i="3"/>
  <c r="G463" i="3"/>
  <c r="F464" i="3"/>
  <c r="G464" i="3"/>
  <c r="F465" i="3"/>
  <c r="G465" i="3"/>
  <c r="F466" i="3"/>
  <c r="G466" i="3"/>
  <c r="F467" i="3"/>
  <c r="G467" i="3"/>
  <c r="F468" i="3"/>
  <c r="G468" i="3"/>
  <c r="F469" i="3"/>
  <c r="G469" i="3"/>
  <c r="F470" i="3"/>
  <c r="G470" i="3"/>
  <c r="F471" i="3"/>
  <c r="G471" i="3"/>
  <c r="F472" i="3"/>
  <c r="G472" i="3"/>
  <c r="E473" i="3"/>
  <c r="F473" i="3"/>
  <c r="G473" i="3"/>
  <c r="F474" i="3"/>
  <c r="G474" i="3"/>
  <c r="F475" i="3"/>
  <c r="G475" i="3"/>
  <c r="F476" i="3"/>
  <c r="G476" i="3"/>
  <c r="F477" i="3"/>
  <c r="G477" i="3"/>
  <c r="F478" i="3"/>
  <c r="G478" i="3"/>
  <c r="F479" i="3"/>
  <c r="G479" i="3"/>
  <c r="F480" i="3"/>
  <c r="G480" i="3"/>
  <c r="F481" i="3"/>
  <c r="G481" i="3"/>
  <c r="F482" i="3"/>
  <c r="G482" i="3"/>
  <c r="F483" i="3"/>
  <c r="G483" i="3"/>
  <c r="F484" i="3"/>
  <c r="G484" i="3"/>
  <c r="F485" i="3"/>
  <c r="G485" i="3"/>
  <c r="F486" i="3"/>
  <c r="G486" i="3"/>
  <c r="F487" i="3"/>
  <c r="G487" i="3"/>
  <c r="F488" i="3"/>
  <c r="G488" i="3"/>
  <c r="F489" i="3"/>
  <c r="G489" i="3"/>
  <c r="F490" i="3"/>
  <c r="G490" i="3"/>
  <c r="F491" i="3"/>
  <c r="G491" i="3"/>
  <c r="F492" i="3"/>
  <c r="G492" i="3"/>
  <c r="F493" i="3"/>
  <c r="G493" i="3"/>
  <c r="F494" i="3"/>
  <c r="G494" i="3"/>
  <c r="F495" i="3"/>
  <c r="G495" i="3"/>
  <c r="F496" i="3"/>
  <c r="G496" i="3"/>
  <c r="F497" i="3"/>
  <c r="G497" i="3"/>
  <c r="F498" i="3"/>
  <c r="G498" i="3"/>
  <c r="F499" i="3"/>
  <c r="G499" i="3"/>
  <c r="F500" i="3"/>
  <c r="G500" i="3"/>
  <c r="F501" i="3"/>
  <c r="G501" i="3"/>
  <c r="F502" i="3"/>
  <c r="G502" i="3"/>
  <c r="E503" i="3"/>
  <c r="F503" i="3"/>
  <c r="G503" i="3"/>
  <c r="F504" i="3"/>
  <c r="G504" i="3"/>
  <c r="F505" i="3"/>
  <c r="G505" i="3"/>
  <c r="F506" i="3"/>
  <c r="G506" i="3"/>
  <c r="F507" i="3"/>
  <c r="G507" i="3"/>
  <c r="F508" i="3"/>
  <c r="G508" i="3"/>
  <c r="F509" i="3"/>
  <c r="G509" i="3"/>
  <c r="F510" i="3"/>
  <c r="G510" i="3"/>
  <c r="F511" i="3"/>
  <c r="G511" i="3"/>
  <c r="F512" i="3"/>
  <c r="G512" i="3"/>
  <c r="F513" i="3"/>
  <c r="G513" i="3"/>
  <c r="F514" i="3"/>
  <c r="G514" i="3"/>
  <c r="F515" i="3"/>
  <c r="G515" i="3"/>
  <c r="F516" i="3"/>
  <c r="G516" i="3"/>
  <c r="F517" i="3"/>
  <c r="G517" i="3"/>
  <c r="F518" i="3"/>
  <c r="G518" i="3"/>
  <c r="F519" i="3"/>
  <c r="G519" i="3"/>
  <c r="F520" i="3"/>
  <c r="G520" i="3"/>
  <c r="F521" i="3"/>
  <c r="G521" i="3"/>
  <c r="E522" i="3"/>
  <c r="F522" i="3"/>
  <c r="G522" i="3"/>
  <c r="E523" i="3"/>
  <c r="F523" i="3"/>
  <c r="G523" i="3"/>
  <c r="F524" i="3"/>
  <c r="G524" i="3"/>
  <c r="F525" i="3"/>
  <c r="G525" i="3"/>
  <c r="F526" i="3"/>
  <c r="G526" i="3"/>
  <c r="F527" i="3"/>
  <c r="G527" i="3"/>
  <c r="F528" i="3"/>
  <c r="G528" i="3"/>
  <c r="F529" i="3"/>
  <c r="G529" i="3"/>
  <c r="F530" i="3"/>
  <c r="G530" i="3"/>
  <c r="F531" i="3"/>
  <c r="G531" i="3"/>
  <c r="F532" i="3"/>
  <c r="G532" i="3"/>
  <c r="F533" i="3"/>
  <c r="G533" i="3"/>
  <c r="F534" i="3"/>
  <c r="G534" i="3"/>
  <c r="F535" i="3"/>
  <c r="G535" i="3"/>
  <c r="F536" i="3"/>
  <c r="G536" i="3"/>
  <c r="F537" i="3"/>
  <c r="G537" i="3"/>
  <c r="F538" i="3"/>
  <c r="G538" i="3"/>
  <c r="F539" i="3"/>
  <c r="G539" i="3"/>
  <c r="E540" i="3"/>
  <c r="F540" i="3"/>
  <c r="G540" i="3"/>
  <c r="E541" i="3"/>
  <c r="F541" i="3"/>
  <c r="G541" i="3"/>
  <c r="F542" i="3"/>
  <c r="G542" i="3"/>
  <c r="F543" i="3"/>
  <c r="G543" i="3"/>
  <c r="E544" i="3"/>
  <c r="F544" i="3"/>
  <c r="G544" i="3"/>
  <c r="F545" i="3"/>
  <c r="G545" i="3"/>
  <c r="F546" i="3"/>
  <c r="G546" i="3"/>
  <c r="F547" i="3"/>
  <c r="G547" i="3"/>
  <c r="F548" i="3"/>
  <c r="G548" i="3"/>
  <c r="F549" i="3"/>
  <c r="G549" i="3"/>
  <c r="F550" i="3"/>
  <c r="G550" i="3"/>
  <c r="E551" i="3"/>
  <c r="F551" i="3"/>
  <c r="G551" i="3"/>
  <c r="E552" i="3"/>
  <c r="F552" i="3"/>
  <c r="G552" i="3"/>
  <c r="F553" i="3"/>
  <c r="G553" i="3"/>
  <c r="E554" i="3"/>
  <c r="F554" i="3"/>
  <c r="G554" i="3"/>
  <c r="F555" i="3"/>
  <c r="G555" i="3"/>
  <c r="F556" i="3"/>
  <c r="G556" i="3"/>
  <c r="F557" i="3"/>
  <c r="G557" i="3"/>
  <c r="F558" i="3"/>
  <c r="G558" i="3"/>
  <c r="F559" i="3"/>
  <c r="G559" i="3"/>
  <c r="F560" i="3"/>
  <c r="G560" i="3"/>
  <c r="F561" i="3"/>
  <c r="G561" i="3"/>
  <c r="F562" i="3"/>
  <c r="G562" i="3"/>
  <c r="F563" i="3"/>
  <c r="G563" i="3"/>
  <c r="F564" i="3"/>
  <c r="G564" i="3"/>
  <c r="F565" i="3"/>
  <c r="G565" i="3"/>
  <c r="F566" i="3"/>
  <c r="G566" i="3"/>
  <c r="F567" i="3"/>
  <c r="G567" i="3"/>
  <c r="E568" i="3"/>
  <c r="F568" i="3"/>
  <c r="G568" i="3"/>
  <c r="F569" i="3"/>
  <c r="G569" i="3"/>
  <c r="F570" i="3"/>
  <c r="G570" i="3"/>
  <c r="D572" i="3"/>
  <c r="E572" i="3"/>
  <c r="F572" i="3"/>
  <c r="G572" i="3"/>
  <c r="D573" i="3"/>
  <c r="E573" i="3"/>
  <c r="F573" i="3"/>
  <c r="G573" i="3"/>
  <c r="F577" i="3"/>
  <c r="G577" i="3"/>
  <c r="E578" i="3"/>
  <c r="F578" i="3"/>
  <c r="G578" i="3"/>
  <c r="E579" i="3"/>
  <c r="F579" i="3"/>
  <c r="G579" i="3"/>
  <c r="E580" i="3"/>
  <c r="F580" i="3"/>
  <c r="G580" i="3"/>
  <c r="E581" i="3"/>
  <c r="F581" i="3"/>
  <c r="G581" i="3"/>
  <c r="E582" i="3"/>
  <c r="F582" i="3"/>
  <c r="G582" i="3"/>
  <c r="E583" i="3"/>
  <c r="F583" i="3"/>
  <c r="G583" i="3"/>
  <c r="E584" i="3"/>
  <c r="F584" i="3"/>
  <c r="G584" i="3"/>
  <c r="E585" i="3"/>
  <c r="F585" i="3"/>
  <c r="G585" i="3"/>
  <c r="F586" i="3"/>
  <c r="G586" i="3"/>
  <c r="F587" i="3"/>
  <c r="G587" i="3"/>
  <c r="E588" i="3"/>
  <c r="F588" i="3"/>
  <c r="G588" i="3"/>
  <c r="F589" i="3"/>
  <c r="G589" i="3"/>
  <c r="E590" i="3"/>
  <c r="F590" i="3"/>
  <c r="G590" i="3"/>
  <c r="F591" i="3"/>
  <c r="G591" i="3"/>
  <c r="E592" i="3"/>
  <c r="F592" i="3"/>
  <c r="G592" i="3"/>
  <c r="F593" i="3"/>
  <c r="G593" i="3"/>
  <c r="F594" i="3"/>
  <c r="G594" i="3"/>
  <c r="F595" i="3"/>
  <c r="G595" i="3"/>
  <c r="F596" i="3"/>
  <c r="G596" i="3"/>
  <c r="F597" i="3"/>
  <c r="G597" i="3"/>
  <c r="F598" i="3"/>
  <c r="G598" i="3"/>
  <c r="F599" i="3"/>
  <c r="G599" i="3"/>
  <c r="E600" i="3"/>
  <c r="F600" i="3"/>
  <c r="G600" i="3"/>
  <c r="E601" i="3"/>
  <c r="F601" i="3"/>
  <c r="G601" i="3"/>
  <c r="F602" i="3"/>
  <c r="G602" i="3"/>
  <c r="E603" i="3"/>
  <c r="F603" i="3"/>
  <c r="G603" i="3"/>
  <c r="E604" i="3"/>
  <c r="F604" i="3"/>
  <c r="G604" i="3"/>
  <c r="E605" i="3"/>
  <c r="F605" i="3"/>
  <c r="G605" i="3"/>
  <c r="E606" i="3"/>
  <c r="F606" i="3"/>
  <c r="G606" i="3"/>
  <c r="F607" i="3"/>
  <c r="G607" i="3"/>
  <c r="E608" i="3"/>
  <c r="F608" i="3"/>
  <c r="G608" i="3"/>
  <c r="E609" i="3"/>
  <c r="F609" i="3"/>
  <c r="G609" i="3"/>
  <c r="F610" i="3"/>
  <c r="G610" i="3"/>
  <c r="F611" i="3"/>
  <c r="G611" i="3"/>
  <c r="F612" i="3"/>
  <c r="G612" i="3"/>
  <c r="E613" i="3"/>
  <c r="F613" i="3"/>
  <c r="G613" i="3"/>
  <c r="E614" i="3"/>
  <c r="F614" i="3"/>
  <c r="G614" i="3"/>
  <c r="E615" i="3"/>
  <c r="F615" i="3"/>
  <c r="G615" i="3"/>
  <c r="E616" i="3"/>
  <c r="F616" i="3"/>
  <c r="G616" i="3"/>
  <c r="E617" i="3"/>
  <c r="F617" i="3"/>
  <c r="G617" i="3"/>
  <c r="F618" i="3"/>
  <c r="G618" i="3"/>
  <c r="F619" i="3"/>
  <c r="G619" i="3"/>
  <c r="F620" i="3"/>
  <c r="G620" i="3"/>
  <c r="F621" i="3"/>
  <c r="G621" i="3"/>
  <c r="F622" i="3"/>
  <c r="G622" i="3"/>
  <c r="F623" i="3"/>
  <c r="G623" i="3"/>
  <c r="F624" i="3"/>
  <c r="G624" i="3"/>
  <c r="E625" i="3"/>
  <c r="F625" i="3"/>
  <c r="G625" i="3"/>
  <c r="E626" i="3"/>
  <c r="F626" i="3"/>
  <c r="G626" i="3"/>
  <c r="F627" i="3"/>
  <c r="G627" i="3"/>
  <c r="F628" i="3"/>
  <c r="G628" i="3"/>
  <c r="F629" i="3"/>
  <c r="G629" i="3"/>
  <c r="F630" i="3"/>
  <c r="G630" i="3"/>
  <c r="F631" i="3"/>
  <c r="G631" i="3"/>
  <c r="E632" i="3"/>
  <c r="F632" i="3"/>
  <c r="G632" i="3"/>
  <c r="F633" i="3"/>
  <c r="G633" i="3"/>
  <c r="F634" i="3"/>
  <c r="G634" i="3"/>
  <c r="F635" i="3"/>
  <c r="G635" i="3"/>
  <c r="E636" i="3"/>
  <c r="F636" i="3"/>
  <c r="G636" i="3"/>
  <c r="F637" i="3"/>
  <c r="G637" i="3"/>
  <c r="F638" i="3"/>
  <c r="G638" i="3"/>
  <c r="F639" i="3"/>
  <c r="G639" i="3"/>
  <c r="F640" i="3"/>
  <c r="G640" i="3"/>
  <c r="F641" i="3"/>
  <c r="G641" i="3"/>
  <c r="F642" i="3"/>
  <c r="G642" i="3"/>
  <c r="F643" i="3"/>
  <c r="G643" i="3"/>
  <c r="E644" i="3"/>
  <c r="F644" i="3"/>
  <c r="G644" i="3"/>
  <c r="E645" i="3"/>
  <c r="F645" i="3"/>
  <c r="G645" i="3"/>
  <c r="F646" i="3"/>
  <c r="G646" i="3"/>
  <c r="E647" i="3"/>
  <c r="F647" i="3"/>
  <c r="G647" i="3"/>
  <c r="F648" i="3"/>
  <c r="G648" i="3"/>
  <c r="E649" i="3"/>
  <c r="F649" i="3"/>
  <c r="G649" i="3"/>
  <c r="F650" i="3"/>
  <c r="G650" i="3"/>
  <c r="E651" i="3"/>
  <c r="F651" i="3"/>
  <c r="G651" i="3"/>
  <c r="E652" i="3"/>
  <c r="F652" i="3"/>
  <c r="G652" i="3"/>
  <c r="F653" i="3"/>
  <c r="G653" i="3"/>
  <c r="E654" i="3"/>
  <c r="F654" i="3"/>
  <c r="G654" i="3"/>
  <c r="F655" i="3"/>
  <c r="G655" i="3"/>
  <c r="E656" i="3"/>
  <c r="F656" i="3"/>
  <c r="G656" i="3"/>
  <c r="F657" i="3"/>
  <c r="G657" i="3"/>
  <c r="F658" i="3"/>
  <c r="G658" i="3"/>
  <c r="F659" i="3"/>
  <c r="G659" i="3"/>
  <c r="F660" i="3"/>
  <c r="G660" i="3"/>
  <c r="F661" i="3"/>
  <c r="G661" i="3"/>
  <c r="F662" i="3"/>
  <c r="G662" i="3"/>
  <c r="F663" i="3"/>
  <c r="G663" i="3"/>
  <c r="F664" i="3"/>
  <c r="G664" i="3"/>
  <c r="F665" i="3"/>
  <c r="G665" i="3"/>
  <c r="F666" i="3"/>
  <c r="G666" i="3"/>
  <c r="F667" i="3"/>
  <c r="G667" i="3"/>
  <c r="F668" i="3"/>
  <c r="G668" i="3"/>
  <c r="E669" i="3"/>
  <c r="F669" i="3"/>
  <c r="G669" i="3"/>
  <c r="F670" i="3"/>
  <c r="G670" i="3"/>
  <c r="F671" i="3"/>
  <c r="G671" i="3"/>
  <c r="E672" i="3"/>
  <c r="F672" i="3"/>
  <c r="G672" i="3"/>
  <c r="E673" i="3"/>
  <c r="F673" i="3"/>
  <c r="G673" i="3"/>
  <c r="F674" i="3"/>
  <c r="G674" i="3"/>
  <c r="F675" i="3"/>
  <c r="G675" i="3"/>
  <c r="F676" i="3"/>
  <c r="G676" i="3"/>
  <c r="E677" i="3"/>
  <c r="F677" i="3"/>
  <c r="G677" i="3"/>
  <c r="F678" i="3"/>
  <c r="G678" i="3"/>
  <c r="E679" i="3"/>
  <c r="F679" i="3"/>
  <c r="G679" i="3"/>
  <c r="F680" i="3"/>
  <c r="G680" i="3"/>
  <c r="F681" i="3"/>
  <c r="G681" i="3"/>
  <c r="E682" i="3"/>
  <c r="F682" i="3"/>
  <c r="G682" i="3"/>
  <c r="E683" i="3"/>
  <c r="F683" i="3"/>
  <c r="G683" i="3"/>
  <c r="F684" i="3"/>
  <c r="G684" i="3"/>
  <c r="F685" i="3"/>
  <c r="G685" i="3"/>
  <c r="E686" i="3"/>
  <c r="F686" i="3"/>
  <c r="G686" i="3"/>
  <c r="E687" i="3"/>
  <c r="F687" i="3"/>
  <c r="G687" i="3"/>
  <c r="F688" i="3"/>
  <c r="G688" i="3"/>
  <c r="E689" i="3"/>
  <c r="F689" i="3"/>
  <c r="G689" i="3"/>
  <c r="F690" i="3"/>
  <c r="G690" i="3"/>
  <c r="F691" i="3"/>
  <c r="G691" i="3"/>
  <c r="E692" i="3"/>
  <c r="F692" i="3"/>
  <c r="G692" i="3"/>
  <c r="E693" i="3"/>
  <c r="F693" i="3"/>
  <c r="G693" i="3"/>
  <c r="E694" i="3"/>
  <c r="F694" i="3"/>
  <c r="G694" i="3"/>
  <c r="F695" i="3"/>
  <c r="G695" i="3"/>
  <c r="E696" i="3"/>
  <c r="F696" i="3"/>
  <c r="G696" i="3"/>
  <c r="D698" i="3"/>
  <c r="E698" i="3"/>
  <c r="F698" i="3"/>
  <c r="G698" i="3"/>
  <c r="D699" i="3"/>
  <c r="E699" i="3"/>
  <c r="F699" i="3"/>
  <c r="G699" i="3"/>
  <c r="F703" i="3"/>
  <c r="G703" i="3"/>
  <c r="E704" i="3"/>
  <c r="F704" i="3"/>
  <c r="G704" i="3"/>
  <c r="F705" i="3"/>
  <c r="G705" i="3"/>
  <c r="E706" i="3"/>
  <c r="F706" i="3"/>
  <c r="G706" i="3"/>
  <c r="F707" i="3"/>
  <c r="G707" i="3"/>
  <c r="E708" i="3"/>
  <c r="F708" i="3"/>
  <c r="G708" i="3"/>
  <c r="F709" i="3"/>
  <c r="G709" i="3"/>
  <c r="F710" i="3"/>
  <c r="G710" i="3"/>
  <c r="F711" i="3"/>
  <c r="G711" i="3"/>
  <c r="E712" i="3"/>
  <c r="F712" i="3"/>
  <c r="G712" i="3"/>
  <c r="F713" i="3"/>
  <c r="G713" i="3"/>
  <c r="E714" i="3"/>
  <c r="F714" i="3"/>
  <c r="G714" i="3"/>
  <c r="F715" i="3"/>
  <c r="G715" i="3"/>
  <c r="F716" i="3"/>
  <c r="G716" i="3"/>
  <c r="E717" i="3"/>
  <c r="F717" i="3"/>
  <c r="G717" i="3"/>
  <c r="E718" i="3"/>
  <c r="F718" i="3"/>
  <c r="G718" i="3"/>
  <c r="E719" i="3"/>
  <c r="F719" i="3"/>
  <c r="G719" i="3"/>
  <c r="F720" i="3"/>
  <c r="G720" i="3"/>
  <c r="E721" i="3"/>
  <c r="F721" i="3"/>
  <c r="G721" i="3"/>
  <c r="F722" i="3"/>
  <c r="G722" i="3"/>
  <c r="F723" i="3"/>
  <c r="G723" i="3"/>
  <c r="E724" i="3"/>
  <c r="F724" i="3"/>
  <c r="G724" i="3"/>
  <c r="E725" i="3"/>
  <c r="F725" i="3"/>
  <c r="G725" i="3"/>
  <c r="E726" i="3"/>
  <c r="F726" i="3"/>
  <c r="G726" i="3"/>
  <c r="E727" i="3"/>
  <c r="F727" i="3"/>
  <c r="G727" i="3"/>
  <c r="F728" i="3"/>
  <c r="G728" i="3"/>
  <c r="F729" i="3"/>
  <c r="G729" i="3"/>
  <c r="F730" i="3"/>
  <c r="G730" i="3"/>
  <c r="F731" i="3"/>
  <c r="G731" i="3"/>
  <c r="E732" i="3"/>
  <c r="F732" i="3"/>
  <c r="G732" i="3"/>
  <c r="F733" i="3"/>
  <c r="G733" i="3"/>
  <c r="E734" i="3"/>
  <c r="F734" i="3"/>
  <c r="G734" i="3"/>
  <c r="F735" i="3"/>
  <c r="G735" i="3"/>
  <c r="E736" i="3"/>
  <c r="F736" i="3"/>
  <c r="G736" i="3"/>
  <c r="F737" i="3"/>
  <c r="G737" i="3"/>
  <c r="F738" i="3"/>
  <c r="G738" i="3"/>
  <c r="F739" i="3"/>
  <c r="G739" i="3"/>
  <c r="F740" i="3"/>
  <c r="G740" i="3"/>
  <c r="F741" i="3"/>
  <c r="G741" i="3"/>
  <c r="F742" i="3"/>
  <c r="G742" i="3"/>
  <c r="F743" i="3"/>
  <c r="G743" i="3"/>
  <c r="F744" i="3"/>
  <c r="G744" i="3"/>
  <c r="F745" i="3"/>
  <c r="G745" i="3"/>
  <c r="E746" i="3"/>
  <c r="F746" i="3"/>
  <c r="G746" i="3"/>
  <c r="F747" i="3"/>
  <c r="G747" i="3"/>
  <c r="F748" i="3"/>
  <c r="G748" i="3"/>
  <c r="F749" i="3"/>
  <c r="G749" i="3"/>
  <c r="F750" i="3"/>
  <c r="G750" i="3"/>
  <c r="F751" i="3"/>
  <c r="G751" i="3"/>
  <c r="F752" i="3"/>
  <c r="G752" i="3"/>
  <c r="F753" i="3"/>
  <c r="G753" i="3"/>
  <c r="E754" i="3"/>
  <c r="F754" i="3"/>
  <c r="G754" i="3"/>
  <c r="F755" i="3"/>
  <c r="G755" i="3"/>
  <c r="F756" i="3"/>
  <c r="G756" i="3"/>
  <c r="F757" i="3"/>
  <c r="G757" i="3"/>
  <c r="E758" i="3"/>
  <c r="F758" i="3"/>
  <c r="G758" i="3"/>
  <c r="E759" i="3"/>
  <c r="F759" i="3"/>
  <c r="G759" i="3"/>
  <c r="E760" i="3"/>
  <c r="F760" i="3"/>
  <c r="G760" i="3"/>
  <c r="E761" i="3"/>
  <c r="F761" i="3"/>
  <c r="G761" i="3"/>
  <c r="E762" i="3"/>
  <c r="F762" i="3"/>
  <c r="G762" i="3"/>
  <c r="E763" i="3"/>
  <c r="F763" i="3"/>
  <c r="G763" i="3"/>
  <c r="E764" i="3"/>
  <c r="F764" i="3"/>
  <c r="G764" i="3"/>
  <c r="E765" i="3"/>
  <c r="F765" i="3"/>
  <c r="G765" i="3"/>
  <c r="F766" i="3"/>
  <c r="G766" i="3"/>
  <c r="F767" i="3"/>
  <c r="G767" i="3"/>
  <c r="F768" i="3"/>
  <c r="G768" i="3"/>
  <c r="E769" i="3"/>
  <c r="F769" i="3"/>
  <c r="G769" i="3"/>
  <c r="F770" i="3"/>
  <c r="G770" i="3"/>
  <c r="F771" i="3"/>
  <c r="G771" i="3"/>
  <c r="E772" i="3"/>
  <c r="F772" i="3"/>
  <c r="G772" i="3"/>
  <c r="E773" i="3"/>
  <c r="F773" i="3"/>
  <c r="G773" i="3"/>
  <c r="E774" i="3"/>
  <c r="F774" i="3"/>
  <c r="G774" i="3"/>
  <c r="E775" i="3"/>
  <c r="F775" i="3"/>
  <c r="G775" i="3"/>
  <c r="E776" i="3"/>
  <c r="F776" i="3"/>
  <c r="G776" i="3"/>
  <c r="E777" i="3"/>
  <c r="F777" i="3"/>
  <c r="G777" i="3"/>
  <c r="E778" i="3"/>
  <c r="F778" i="3"/>
  <c r="G778" i="3"/>
  <c r="F779" i="3"/>
  <c r="G779" i="3"/>
  <c r="F780" i="3"/>
  <c r="G780" i="3"/>
  <c r="E781" i="3"/>
  <c r="F781" i="3"/>
  <c r="G781" i="3"/>
  <c r="E782" i="3"/>
  <c r="F782" i="3"/>
  <c r="G782" i="3"/>
  <c r="F783" i="3"/>
  <c r="G783" i="3"/>
  <c r="E784" i="3"/>
  <c r="F784" i="3"/>
  <c r="G784" i="3"/>
  <c r="E785" i="3"/>
  <c r="F785" i="3"/>
  <c r="G785" i="3"/>
  <c r="F786" i="3"/>
  <c r="G786" i="3"/>
  <c r="F787" i="3"/>
  <c r="G787" i="3"/>
  <c r="E788" i="3"/>
  <c r="F788" i="3"/>
  <c r="G788" i="3"/>
  <c r="F789" i="3"/>
  <c r="G789" i="3"/>
  <c r="E790" i="3"/>
  <c r="F790" i="3"/>
  <c r="G790" i="3"/>
  <c r="F791" i="3"/>
  <c r="G791" i="3"/>
  <c r="F792" i="3"/>
  <c r="G792" i="3"/>
  <c r="F793" i="3"/>
  <c r="G793" i="3"/>
  <c r="F794" i="3"/>
  <c r="G794" i="3"/>
  <c r="F795" i="3"/>
  <c r="G795" i="3"/>
  <c r="F796" i="3"/>
  <c r="G796" i="3"/>
  <c r="E797" i="3"/>
  <c r="F797" i="3"/>
  <c r="G797" i="3"/>
  <c r="E798" i="3"/>
  <c r="F798" i="3"/>
  <c r="G798" i="3"/>
  <c r="E799" i="3"/>
  <c r="F799" i="3"/>
  <c r="G799" i="3"/>
  <c r="E800" i="3"/>
  <c r="F800" i="3"/>
  <c r="G800" i="3"/>
  <c r="F801" i="3"/>
  <c r="G801" i="3"/>
  <c r="F802" i="3"/>
  <c r="G802" i="3"/>
  <c r="E803" i="3"/>
  <c r="F803" i="3"/>
  <c r="G803" i="3"/>
  <c r="E804" i="3"/>
  <c r="F804" i="3"/>
  <c r="G804" i="3"/>
  <c r="F805" i="3"/>
  <c r="G805" i="3"/>
  <c r="F806" i="3"/>
  <c r="G806" i="3"/>
  <c r="F807" i="3"/>
  <c r="G807" i="3"/>
  <c r="E808" i="3"/>
  <c r="F808" i="3"/>
  <c r="G808" i="3"/>
  <c r="E809" i="3"/>
  <c r="F809" i="3"/>
  <c r="G809" i="3"/>
  <c r="F810" i="3"/>
  <c r="G810" i="3"/>
  <c r="F811" i="3"/>
  <c r="G811" i="3"/>
  <c r="E812" i="3"/>
  <c r="F812" i="3"/>
  <c r="G812" i="3"/>
  <c r="E813" i="3"/>
  <c r="F813" i="3"/>
  <c r="G813" i="3"/>
  <c r="F814" i="3"/>
  <c r="G814" i="3"/>
  <c r="F815" i="3"/>
  <c r="G815" i="3"/>
  <c r="E816" i="3"/>
  <c r="F816" i="3"/>
  <c r="G816" i="3"/>
  <c r="F817" i="3"/>
  <c r="G817" i="3"/>
  <c r="F818" i="3"/>
  <c r="G818" i="3"/>
  <c r="F819" i="3"/>
  <c r="G819" i="3"/>
  <c r="E820" i="3"/>
  <c r="F820" i="3"/>
  <c r="G820" i="3"/>
  <c r="E821" i="3"/>
  <c r="F821" i="3"/>
  <c r="G821" i="3"/>
  <c r="E822" i="3"/>
  <c r="F822" i="3"/>
  <c r="G822" i="3"/>
  <c r="F823" i="3"/>
  <c r="G823" i="3"/>
  <c r="E824" i="3"/>
  <c r="F824" i="3"/>
  <c r="G824" i="3"/>
  <c r="F825" i="3"/>
  <c r="G825" i="3"/>
  <c r="F826" i="3"/>
  <c r="G826" i="3"/>
  <c r="E827" i="3"/>
  <c r="F827" i="3"/>
  <c r="G827" i="3"/>
  <c r="F828" i="3"/>
  <c r="G828" i="3"/>
  <c r="E829" i="3"/>
  <c r="F829" i="3"/>
  <c r="G829" i="3"/>
  <c r="F830" i="3"/>
  <c r="G830" i="3"/>
  <c r="F831" i="3"/>
  <c r="G831" i="3"/>
  <c r="F832" i="3"/>
  <c r="G832" i="3"/>
  <c r="F833" i="3"/>
  <c r="G833" i="3"/>
  <c r="E834" i="3"/>
  <c r="F834" i="3"/>
  <c r="G834" i="3"/>
  <c r="E835" i="3"/>
  <c r="F835" i="3"/>
  <c r="G835" i="3"/>
  <c r="F836" i="3"/>
  <c r="G836" i="3"/>
  <c r="F837" i="3"/>
  <c r="G837" i="3"/>
  <c r="F838" i="3"/>
  <c r="G838" i="3"/>
  <c r="F839" i="3"/>
  <c r="G839" i="3"/>
  <c r="F840" i="3"/>
  <c r="G840" i="3"/>
  <c r="F841" i="3"/>
  <c r="G841" i="3"/>
  <c r="E842" i="3"/>
  <c r="F842" i="3"/>
  <c r="G842" i="3"/>
  <c r="F843" i="3"/>
  <c r="G843" i="3"/>
  <c r="F844" i="3"/>
  <c r="G844" i="3"/>
  <c r="F845" i="3"/>
  <c r="G845" i="3"/>
  <c r="F846" i="3"/>
  <c r="G846" i="3"/>
  <c r="F847" i="3"/>
  <c r="G847" i="3"/>
  <c r="E848" i="3"/>
  <c r="F848" i="3"/>
  <c r="G848" i="3"/>
  <c r="E849" i="3"/>
  <c r="F849" i="3"/>
  <c r="G849" i="3"/>
  <c r="F850" i="3"/>
  <c r="G850" i="3"/>
  <c r="F851" i="3"/>
  <c r="G851" i="3"/>
  <c r="F852" i="3"/>
  <c r="G852" i="3"/>
  <c r="F853" i="3"/>
  <c r="G853" i="3"/>
  <c r="F854" i="3"/>
  <c r="G854" i="3"/>
  <c r="E855" i="3"/>
  <c r="F855" i="3"/>
  <c r="G855" i="3"/>
  <c r="E856" i="3"/>
  <c r="F856" i="3"/>
  <c r="G856" i="3"/>
  <c r="F857" i="3"/>
  <c r="G857" i="3"/>
  <c r="E858" i="3"/>
  <c r="F858" i="3"/>
  <c r="G858" i="3"/>
  <c r="F859" i="3"/>
  <c r="G859" i="3"/>
  <c r="F860" i="3"/>
  <c r="G860" i="3"/>
  <c r="F861" i="3"/>
  <c r="G861" i="3"/>
  <c r="F862" i="3"/>
  <c r="G862" i="3"/>
  <c r="F863" i="3"/>
  <c r="G863" i="3"/>
  <c r="E864" i="3"/>
  <c r="F864" i="3"/>
  <c r="G864" i="3"/>
  <c r="F865" i="3"/>
  <c r="G865" i="3"/>
  <c r="F866" i="3"/>
  <c r="G866" i="3"/>
  <c r="E867" i="3"/>
  <c r="F867" i="3"/>
  <c r="G867" i="3"/>
  <c r="E868" i="3"/>
  <c r="F868" i="3"/>
  <c r="G868" i="3"/>
  <c r="F869" i="3"/>
  <c r="G869" i="3"/>
  <c r="E870" i="3"/>
  <c r="F870" i="3"/>
  <c r="G870" i="3"/>
  <c r="E871" i="3"/>
  <c r="F871" i="3"/>
  <c r="G871" i="3"/>
  <c r="E872" i="3"/>
  <c r="F872" i="3"/>
  <c r="G872" i="3"/>
  <c r="F873" i="3"/>
  <c r="G873" i="3"/>
  <c r="E874" i="3"/>
  <c r="F874" i="3"/>
  <c r="G874" i="3"/>
  <c r="E875" i="3"/>
  <c r="F875" i="3"/>
  <c r="G875" i="3"/>
  <c r="F876" i="3"/>
  <c r="G876" i="3"/>
  <c r="F877" i="3"/>
  <c r="G877" i="3"/>
  <c r="E878" i="3"/>
  <c r="F878" i="3"/>
  <c r="G878" i="3"/>
  <c r="F879" i="3"/>
  <c r="G879" i="3"/>
  <c r="F880" i="3"/>
  <c r="G880" i="3"/>
  <c r="F881" i="3"/>
  <c r="G881" i="3"/>
  <c r="E882" i="3"/>
  <c r="F882" i="3"/>
  <c r="G882" i="3"/>
  <c r="F883" i="3"/>
  <c r="G883" i="3"/>
  <c r="E884" i="3"/>
  <c r="F884" i="3"/>
  <c r="G884" i="3"/>
  <c r="F885" i="3"/>
  <c r="G885" i="3"/>
  <c r="E886" i="3"/>
  <c r="F886" i="3"/>
  <c r="G886" i="3"/>
  <c r="E887" i="3"/>
  <c r="F887" i="3"/>
  <c r="G887" i="3"/>
  <c r="E888" i="3"/>
  <c r="F888" i="3"/>
  <c r="G888" i="3"/>
  <c r="E889" i="3"/>
  <c r="F889" i="3"/>
  <c r="G889" i="3"/>
  <c r="E890" i="3"/>
  <c r="F890" i="3"/>
  <c r="G890" i="3"/>
  <c r="E891" i="3"/>
  <c r="F891" i="3"/>
  <c r="G891" i="3"/>
  <c r="E892" i="3"/>
  <c r="F892" i="3"/>
  <c r="G892" i="3"/>
  <c r="E893" i="3"/>
  <c r="F893" i="3"/>
  <c r="G893" i="3"/>
  <c r="F894" i="3"/>
  <c r="G894" i="3"/>
  <c r="E895" i="3"/>
  <c r="F895" i="3"/>
  <c r="G895" i="3"/>
  <c r="F896" i="3"/>
  <c r="G896" i="3"/>
  <c r="F897" i="3"/>
  <c r="G897" i="3"/>
  <c r="F898" i="3"/>
  <c r="G898" i="3"/>
  <c r="F899" i="3"/>
  <c r="G899" i="3"/>
  <c r="F900" i="3"/>
  <c r="G900" i="3"/>
  <c r="F901" i="3"/>
  <c r="G901" i="3"/>
  <c r="F902" i="3"/>
  <c r="G902" i="3"/>
  <c r="F903" i="3"/>
  <c r="G903" i="3"/>
  <c r="E904" i="3"/>
  <c r="F904" i="3"/>
  <c r="G904" i="3"/>
  <c r="D906" i="3"/>
  <c r="E906" i="3"/>
  <c r="F906" i="3"/>
  <c r="G906" i="3"/>
  <c r="D907" i="3"/>
  <c r="E907" i="3"/>
  <c r="F907" i="3"/>
  <c r="G907" i="3"/>
  <c r="E5" i="2"/>
  <c r="K6" i="2"/>
  <c r="E7" i="2"/>
  <c r="E9" i="2"/>
  <c r="E10" i="2"/>
  <c r="K11" i="2"/>
  <c r="E12" i="2"/>
  <c r="E13" i="2"/>
  <c r="K13" i="2"/>
  <c r="E16" i="2"/>
  <c r="E20" i="2"/>
  <c r="B25" i="2"/>
  <c r="E25" i="2"/>
  <c r="H25" i="2"/>
  <c r="K25" i="2"/>
  <c r="B26" i="2"/>
  <c r="E26" i="2"/>
  <c r="H26" i="2"/>
  <c r="K26" i="2"/>
  <c r="F5" i="1"/>
  <c r="G5" i="1"/>
  <c r="H5" i="1"/>
  <c r="F6" i="1"/>
  <c r="G6" i="1"/>
  <c r="H6" i="1"/>
  <c r="E7" i="1"/>
  <c r="F7" i="1"/>
  <c r="G7" i="1"/>
  <c r="H7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F12" i="1"/>
  <c r="G12" i="1"/>
  <c r="H12" i="1"/>
  <c r="E13" i="1"/>
  <c r="F13" i="1"/>
  <c r="G13" i="1"/>
  <c r="H13" i="1"/>
  <c r="F14" i="1"/>
  <c r="G14" i="1"/>
  <c r="H14" i="1"/>
  <c r="E15" i="1"/>
  <c r="F15" i="1"/>
  <c r="G15" i="1"/>
  <c r="H15" i="1"/>
  <c r="F16" i="1"/>
  <c r="G16" i="1"/>
  <c r="H16" i="1"/>
  <c r="E17" i="1"/>
  <c r="F17" i="1"/>
  <c r="G17" i="1"/>
  <c r="H17" i="1"/>
  <c r="E18" i="1"/>
  <c r="F18" i="1"/>
  <c r="G18" i="1"/>
  <c r="H18" i="1"/>
  <c r="E19" i="1"/>
  <c r="F19" i="1"/>
  <c r="G19" i="1"/>
  <c r="H19" i="1"/>
  <c r="F20" i="1"/>
  <c r="G20" i="1"/>
  <c r="H20" i="1"/>
  <c r="F21" i="1"/>
  <c r="G21" i="1"/>
  <c r="H21" i="1"/>
  <c r="E22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E27" i="1"/>
  <c r="F27" i="1"/>
  <c r="G27" i="1"/>
  <c r="H27" i="1"/>
  <c r="E28" i="1"/>
  <c r="F28" i="1"/>
  <c r="G28" i="1"/>
  <c r="H28" i="1"/>
  <c r="F29" i="1"/>
  <c r="G29" i="1"/>
  <c r="H29" i="1"/>
  <c r="E30" i="1"/>
  <c r="F30" i="1"/>
  <c r="G30" i="1"/>
  <c r="H30" i="1"/>
  <c r="F31" i="1"/>
  <c r="G31" i="1"/>
  <c r="H31" i="1"/>
  <c r="F32" i="1"/>
  <c r="G32" i="1"/>
  <c r="H32" i="1"/>
  <c r="F33" i="1"/>
  <c r="G33" i="1"/>
  <c r="H33" i="1"/>
  <c r="E34" i="1"/>
  <c r="F34" i="1"/>
  <c r="G34" i="1"/>
  <c r="H34" i="1"/>
  <c r="F35" i="1"/>
  <c r="G35" i="1"/>
  <c r="H35" i="1"/>
  <c r="E36" i="1"/>
  <c r="F36" i="1"/>
  <c r="G36" i="1"/>
  <c r="H36" i="1"/>
  <c r="F37" i="1"/>
  <c r="G37" i="1"/>
  <c r="H37" i="1"/>
  <c r="E38" i="1"/>
  <c r="F38" i="1"/>
  <c r="G38" i="1"/>
  <c r="H38" i="1"/>
  <c r="E39" i="1"/>
  <c r="F39" i="1"/>
  <c r="G39" i="1"/>
  <c r="H39" i="1"/>
  <c r="E40" i="1"/>
  <c r="F40" i="1"/>
  <c r="G40" i="1"/>
  <c r="H40" i="1"/>
  <c r="E41" i="1"/>
  <c r="F41" i="1"/>
  <c r="G41" i="1"/>
  <c r="H41" i="1"/>
  <c r="F42" i="1"/>
  <c r="G42" i="1"/>
  <c r="H42" i="1"/>
  <c r="E43" i="1"/>
  <c r="F43" i="1"/>
  <c r="G43" i="1"/>
  <c r="H43" i="1"/>
  <c r="E44" i="1"/>
  <c r="F44" i="1"/>
  <c r="G44" i="1"/>
  <c r="H44" i="1"/>
  <c r="F45" i="1"/>
  <c r="G45" i="1"/>
  <c r="H45" i="1"/>
  <c r="F46" i="1"/>
  <c r="G46" i="1"/>
  <c r="H46" i="1"/>
  <c r="E47" i="1"/>
  <c r="F47" i="1"/>
  <c r="G47" i="1"/>
  <c r="H47" i="1"/>
  <c r="E48" i="1"/>
  <c r="F48" i="1"/>
  <c r="G48" i="1"/>
  <c r="H48" i="1"/>
  <c r="E49" i="1"/>
  <c r="F49" i="1"/>
  <c r="G49" i="1"/>
  <c r="H49" i="1"/>
  <c r="F50" i="1"/>
  <c r="G50" i="1"/>
  <c r="H50" i="1"/>
  <c r="E51" i="1"/>
  <c r="F51" i="1"/>
  <c r="G51" i="1"/>
  <c r="H51" i="1"/>
  <c r="E52" i="1"/>
  <c r="F52" i="1"/>
  <c r="G52" i="1"/>
  <c r="H52" i="1"/>
  <c r="E53" i="1"/>
  <c r="F53" i="1"/>
  <c r="G53" i="1"/>
  <c r="H53" i="1"/>
  <c r="E54" i="1"/>
  <c r="F54" i="1"/>
  <c r="G54" i="1"/>
  <c r="H54" i="1"/>
  <c r="E55" i="1"/>
  <c r="F55" i="1"/>
  <c r="G55" i="1"/>
  <c r="H55" i="1"/>
  <c r="E56" i="1"/>
  <c r="F56" i="1"/>
  <c r="G56" i="1"/>
  <c r="H56" i="1"/>
  <c r="F57" i="1"/>
  <c r="G57" i="1"/>
  <c r="H57" i="1"/>
  <c r="F58" i="1"/>
  <c r="G58" i="1"/>
  <c r="H58" i="1"/>
  <c r="E59" i="1"/>
  <c r="F59" i="1"/>
  <c r="G59" i="1"/>
  <c r="H59" i="1"/>
  <c r="E60" i="1"/>
  <c r="F60" i="1"/>
  <c r="G60" i="1"/>
  <c r="H60" i="1"/>
  <c r="E61" i="1"/>
  <c r="F61" i="1"/>
  <c r="G61" i="1"/>
  <c r="H61" i="1"/>
  <c r="E62" i="1"/>
  <c r="F62" i="1"/>
  <c r="G62" i="1"/>
  <c r="H62" i="1"/>
  <c r="E63" i="1"/>
  <c r="F63" i="1"/>
  <c r="G63" i="1"/>
  <c r="H63" i="1"/>
  <c r="E64" i="1"/>
  <c r="F64" i="1"/>
  <c r="G64" i="1"/>
  <c r="H64" i="1"/>
  <c r="E65" i="1"/>
  <c r="F65" i="1"/>
  <c r="G65" i="1"/>
  <c r="H65" i="1"/>
  <c r="E66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E72" i="1"/>
  <c r="F72" i="1"/>
  <c r="G72" i="1"/>
  <c r="H72" i="1"/>
  <c r="E73" i="1"/>
  <c r="F73" i="1"/>
  <c r="G73" i="1"/>
  <c r="H73" i="1"/>
  <c r="E74" i="1"/>
  <c r="F74" i="1"/>
  <c r="G74" i="1"/>
  <c r="H74" i="1"/>
  <c r="E75" i="1"/>
  <c r="F75" i="1"/>
  <c r="G75" i="1"/>
  <c r="H75" i="1"/>
  <c r="E76" i="1"/>
  <c r="F76" i="1"/>
  <c r="G76" i="1"/>
  <c r="H76" i="1"/>
  <c r="F77" i="1"/>
  <c r="G77" i="1"/>
  <c r="H77" i="1"/>
  <c r="F78" i="1"/>
  <c r="G78" i="1"/>
  <c r="H78" i="1"/>
  <c r="E79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E84" i="1"/>
  <c r="F84" i="1"/>
  <c r="G84" i="1"/>
  <c r="H84" i="1"/>
  <c r="F85" i="1"/>
  <c r="G85" i="1"/>
  <c r="H85" i="1"/>
  <c r="F86" i="1"/>
  <c r="G86" i="1"/>
  <c r="H86" i="1"/>
  <c r="E87" i="1"/>
  <c r="F87" i="1"/>
  <c r="G87" i="1"/>
  <c r="H87" i="1"/>
  <c r="F88" i="1"/>
  <c r="G88" i="1"/>
  <c r="H88" i="1"/>
  <c r="F89" i="1"/>
  <c r="G89" i="1"/>
  <c r="H89" i="1"/>
  <c r="E90" i="1"/>
  <c r="F90" i="1"/>
  <c r="G90" i="1"/>
  <c r="H90" i="1"/>
  <c r="D92" i="1"/>
  <c r="E92" i="1"/>
  <c r="F92" i="1"/>
  <c r="G92" i="1"/>
  <c r="H92" i="1"/>
  <c r="D93" i="1"/>
  <c r="E93" i="1"/>
  <c r="F93" i="1"/>
  <c r="G93" i="1"/>
  <c r="H93" i="1"/>
  <c r="F97" i="1"/>
  <c r="G97" i="1"/>
  <c r="H97" i="1"/>
  <c r="E98" i="1"/>
  <c r="F98" i="1"/>
  <c r="G98" i="1"/>
  <c r="H98" i="1"/>
  <c r="E99" i="1"/>
  <c r="F99" i="1"/>
  <c r="G99" i="1"/>
  <c r="H99" i="1"/>
  <c r="F100" i="1"/>
  <c r="G100" i="1"/>
  <c r="H100" i="1"/>
  <c r="F101" i="1"/>
  <c r="G101" i="1"/>
  <c r="H101" i="1"/>
  <c r="E102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E108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E124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E161" i="1"/>
  <c r="F161" i="1"/>
  <c r="G161" i="1"/>
  <c r="H161" i="1"/>
  <c r="F162" i="1"/>
  <c r="G162" i="1"/>
  <c r="H162" i="1"/>
  <c r="F163" i="1"/>
  <c r="G163" i="1"/>
  <c r="H163" i="1"/>
  <c r="E164" i="1"/>
  <c r="F164" i="1"/>
  <c r="G164" i="1"/>
  <c r="H164" i="1"/>
  <c r="E165" i="1"/>
  <c r="F165" i="1"/>
  <c r="G165" i="1"/>
  <c r="H165" i="1"/>
  <c r="F166" i="1"/>
  <c r="G166" i="1"/>
  <c r="H166" i="1"/>
  <c r="F167" i="1"/>
  <c r="G167" i="1"/>
  <c r="H167" i="1"/>
  <c r="D168" i="1"/>
  <c r="E168" i="1"/>
  <c r="F168" i="1"/>
  <c r="G168" i="1"/>
  <c r="H168" i="1"/>
  <c r="E169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E204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E219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E238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E243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D250" i="1"/>
  <c r="E250" i="1"/>
  <c r="F250" i="1"/>
  <c r="G250" i="1"/>
  <c r="H250" i="1"/>
  <c r="D251" i="1"/>
  <c r="E251" i="1"/>
  <c r="F251" i="1"/>
  <c r="G251" i="1"/>
  <c r="H251" i="1"/>
  <c r="E255" i="1"/>
  <c r="F255" i="1"/>
  <c r="G255" i="1"/>
  <c r="H255" i="1"/>
  <c r="E256" i="1"/>
  <c r="F256" i="1"/>
  <c r="G256" i="1"/>
  <c r="H256" i="1"/>
  <c r="E257" i="1"/>
  <c r="F257" i="1"/>
  <c r="G257" i="1"/>
  <c r="H257" i="1"/>
  <c r="E258" i="1"/>
  <c r="F258" i="1"/>
  <c r="G258" i="1"/>
  <c r="H258" i="1"/>
  <c r="F259" i="1"/>
  <c r="G259" i="1"/>
  <c r="H259" i="1"/>
  <c r="E260" i="1"/>
  <c r="F260" i="1"/>
  <c r="G260" i="1"/>
  <c r="H260" i="1"/>
  <c r="F261" i="1"/>
  <c r="G261" i="1"/>
  <c r="H261" i="1"/>
  <c r="E262" i="1"/>
  <c r="F262" i="1"/>
  <c r="G262" i="1"/>
  <c r="H262" i="1"/>
  <c r="E263" i="1"/>
  <c r="F263" i="1"/>
  <c r="G263" i="1"/>
  <c r="H263" i="1"/>
  <c r="E264" i="1"/>
  <c r="F264" i="1"/>
  <c r="G264" i="1"/>
  <c r="H264" i="1"/>
  <c r="E265" i="1"/>
  <c r="F265" i="1"/>
  <c r="G265" i="1"/>
  <c r="H265" i="1"/>
  <c r="E266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E273" i="1"/>
  <c r="F273" i="1"/>
  <c r="G273" i="1"/>
  <c r="H273" i="1"/>
  <c r="F274" i="1"/>
  <c r="G274" i="1"/>
  <c r="H274" i="1"/>
  <c r="E275" i="1"/>
  <c r="F275" i="1"/>
  <c r="G275" i="1"/>
  <c r="H275" i="1"/>
  <c r="E276" i="1"/>
  <c r="F276" i="1"/>
  <c r="G276" i="1"/>
  <c r="H276" i="1"/>
  <c r="E277" i="1"/>
  <c r="F277" i="1"/>
  <c r="G277" i="1"/>
  <c r="H277" i="1"/>
  <c r="F278" i="1"/>
  <c r="G278" i="1"/>
  <c r="H278" i="1"/>
  <c r="E279" i="1"/>
  <c r="F279" i="1"/>
  <c r="G279" i="1"/>
  <c r="H279" i="1"/>
  <c r="F280" i="1"/>
  <c r="G280" i="1"/>
  <c r="H280" i="1"/>
  <c r="E281" i="1"/>
  <c r="F281" i="1"/>
  <c r="G281" i="1"/>
  <c r="H281" i="1"/>
  <c r="E282" i="1"/>
  <c r="F282" i="1"/>
  <c r="G282" i="1"/>
  <c r="H282" i="1"/>
  <c r="E283" i="1"/>
  <c r="F283" i="1"/>
  <c r="G283" i="1"/>
  <c r="H283" i="1"/>
  <c r="E284" i="1"/>
  <c r="F284" i="1"/>
  <c r="G284" i="1"/>
  <c r="H284" i="1"/>
  <c r="E285" i="1"/>
  <c r="F285" i="1"/>
  <c r="G285" i="1"/>
  <c r="H285" i="1"/>
  <c r="E286" i="1"/>
  <c r="F286" i="1"/>
  <c r="G286" i="1"/>
  <c r="H286" i="1"/>
  <c r="E287" i="1"/>
  <c r="F287" i="1"/>
  <c r="G287" i="1"/>
  <c r="H287" i="1"/>
  <c r="E288" i="1"/>
  <c r="F288" i="1"/>
  <c r="G288" i="1"/>
  <c r="H288" i="1"/>
  <c r="F289" i="1"/>
  <c r="G289" i="1"/>
  <c r="H289" i="1"/>
  <c r="E290" i="1"/>
  <c r="F290" i="1"/>
  <c r="G290" i="1"/>
  <c r="H290" i="1"/>
  <c r="E291" i="1"/>
  <c r="F291" i="1"/>
  <c r="G291" i="1"/>
  <c r="H291" i="1"/>
  <c r="E292" i="1"/>
  <c r="F292" i="1"/>
  <c r="G292" i="1"/>
  <c r="H292" i="1"/>
  <c r="E293" i="1"/>
  <c r="F293" i="1"/>
  <c r="G293" i="1"/>
  <c r="H293" i="1"/>
  <c r="E294" i="1"/>
  <c r="F294" i="1"/>
  <c r="G294" i="1"/>
  <c r="H294" i="1"/>
  <c r="E295" i="1"/>
  <c r="F295" i="1"/>
  <c r="G295" i="1"/>
  <c r="H295" i="1"/>
  <c r="F296" i="1"/>
  <c r="G296" i="1"/>
  <c r="H296" i="1"/>
  <c r="E297" i="1"/>
  <c r="F297" i="1"/>
  <c r="G297" i="1"/>
  <c r="H297" i="1"/>
  <c r="E298" i="1"/>
  <c r="F298" i="1"/>
  <c r="G298" i="1"/>
  <c r="H298" i="1"/>
  <c r="E299" i="1"/>
  <c r="F299" i="1"/>
  <c r="G299" i="1"/>
  <c r="H299" i="1"/>
  <c r="E300" i="1"/>
  <c r="F300" i="1"/>
  <c r="G300" i="1"/>
  <c r="H300" i="1"/>
  <c r="F301" i="1"/>
  <c r="G301" i="1"/>
  <c r="H301" i="1"/>
  <c r="E302" i="1"/>
  <c r="F302" i="1"/>
  <c r="G302" i="1"/>
  <c r="H302" i="1"/>
  <c r="E303" i="1"/>
  <c r="F303" i="1"/>
  <c r="G303" i="1"/>
  <c r="H303" i="1"/>
  <c r="E304" i="1"/>
  <c r="F304" i="1"/>
  <c r="G304" i="1"/>
  <c r="H304" i="1"/>
  <c r="F305" i="1"/>
  <c r="G305" i="1"/>
  <c r="H305" i="1"/>
  <c r="E306" i="1"/>
  <c r="F306" i="1"/>
  <c r="G306" i="1"/>
  <c r="H306" i="1"/>
  <c r="E307" i="1"/>
  <c r="F307" i="1"/>
  <c r="G307" i="1"/>
  <c r="H307" i="1"/>
  <c r="E308" i="1"/>
  <c r="F308" i="1"/>
  <c r="G308" i="1"/>
  <c r="H308" i="1"/>
  <c r="E309" i="1"/>
  <c r="F309" i="1"/>
  <c r="G309" i="1"/>
  <c r="H309" i="1"/>
  <c r="F310" i="1"/>
  <c r="G310" i="1"/>
  <c r="H310" i="1"/>
  <c r="E311" i="1"/>
  <c r="F311" i="1"/>
  <c r="G311" i="1"/>
  <c r="H311" i="1"/>
  <c r="E312" i="1"/>
  <c r="F312" i="1"/>
  <c r="G312" i="1"/>
  <c r="H312" i="1"/>
  <c r="E313" i="1"/>
  <c r="F313" i="1"/>
  <c r="G313" i="1"/>
  <c r="H313" i="1"/>
  <c r="E314" i="1"/>
  <c r="F314" i="1"/>
  <c r="G314" i="1"/>
  <c r="H314" i="1"/>
  <c r="E315" i="1"/>
  <c r="F315" i="1"/>
  <c r="G315" i="1"/>
  <c r="H315" i="1"/>
  <c r="F316" i="1"/>
  <c r="G316" i="1"/>
  <c r="H316" i="1"/>
  <c r="E317" i="1"/>
  <c r="F317" i="1"/>
  <c r="G317" i="1"/>
  <c r="H317" i="1"/>
  <c r="E318" i="1"/>
  <c r="F318" i="1"/>
  <c r="G318" i="1"/>
  <c r="H318" i="1"/>
  <c r="F319" i="1"/>
  <c r="G319" i="1"/>
  <c r="H319" i="1"/>
  <c r="E320" i="1"/>
  <c r="F320" i="1"/>
  <c r="G320" i="1"/>
  <c r="H320" i="1"/>
  <c r="F321" i="1"/>
  <c r="G321" i="1"/>
  <c r="H321" i="1"/>
  <c r="E322" i="1"/>
  <c r="F322" i="1"/>
  <c r="G322" i="1"/>
  <c r="H322" i="1"/>
  <c r="F323" i="1"/>
  <c r="G323" i="1"/>
  <c r="H323" i="1"/>
  <c r="E324" i="1"/>
  <c r="F324" i="1"/>
  <c r="G324" i="1"/>
  <c r="H324" i="1"/>
  <c r="E325" i="1"/>
  <c r="F325" i="1"/>
  <c r="G325" i="1"/>
  <c r="H325" i="1"/>
  <c r="E326" i="1"/>
  <c r="F326" i="1"/>
  <c r="G326" i="1"/>
  <c r="H326" i="1"/>
  <c r="E327" i="1"/>
  <c r="F327" i="1"/>
  <c r="G327" i="1"/>
  <c r="H327" i="1"/>
  <c r="E328" i="1"/>
  <c r="F328" i="1"/>
  <c r="G328" i="1"/>
  <c r="H328" i="1"/>
  <c r="E329" i="1"/>
  <c r="F329" i="1"/>
  <c r="G329" i="1"/>
  <c r="H329" i="1"/>
  <c r="F330" i="1"/>
  <c r="G330" i="1"/>
  <c r="H330" i="1"/>
  <c r="E331" i="1"/>
  <c r="F331" i="1"/>
  <c r="G331" i="1"/>
  <c r="H331" i="1"/>
  <c r="E332" i="1"/>
  <c r="F332" i="1"/>
  <c r="G332" i="1"/>
  <c r="H332" i="1"/>
  <c r="E333" i="1"/>
  <c r="F333" i="1"/>
  <c r="G333" i="1"/>
  <c r="H333" i="1"/>
  <c r="E334" i="1"/>
  <c r="F334" i="1"/>
  <c r="G334" i="1"/>
  <c r="H334" i="1"/>
  <c r="E335" i="1"/>
  <c r="F335" i="1"/>
  <c r="G335" i="1"/>
  <c r="H335" i="1"/>
  <c r="E336" i="1"/>
  <c r="F336" i="1"/>
  <c r="G336" i="1"/>
  <c r="H336" i="1"/>
  <c r="D338" i="1"/>
  <c r="E338" i="1"/>
  <c r="F338" i="1"/>
  <c r="G338" i="1"/>
  <c r="H338" i="1"/>
  <c r="D339" i="1"/>
  <c r="E339" i="1"/>
  <c r="F339" i="1"/>
  <c r="G339" i="1"/>
  <c r="H339" i="1"/>
  <c r="E343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E350" i="1"/>
  <c r="F350" i="1"/>
  <c r="G350" i="1"/>
  <c r="H350" i="1"/>
  <c r="E351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E355" i="1"/>
  <c r="F355" i="1"/>
  <c r="G355" i="1"/>
  <c r="H355" i="1"/>
  <c r="E356" i="1"/>
  <c r="F356" i="1"/>
  <c r="G356" i="1"/>
  <c r="H356" i="1"/>
  <c r="F357" i="1"/>
  <c r="G357" i="1"/>
  <c r="H357" i="1"/>
  <c r="E358" i="1"/>
  <c r="F358" i="1"/>
  <c r="G358" i="1"/>
  <c r="H358" i="1"/>
  <c r="F359" i="1"/>
  <c r="G359" i="1"/>
  <c r="H359" i="1"/>
  <c r="F360" i="1"/>
  <c r="G360" i="1"/>
  <c r="H360" i="1"/>
  <c r="E361" i="1"/>
  <c r="F361" i="1"/>
  <c r="G361" i="1"/>
  <c r="H361" i="1"/>
  <c r="E362" i="1"/>
  <c r="F362" i="1"/>
  <c r="G362" i="1"/>
  <c r="H362" i="1"/>
  <c r="E363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F367" i="1"/>
  <c r="G367" i="1"/>
  <c r="H367" i="1"/>
  <c r="F368" i="1"/>
  <c r="G368" i="1"/>
  <c r="H368" i="1"/>
  <c r="F369" i="1"/>
  <c r="G369" i="1"/>
  <c r="H369" i="1"/>
  <c r="E370" i="1"/>
  <c r="F370" i="1"/>
  <c r="G370" i="1"/>
  <c r="H370" i="1"/>
  <c r="F371" i="1"/>
  <c r="G371" i="1"/>
  <c r="H371" i="1"/>
  <c r="F372" i="1"/>
  <c r="G372" i="1"/>
  <c r="H372" i="1"/>
  <c r="E373" i="1"/>
  <c r="F373" i="1"/>
  <c r="G373" i="1"/>
  <c r="H373" i="1"/>
  <c r="E374" i="1"/>
  <c r="F374" i="1"/>
  <c r="G374" i="1"/>
  <c r="H374" i="1"/>
  <c r="F375" i="1"/>
  <c r="G375" i="1"/>
  <c r="H375" i="1"/>
  <c r="E376" i="1"/>
  <c r="F376" i="1"/>
  <c r="G376" i="1"/>
  <c r="H376" i="1"/>
  <c r="E377" i="1"/>
  <c r="F377" i="1"/>
  <c r="G377" i="1"/>
  <c r="H377" i="1"/>
  <c r="E378" i="1"/>
  <c r="F378" i="1"/>
  <c r="G378" i="1"/>
  <c r="H378" i="1"/>
  <c r="F379" i="1"/>
  <c r="G379" i="1"/>
  <c r="H379" i="1"/>
  <c r="E380" i="1"/>
  <c r="F380" i="1"/>
  <c r="G380" i="1"/>
  <c r="H380" i="1"/>
  <c r="E381" i="1"/>
  <c r="F381" i="1"/>
  <c r="G381" i="1"/>
  <c r="H381" i="1"/>
  <c r="F382" i="1"/>
  <c r="G382" i="1"/>
  <c r="H382" i="1"/>
  <c r="E383" i="1"/>
  <c r="F383" i="1"/>
  <c r="G383" i="1"/>
  <c r="H383" i="1"/>
  <c r="E384" i="1"/>
  <c r="F384" i="1"/>
  <c r="G384" i="1"/>
  <c r="H384" i="1"/>
  <c r="E385" i="1"/>
  <c r="F385" i="1"/>
  <c r="G385" i="1"/>
  <c r="H385" i="1"/>
  <c r="F386" i="1"/>
  <c r="G386" i="1"/>
  <c r="H386" i="1"/>
  <c r="F387" i="1"/>
  <c r="G387" i="1"/>
  <c r="H387" i="1"/>
  <c r="F388" i="1"/>
  <c r="G388" i="1"/>
  <c r="H388" i="1"/>
  <c r="F389" i="1"/>
  <c r="G389" i="1"/>
  <c r="H389" i="1"/>
  <c r="E390" i="1"/>
  <c r="F390" i="1"/>
  <c r="G390" i="1"/>
  <c r="H390" i="1"/>
  <c r="E391" i="1"/>
  <c r="F391" i="1"/>
  <c r="G391" i="1"/>
  <c r="H391" i="1"/>
  <c r="F392" i="1"/>
  <c r="G392" i="1"/>
  <c r="H392" i="1"/>
  <c r="E393" i="1"/>
  <c r="F393" i="1"/>
  <c r="G393" i="1"/>
  <c r="H393" i="1"/>
  <c r="E394" i="1"/>
  <c r="F394" i="1"/>
  <c r="G394" i="1"/>
  <c r="H394" i="1"/>
  <c r="F395" i="1"/>
  <c r="G395" i="1"/>
  <c r="H395" i="1"/>
  <c r="F396" i="1"/>
  <c r="G396" i="1"/>
  <c r="H396" i="1"/>
  <c r="F397" i="1"/>
  <c r="G397" i="1"/>
  <c r="H397" i="1"/>
  <c r="F398" i="1"/>
  <c r="G398" i="1"/>
  <c r="H398" i="1"/>
  <c r="F399" i="1"/>
  <c r="G399" i="1"/>
  <c r="H399" i="1"/>
  <c r="E400" i="1"/>
  <c r="F400" i="1"/>
  <c r="G400" i="1"/>
  <c r="H400" i="1"/>
  <c r="E401" i="1"/>
  <c r="F401" i="1"/>
  <c r="G401" i="1"/>
  <c r="H401" i="1"/>
  <c r="F402" i="1"/>
  <c r="G402" i="1"/>
  <c r="H402" i="1"/>
  <c r="E403" i="1"/>
  <c r="F403" i="1"/>
  <c r="G403" i="1"/>
  <c r="H403" i="1"/>
  <c r="F404" i="1"/>
  <c r="G404" i="1"/>
  <c r="H404" i="1"/>
  <c r="E405" i="1"/>
  <c r="F405" i="1"/>
  <c r="G405" i="1"/>
  <c r="H405" i="1"/>
  <c r="E406" i="1"/>
  <c r="F406" i="1"/>
  <c r="G406" i="1"/>
  <c r="H406" i="1"/>
  <c r="F407" i="1"/>
  <c r="G407" i="1"/>
  <c r="H407" i="1"/>
  <c r="F408" i="1"/>
  <c r="G408" i="1"/>
  <c r="H408" i="1"/>
  <c r="E409" i="1"/>
  <c r="F409" i="1"/>
  <c r="G409" i="1"/>
  <c r="H409" i="1"/>
  <c r="F410" i="1"/>
  <c r="G410" i="1"/>
  <c r="H410" i="1"/>
  <c r="F411" i="1"/>
  <c r="G411" i="1"/>
  <c r="H411" i="1"/>
  <c r="F412" i="1"/>
  <c r="G412" i="1"/>
  <c r="H412" i="1"/>
  <c r="F413" i="1"/>
  <c r="G413" i="1"/>
  <c r="H413" i="1"/>
  <c r="F414" i="1"/>
  <c r="G414" i="1"/>
  <c r="H414" i="1"/>
  <c r="E415" i="1"/>
  <c r="F415" i="1"/>
  <c r="G415" i="1"/>
  <c r="H415" i="1"/>
  <c r="E416" i="1"/>
  <c r="F416" i="1"/>
  <c r="G416" i="1"/>
  <c r="H416" i="1"/>
  <c r="F417" i="1"/>
  <c r="G417" i="1"/>
  <c r="H417" i="1"/>
  <c r="E418" i="1"/>
  <c r="F418" i="1"/>
  <c r="G418" i="1"/>
  <c r="H418" i="1"/>
  <c r="F419" i="1"/>
  <c r="G419" i="1"/>
  <c r="H419" i="1"/>
  <c r="E420" i="1"/>
  <c r="F420" i="1"/>
  <c r="G420" i="1"/>
  <c r="H420" i="1"/>
  <c r="F421" i="1"/>
  <c r="G421" i="1"/>
  <c r="H421" i="1"/>
  <c r="E422" i="1"/>
  <c r="F422" i="1"/>
  <c r="G422" i="1"/>
  <c r="H422" i="1"/>
  <c r="F423" i="1"/>
  <c r="G423" i="1"/>
  <c r="H423" i="1"/>
  <c r="F424" i="1"/>
  <c r="G424" i="1"/>
  <c r="H424" i="1"/>
  <c r="E425" i="1"/>
  <c r="F425" i="1"/>
  <c r="G425" i="1"/>
  <c r="H425" i="1"/>
  <c r="E426" i="1"/>
  <c r="F426" i="1"/>
  <c r="G426" i="1"/>
  <c r="H426" i="1"/>
  <c r="E427" i="1"/>
  <c r="F427" i="1"/>
  <c r="G427" i="1"/>
  <c r="H427" i="1"/>
  <c r="F428" i="1"/>
  <c r="G428" i="1"/>
  <c r="H428" i="1"/>
  <c r="E429" i="1"/>
  <c r="F429" i="1"/>
  <c r="G429" i="1"/>
  <c r="H429" i="1"/>
  <c r="E430" i="1"/>
  <c r="F430" i="1"/>
  <c r="G430" i="1"/>
  <c r="H430" i="1"/>
  <c r="E431" i="1"/>
  <c r="F431" i="1"/>
  <c r="G431" i="1"/>
  <c r="H431" i="1"/>
  <c r="F432" i="1"/>
  <c r="G432" i="1"/>
  <c r="H432" i="1"/>
  <c r="F433" i="1"/>
  <c r="G433" i="1"/>
  <c r="H433" i="1"/>
  <c r="E434" i="1"/>
  <c r="F434" i="1"/>
  <c r="G434" i="1"/>
  <c r="H434" i="1"/>
  <c r="F435" i="1"/>
  <c r="G435" i="1"/>
  <c r="H435" i="1"/>
  <c r="F436" i="1"/>
  <c r="G436" i="1"/>
  <c r="H436" i="1"/>
  <c r="F437" i="1"/>
  <c r="G437" i="1"/>
  <c r="H437" i="1"/>
  <c r="E438" i="1"/>
  <c r="F438" i="1"/>
  <c r="G438" i="1"/>
  <c r="H438" i="1"/>
  <c r="F439" i="1"/>
  <c r="G439" i="1"/>
  <c r="H439" i="1"/>
  <c r="E440" i="1"/>
  <c r="F440" i="1"/>
  <c r="G440" i="1"/>
  <c r="H440" i="1"/>
  <c r="E441" i="1"/>
  <c r="F441" i="1"/>
  <c r="G441" i="1"/>
  <c r="H441" i="1"/>
  <c r="E442" i="1"/>
  <c r="F442" i="1"/>
  <c r="G442" i="1"/>
  <c r="H442" i="1"/>
  <c r="E443" i="1"/>
  <c r="F443" i="1"/>
  <c r="G443" i="1"/>
  <c r="H443" i="1"/>
  <c r="F444" i="1"/>
  <c r="G444" i="1"/>
  <c r="H444" i="1"/>
  <c r="E445" i="1"/>
  <c r="F445" i="1"/>
  <c r="G445" i="1"/>
  <c r="H445" i="1"/>
  <c r="E446" i="1"/>
  <c r="F446" i="1"/>
  <c r="G446" i="1"/>
  <c r="H446" i="1"/>
  <c r="F447" i="1"/>
  <c r="G447" i="1"/>
  <c r="H447" i="1"/>
  <c r="E448" i="1"/>
  <c r="F448" i="1"/>
  <c r="G448" i="1"/>
  <c r="H448" i="1"/>
  <c r="E449" i="1"/>
  <c r="F449" i="1"/>
  <c r="G449" i="1"/>
  <c r="H449" i="1"/>
  <c r="F450" i="1"/>
  <c r="G450" i="1"/>
  <c r="H450" i="1"/>
  <c r="F451" i="1"/>
  <c r="G451" i="1"/>
  <c r="H451" i="1"/>
  <c r="E452" i="1"/>
  <c r="F452" i="1"/>
  <c r="G452" i="1"/>
  <c r="H452" i="1"/>
  <c r="E453" i="1"/>
  <c r="F453" i="1"/>
  <c r="G453" i="1"/>
  <c r="H453" i="1"/>
  <c r="F454" i="1"/>
  <c r="G454" i="1"/>
  <c r="H454" i="1"/>
  <c r="F455" i="1"/>
  <c r="G455" i="1"/>
  <c r="H455" i="1"/>
  <c r="F456" i="1"/>
  <c r="G456" i="1"/>
  <c r="H456" i="1"/>
  <c r="F457" i="1"/>
  <c r="G457" i="1"/>
  <c r="H457" i="1"/>
  <c r="F458" i="1"/>
  <c r="G458" i="1"/>
  <c r="H458" i="1"/>
  <c r="E459" i="1"/>
  <c r="F459" i="1"/>
  <c r="G459" i="1"/>
  <c r="H459" i="1"/>
  <c r="F460" i="1"/>
  <c r="G460" i="1"/>
  <c r="H460" i="1"/>
  <c r="E461" i="1"/>
  <c r="F461" i="1"/>
  <c r="G461" i="1"/>
  <c r="H461" i="1"/>
  <c r="E462" i="1"/>
  <c r="F462" i="1"/>
  <c r="G462" i="1"/>
  <c r="H462" i="1"/>
  <c r="E463" i="1"/>
  <c r="F463" i="1"/>
  <c r="G463" i="1"/>
  <c r="H463" i="1"/>
  <c r="F464" i="1"/>
  <c r="G464" i="1"/>
  <c r="H464" i="1"/>
  <c r="F465" i="1"/>
  <c r="G465" i="1"/>
  <c r="H465" i="1"/>
  <c r="E466" i="1"/>
  <c r="F466" i="1"/>
  <c r="G466" i="1"/>
  <c r="H466" i="1"/>
  <c r="F467" i="1"/>
  <c r="G467" i="1"/>
  <c r="H467" i="1"/>
  <c r="F468" i="1"/>
  <c r="G468" i="1"/>
  <c r="H468" i="1"/>
  <c r="F469" i="1"/>
  <c r="G469" i="1"/>
  <c r="H469" i="1"/>
  <c r="F470" i="1"/>
  <c r="G470" i="1"/>
  <c r="H470" i="1"/>
  <c r="F471" i="1"/>
  <c r="G471" i="1"/>
  <c r="H471" i="1"/>
  <c r="D473" i="1"/>
  <c r="E473" i="1"/>
  <c r="F473" i="1"/>
  <c r="G473" i="1"/>
  <c r="H473" i="1"/>
  <c r="D474" i="1"/>
  <c r="E474" i="1"/>
  <c r="F474" i="1"/>
  <c r="G474" i="1"/>
  <c r="H474" i="1"/>
</calcChain>
</file>

<file path=xl/sharedStrings.xml><?xml version="1.0" encoding="utf-8"?>
<sst xmlns="http://schemas.openxmlformats.org/spreadsheetml/2006/main" count="775" uniqueCount="250">
  <si>
    <t>SIGMA</t>
  </si>
  <si>
    <t>XBAR</t>
  </si>
  <si>
    <t>block 2 image 15</t>
  </si>
  <si>
    <t>block 2 image 14</t>
  </si>
  <si>
    <t>block 2 image 13</t>
  </si>
  <si>
    <t>block 2 image 12</t>
  </si>
  <si>
    <t>block 2 image 11</t>
  </si>
  <si>
    <t>block 2 image 10</t>
  </si>
  <si>
    <t>block 2 image 9</t>
  </si>
  <si>
    <t>block 2 image 8</t>
  </si>
  <si>
    <t>block 2 image 7</t>
  </si>
  <si>
    <t>block 2 image 6</t>
  </si>
  <si>
    <t>block 2 image 5</t>
  </si>
  <si>
    <t>block 2 image 4</t>
  </si>
  <si>
    <t>block 2 image 3</t>
  </si>
  <si>
    <t>block 2 image 2</t>
  </si>
  <si>
    <t>block 2 image 1</t>
  </si>
  <si>
    <t>% apposition</t>
  </si>
  <si>
    <t>REAL L(ER-OMM)</t>
  </si>
  <si>
    <t>REAL L(OMM)</t>
  </si>
  <si>
    <t>length ER-OMM</t>
  </si>
  <si>
    <t>length OMM</t>
  </si>
  <si>
    <t>location</t>
  </si>
  <si>
    <t>mito</t>
  </si>
  <si>
    <t>TEM image file</t>
  </si>
  <si>
    <t>U2OS:GFP + 4h CCCP (block 2)</t>
  </si>
  <si>
    <t>block 4 image 15</t>
  </si>
  <si>
    <t>block 4 image 14</t>
  </si>
  <si>
    <t>block 4 image 13</t>
  </si>
  <si>
    <t>block 4 image 12</t>
  </si>
  <si>
    <t>block 4 image 11</t>
  </si>
  <si>
    <t>block 4 image 10</t>
  </si>
  <si>
    <t>block 4 image 9</t>
  </si>
  <si>
    <t>block 4 image 8</t>
  </si>
  <si>
    <t>block 4 image 7</t>
  </si>
  <si>
    <t>block 4 image 6</t>
  </si>
  <si>
    <t>block 4 image 5</t>
  </si>
  <si>
    <t>block 4 image 4</t>
  </si>
  <si>
    <t>right</t>
  </si>
  <si>
    <t>left</t>
  </si>
  <si>
    <t>block 4 image 3</t>
  </si>
  <si>
    <t>block 4 image 2</t>
  </si>
  <si>
    <t>only</t>
  </si>
  <si>
    <t>block 4 image 1</t>
  </si>
  <si>
    <t>U2OS:GFP + untreated (block 4)</t>
  </si>
  <si>
    <t>block 6 image 17</t>
  </si>
  <si>
    <t>block 6 image 16</t>
  </si>
  <si>
    <t>block 6 image 15</t>
  </si>
  <si>
    <t>block 6 image 14</t>
  </si>
  <si>
    <t>bottom</t>
  </si>
  <si>
    <t>top</t>
  </si>
  <si>
    <t>block 6 image 13</t>
  </si>
  <si>
    <t>block 6 image 12</t>
  </si>
  <si>
    <t>block 6 image 11</t>
  </si>
  <si>
    <t>block 6 image 10</t>
  </si>
  <si>
    <t>block 6 image 9</t>
  </si>
  <si>
    <t>block 6 image 8</t>
  </si>
  <si>
    <t>block 6 image 7</t>
  </si>
  <si>
    <t>block 6 image 6</t>
  </si>
  <si>
    <t>block 6 image 5</t>
  </si>
  <si>
    <t>block 6 image 4</t>
  </si>
  <si>
    <t>block 6 image 3</t>
  </si>
  <si>
    <t>block 6 image 2</t>
  </si>
  <si>
    <t>block 6 image 1</t>
  </si>
  <si>
    <t>U2OS:GFP-parkin + 4h CCCP (block 6)</t>
  </si>
  <si>
    <t>block 8 image 19</t>
  </si>
  <si>
    <t>block 8 image 18</t>
  </si>
  <si>
    <t>block 8 image 17</t>
  </si>
  <si>
    <t>block 8 image 16</t>
  </si>
  <si>
    <t>block 8 image 15</t>
  </si>
  <si>
    <t>block 8 image 14</t>
  </si>
  <si>
    <t>block 8 image 13</t>
  </si>
  <si>
    <t>block 8 image 12</t>
  </si>
  <si>
    <t>block 8 image 11</t>
  </si>
  <si>
    <t>block 8 image 10</t>
  </si>
  <si>
    <t>block 8 image 9</t>
  </si>
  <si>
    <t>middle</t>
  </si>
  <si>
    <t>block 8 image 8</t>
  </si>
  <si>
    <t>block 8 image 7</t>
  </si>
  <si>
    <t>block 8 image 6</t>
  </si>
  <si>
    <t>block 8 image 5</t>
  </si>
  <si>
    <t>block 8 image 4</t>
  </si>
  <si>
    <t>block 8 image 3</t>
  </si>
  <si>
    <t>block 8 image 2</t>
  </si>
  <si>
    <t>block 8 image 1</t>
  </si>
  <si>
    <t>conversion factor: 0.5 um = 0.32</t>
  </si>
  <si>
    <t>U2OS:GFP-parkin + untreated (block 8)</t>
  </si>
  <si>
    <t>% in contact</t>
  </si>
  <si>
    <t>U2OS:GFP-parkin CCCP</t>
  </si>
  <si>
    <t>U2OS:GFP untreated</t>
  </si>
  <si>
    <t>U2OS:GFP-parkin untreated</t>
  </si>
  <si>
    <t>% app</t>
  </si>
  <si>
    <t>real P(mito)</t>
  </si>
  <si>
    <t>L(ER-mito)</t>
  </si>
  <si>
    <t>P(mito)</t>
  </si>
  <si>
    <t>image file</t>
  </si>
  <si>
    <t>block 8</t>
  </si>
  <si>
    <t>block 7 image 7</t>
  </si>
  <si>
    <t>block 7 image 9</t>
  </si>
  <si>
    <t>block 7 image 8</t>
  </si>
  <si>
    <t>block 7 image 6</t>
  </si>
  <si>
    <t>block 7 image 5</t>
  </si>
  <si>
    <t>block 7 image 4</t>
  </si>
  <si>
    <t>block 7 image 3</t>
  </si>
  <si>
    <t>block 7 image 2</t>
  </si>
  <si>
    <t>block 7 image 16</t>
  </si>
  <si>
    <t>block 7 image 15</t>
  </si>
  <si>
    <t>block 7 image 14</t>
  </si>
  <si>
    <t>block 7 image 13</t>
  </si>
  <si>
    <t>block 7 image 12</t>
  </si>
  <si>
    <t>block 7 image 11</t>
  </si>
  <si>
    <t>block 7 image 10</t>
  </si>
  <si>
    <t>block 7 image 1</t>
  </si>
  <si>
    <t>block 7</t>
  </si>
  <si>
    <t>block 5 image 15</t>
  </si>
  <si>
    <t>block 5 image 14</t>
  </si>
  <si>
    <t>block 5 image 13</t>
  </si>
  <si>
    <t>block 5 image 12</t>
  </si>
  <si>
    <t>block 5 image 11</t>
  </si>
  <si>
    <t>block 5 image 9</t>
  </si>
  <si>
    <t>block 5 image 8</t>
  </si>
  <si>
    <t>block 5 image 7</t>
  </si>
  <si>
    <t>block 5 image 6</t>
  </si>
  <si>
    <t>block 5 image 5</t>
  </si>
  <si>
    <t>block 5 image 4</t>
  </si>
  <si>
    <t>block 5 image 3</t>
  </si>
  <si>
    <t>block 5 image 2</t>
  </si>
  <si>
    <t>block 5 image 10</t>
  </si>
  <si>
    <t>block 5</t>
  </si>
  <si>
    <t>block 4</t>
  </si>
  <si>
    <t>block 3 image 16</t>
  </si>
  <si>
    <t>block 3 image 15</t>
  </si>
  <si>
    <t>block 3 image 14</t>
  </si>
  <si>
    <t>block 3 image 13</t>
  </si>
  <si>
    <t>block 3 image 12</t>
  </si>
  <si>
    <t>block 3 image 11</t>
  </si>
  <si>
    <t>block 3 image 10</t>
  </si>
  <si>
    <t>block 3 image 9</t>
  </si>
  <si>
    <t>block 3 image 8</t>
  </si>
  <si>
    <t>block 3 image 7</t>
  </si>
  <si>
    <t>block 3 image 6</t>
  </si>
  <si>
    <t>block 3 image 5</t>
  </si>
  <si>
    <t>block 3 image 4</t>
  </si>
  <si>
    <t>block 3 image 3</t>
  </si>
  <si>
    <t>block 3 image 2</t>
  </si>
  <si>
    <t>block 3 image 1</t>
  </si>
  <si>
    <t>block 3</t>
  </si>
  <si>
    <t>block 1 image 15</t>
  </si>
  <si>
    <t>block 1 image 14</t>
  </si>
  <si>
    <t>block 1 image 13</t>
  </si>
  <si>
    <t>block 1 image 12</t>
  </si>
  <si>
    <t>block 1 image 11</t>
  </si>
  <si>
    <t>block 1 image 10</t>
  </si>
  <si>
    <t>block 1 image 9</t>
  </si>
  <si>
    <t>block 1 image 8</t>
  </si>
  <si>
    <t>block 1 image 7</t>
  </si>
  <si>
    <t>block 1 image 6</t>
  </si>
  <si>
    <t>block 1 image 5</t>
  </si>
  <si>
    <t>block 1 image 4</t>
  </si>
  <si>
    <t>block 1 image 3</t>
  </si>
  <si>
    <t>ctrl siRNA + MG132 + CCCP</t>
  </si>
  <si>
    <t>block 1 image 2</t>
  </si>
  <si>
    <t>siPINK1 + CCCP</t>
  </si>
  <si>
    <t>ctrl siRNA + CCCP</t>
  </si>
  <si>
    <t>ctrl siRNA + MG132</t>
  </si>
  <si>
    <t>siPINK1</t>
  </si>
  <si>
    <t>ctrl siRNA</t>
  </si>
  <si>
    <t>block 1</t>
  </si>
  <si>
    <t>block 1 image 1</t>
  </si>
  <si>
    <t>conversion: 0.5 um = 0.45</t>
  </si>
  <si>
    <t>block 8 image 20</t>
  </si>
  <si>
    <t>real L(ER-mito)</t>
  </si>
  <si>
    <t>% contact</t>
  </si>
  <si>
    <t>contact?</t>
  </si>
  <si>
    <t>block 6</t>
  </si>
  <si>
    <t>block 5 image 1</t>
  </si>
  <si>
    <t>block 2 image 16</t>
  </si>
  <si>
    <t>block 2</t>
  </si>
  <si>
    <t>block 1 image 18</t>
  </si>
  <si>
    <t>block 1 image 17</t>
  </si>
  <si>
    <t>block 1 image 16</t>
  </si>
  <si>
    <t>parkin + CCCP</t>
  </si>
  <si>
    <t>parkin</t>
  </si>
  <si>
    <t>ctrl 2 + CCCP</t>
  </si>
  <si>
    <t>ctrl 2</t>
  </si>
  <si>
    <t>ctrl 1 + CCCP</t>
  </si>
  <si>
    <t>ctrl 1</t>
  </si>
  <si>
    <t>500 nm = 0.719</t>
  </si>
  <si>
    <t>Numerical source data for Figure 1B to D</t>
  </si>
  <si>
    <t>Numerical source data for Figure 1E</t>
  </si>
  <si>
    <t>Numerical source data for Figure 1I</t>
  </si>
  <si>
    <t>Numerical source data for Figure 1J</t>
  </si>
  <si>
    <t>Numerical source data for Figure 1N</t>
  </si>
  <si>
    <t>CCCP 25 nm</t>
  </si>
  <si>
    <t>CCCP 50 nm</t>
  </si>
  <si>
    <t>CCCP 100 nm</t>
  </si>
  <si>
    <t>untreated 25 nm</t>
  </si>
  <si>
    <t>untreated 50 nm</t>
  </si>
  <si>
    <t>untreated 100 nm</t>
  </si>
  <si>
    <t>%_fraction</t>
  </si>
  <si>
    <t>%_rel</t>
  </si>
  <si>
    <t>sample</t>
  </si>
  <si>
    <t>image 17 9k</t>
  </si>
  <si>
    <t>image 16 11k</t>
  </si>
  <si>
    <t>image 15 9k</t>
  </si>
  <si>
    <t>image 14 9k</t>
  </si>
  <si>
    <t>image 13 7k</t>
  </si>
  <si>
    <t>image 12 7k</t>
  </si>
  <si>
    <t>image 11 7k</t>
  </si>
  <si>
    <t>image 9 7k</t>
  </si>
  <si>
    <t>image 8 9k</t>
  </si>
  <si>
    <t>image 7 11k</t>
  </si>
  <si>
    <t>image 6 9k</t>
  </si>
  <si>
    <t>image 5 9k</t>
  </si>
  <si>
    <t>image 4 11k</t>
  </si>
  <si>
    <t>image 3 7k</t>
  </si>
  <si>
    <t>image 2 7k</t>
  </si>
  <si>
    <t>image 10 9k</t>
  </si>
  <si>
    <t>image 1 7k</t>
  </si>
  <si>
    <t>block 6: GFP-parkin + CCCP</t>
  </si>
  <si>
    <t>image 19 7k</t>
  </si>
  <si>
    <t>image 18 7k</t>
  </si>
  <si>
    <t>image 17 7k</t>
  </si>
  <si>
    <t>image 16 7k</t>
  </si>
  <si>
    <t>image 13 9k</t>
  </si>
  <si>
    <t>image 12 9k</t>
  </si>
  <si>
    <t>image 11 13k</t>
  </si>
  <si>
    <t>image 10 13k</t>
  </si>
  <si>
    <t>image 9 9k</t>
  </si>
  <si>
    <t>image 8 11k</t>
  </si>
  <si>
    <t>image 7 13k</t>
  </si>
  <si>
    <t>image 6 13k</t>
  </si>
  <si>
    <t>image 4 13k</t>
  </si>
  <si>
    <t>image 3 9k</t>
  </si>
  <si>
    <t>image 2 11k</t>
  </si>
  <si>
    <t>block 8: GFP-parkin untreated</t>
  </si>
  <si>
    <t>% con</t>
  </si>
  <si>
    <t>&lt;25 nm contacts</t>
  </si>
  <si>
    <t>&lt;50 nm contacts</t>
  </si>
  <si>
    <t>&lt;100 nm contacts</t>
  </si>
  <si>
    <t>13k</t>
  </si>
  <si>
    <t>11k</t>
  </si>
  <si>
    <t>9k</t>
  </si>
  <si>
    <t>7k</t>
  </si>
  <si>
    <t>25 nm</t>
  </si>
  <si>
    <t>50 nm</t>
  </si>
  <si>
    <t>100 nm</t>
  </si>
  <si>
    <t>real</t>
  </si>
  <si>
    <t>scale</t>
  </si>
  <si>
    <t>Numerical source data for Figure 1-figure supplement 1B to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</si>
</sst>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/>
    <xf numFmtId="0" fontId="0" fillId="0" borderId="0" xfId="0" applyNumberFormat="1"/>
    <xf numFmtId="1" fontId="0" fillId="0" borderId="0" xfId="0" applyNumberFormat="1"/>
    <xf numFmtId="0" fontId="2" fillId="2" borderId="0" xfId="0" applyNumberFormat="1" applyFont="1" applyFill="1"/>
    <xf numFmtId="164" fontId="0" fillId="0" borderId="0" xfId="0" applyNumberFormat="1" applyFont="1" applyFill="1"/>
    <xf numFmtId="0" fontId="5" fillId="0" borderId="0" xfId="0" applyFont="1"/>
    <xf numFmtId="164" fontId="0" fillId="3" borderId="0" xfId="0" applyNumberFormat="1" applyFill="1"/>
    <xf numFmtId="164" fontId="0" fillId="4" borderId="0" xfId="0" applyNumberFormat="1" applyFill="1"/>
    <xf numFmtId="164" fontId="0" fillId="0" borderId="0" xfId="0" applyNumberFormat="1" applyFill="1"/>
    <xf numFmtId="164" fontId="0" fillId="0" borderId="1" xfId="0" applyNumberFormat="1" applyBorder="1"/>
    <xf numFmtId="164" fontId="0" fillId="3" borderId="2" xfId="0" applyNumberFormat="1" applyFill="1" applyBorder="1"/>
    <xf numFmtId="164" fontId="0" fillId="0" borderId="2" xfId="0" applyNumberFormat="1" applyBorder="1"/>
    <xf numFmtId="164" fontId="0" fillId="4" borderId="2" xfId="0" applyNumberFormat="1" applyFill="1" applyBorder="1"/>
    <xf numFmtId="0" fontId="0" fillId="0" borderId="2" xfId="0" applyFill="1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3" borderId="0" xfId="0" applyNumberFormat="1" applyFill="1" applyBorder="1"/>
    <xf numFmtId="164" fontId="0" fillId="0" borderId="0" xfId="0" applyNumberFormat="1" applyBorder="1"/>
    <xf numFmtId="164" fontId="0" fillId="4" borderId="0" xfId="0" applyNumberFormat="1" applyFill="1" applyBorder="1"/>
    <xf numFmtId="0" fontId="0" fillId="0" borderId="0" xfId="0" applyFill="1" applyBorder="1"/>
    <xf numFmtId="0" fontId="0" fillId="0" borderId="0" xfId="0" applyBorder="1"/>
    <xf numFmtId="0" fontId="0" fillId="0" borderId="5" xfId="0" applyBorder="1"/>
    <xf numFmtId="164" fontId="0" fillId="0" borderId="6" xfId="0" applyNumberFormat="1" applyBorder="1"/>
    <xf numFmtId="164" fontId="0" fillId="3" borderId="7" xfId="0" applyNumberFormat="1" applyFill="1" applyBorder="1"/>
    <xf numFmtId="164" fontId="0" fillId="0" borderId="7" xfId="0" applyNumberFormat="1" applyBorder="1"/>
    <xf numFmtId="164" fontId="0" fillId="4" borderId="7" xfId="0" applyNumberFormat="1" applyFill="1" applyBorder="1"/>
    <xf numFmtId="0" fontId="0" fillId="0" borderId="7" xfId="0" applyFill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164" fontId="0" fillId="3" borderId="10" xfId="0" applyNumberFormat="1" applyFill="1" applyBorder="1"/>
    <xf numFmtId="164" fontId="0" fillId="0" borderId="10" xfId="0" applyNumberFormat="1" applyBorder="1"/>
    <xf numFmtId="164" fontId="0" fillId="4" borderId="10" xfId="0" applyNumberFormat="1" applyFill="1" applyBorder="1"/>
    <xf numFmtId="0" fontId="0" fillId="0" borderId="10" xfId="0" applyBorder="1"/>
    <xf numFmtId="0" fontId="0" fillId="0" borderId="11" xfId="0" applyBorder="1"/>
    <xf numFmtId="164" fontId="2" fillId="5" borderId="9" xfId="0" applyNumberFormat="1" applyFont="1" applyFill="1" applyBorder="1"/>
    <xf numFmtId="164" fontId="2" fillId="5" borderId="10" xfId="0" applyNumberFormat="1" applyFont="1" applyFill="1" applyBorder="1"/>
    <xf numFmtId="164" fontId="2" fillId="5" borderId="11" xfId="0" applyNumberFormat="1" applyFont="1" applyFill="1" applyBorder="1"/>
    <xf numFmtId="164" fontId="2" fillId="0" borderId="0" xfId="0" applyNumberFormat="1" applyFont="1" applyFill="1" applyBorder="1"/>
    <xf numFmtId="164" fontId="2" fillId="2" borderId="9" xfId="0" applyNumberFormat="1" applyFont="1" applyFill="1" applyBorder="1"/>
    <xf numFmtId="164" fontId="2" fillId="2" borderId="10" xfId="0" applyNumberFormat="1" applyFont="1" applyFill="1" applyBorder="1"/>
    <xf numFmtId="164" fontId="2" fillId="2" borderId="11" xfId="0" applyNumberFormat="1" applyFont="1" applyFill="1" applyBorder="1"/>
    <xf numFmtId="164" fontId="2" fillId="6" borderId="9" xfId="0" applyNumberFormat="1" applyFont="1" applyFill="1" applyBorder="1"/>
    <xf numFmtId="164" fontId="2" fillId="6" borderId="10" xfId="0" applyNumberFormat="1" applyFont="1" applyFill="1" applyBorder="1"/>
    <xf numFmtId="164" fontId="2" fillId="6" borderId="11" xfId="0" applyNumberFormat="1" applyFont="1" applyFill="1" applyBorder="1"/>
    <xf numFmtId="164" fontId="1" fillId="7" borderId="9" xfId="0" applyNumberFormat="1" applyFont="1" applyFill="1" applyBorder="1"/>
    <xf numFmtId="0" fontId="1" fillId="7" borderId="10" xfId="0" applyFont="1" applyFill="1" applyBorder="1"/>
    <xf numFmtId="0" fontId="1" fillId="7" borderId="11" xfId="0" applyFont="1" applyFill="1" applyBorder="1"/>
    <xf numFmtId="164" fontId="2" fillId="0" borderId="0" xfId="0" applyNumberFormat="1" applyFon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workbookViewId="0"/>
  </sheetViews>
  <sheetFormatPr baseColWidth="10" defaultRowHeight="16" x14ac:dyDescent="0.2"/>
  <cols>
    <col min="1" max="1" width="22.5" customWidth="1"/>
    <col min="2" max="2" width="5.6640625" customWidth="1"/>
    <col min="3" max="3" width="7.83203125" customWidth="1"/>
    <col min="4" max="4" width="11.33203125" style="2" customWidth="1"/>
    <col min="5" max="5" width="14.1640625" style="2" customWidth="1"/>
    <col min="6" max="7" width="15.83203125" style="2" customWidth="1"/>
    <col min="8" max="8" width="11.33203125" style="1" customWidth="1"/>
  </cols>
  <sheetData>
    <row r="1" spans="1:8" x14ac:dyDescent="0.2">
      <c r="A1" t="s">
        <v>188</v>
      </c>
    </row>
    <row r="3" spans="1:8" x14ac:dyDescent="0.2">
      <c r="A3" t="s">
        <v>86</v>
      </c>
      <c r="F3" t="s">
        <v>85</v>
      </c>
    </row>
    <row r="4" spans="1:8" x14ac:dyDescent="0.2">
      <c r="A4" s="5" t="s">
        <v>24</v>
      </c>
      <c r="B4" s="5" t="s">
        <v>23</v>
      </c>
      <c r="C4" s="5" t="s">
        <v>22</v>
      </c>
      <c r="D4" s="4" t="s">
        <v>21</v>
      </c>
      <c r="E4" s="4" t="s">
        <v>20</v>
      </c>
      <c r="F4" s="4" t="s">
        <v>19</v>
      </c>
      <c r="G4" s="4" t="s">
        <v>18</v>
      </c>
      <c r="H4" s="3" t="s">
        <v>17</v>
      </c>
    </row>
    <row r="5" spans="1:8" x14ac:dyDescent="0.2">
      <c r="A5" t="s">
        <v>84</v>
      </c>
      <c r="B5">
        <v>1</v>
      </c>
      <c r="C5" t="s">
        <v>39</v>
      </c>
      <c r="D5" s="2">
        <v>1.7190000000000001</v>
      </c>
      <c r="E5" s="2">
        <v>0.107</v>
      </c>
      <c r="F5" s="2">
        <f>(0.5/0.32)*D5</f>
        <v>2.6859375000000001</v>
      </c>
      <c r="G5" s="2">
        <f>(0.5/0.32)*E5</f>
        <v>0.16718749999999999</v>
      </c>
      <c r="H5" s="1">
        <f>100*E5/D5</f>
        <v>6.2245491564863284</v>
      </c>
    </row>
    <row r="6" spans="1:8" x14ac:dyDescent="0.2">
      <c r="B6">
        <v>2</v>
      </c>
      <c r="C6" t="s">
        <v>76</v>
      </c>
      <c r="D6" s="2">
        <v>1.8460000000000001</v>
      </c>
      <c r="E6" s="2">
        <v>0.81699999999999995</v>
      </c>
      <c r="F6" s="2">
        <f>(0.5/0.32)*D6</f>
        <v>2.8843750000000004</v>
      </c>
      <c r="G6" s="2">
        <f>(0.5/0.32)*E6</f>
        <v>1.2765624999999998</v>
      </c>
      <c r="H6" s="1">
        <f>100*E6/D6</f>
        <v>44.257854821235092</v>
      </c>
    </row>
    <row r="7" spans="1:8" x14ac:dyDescent="0.2">
      <c r="B7">
        <v>3</v>
      </c>
      <c r="C7" t="s">
        <v>38</v>
      </c>
      <c r="D7" s="2">
        <v>4.5309999999999997</v>
      </c>
      <c r="E7" s="2">
        <f>0.789+0.742+0.566</f>
        <v>2.097</v>
      </c>
      <c r="F7" s="2">
        <f>(0.5/0.32)*D7</f>
        <v>7.0796874999999995</v>
      </c>
      <c r="G7" s="2">
        <f>(0.5/0.32)*E7</f>
        <v>3.2765624999999998</v>
      </c>
      <c r="H7" s="1">
        <f>100*E7/D7</f>
        <v>46.28117413374531</v>
      </c>
    </row>
    <row r="8" spans="1:8" x14ac:dyDescent="0.2">
      <c r="A8" t="s">
        <v>83</v>
      </c>
      <c r="B8">
        <v>4</v>
      </c>
      <c r="C8">
        <v>1</v>
      </c>
      <c r="D8" s="2">
        <v>4.8499999999999996</v>
      </c>
      <c r="E8" s="2">
        <v>0.371</v>
      </c>
      <c r="F8" s="2">
        <f>(0.5/0.32)*D8</f>
        <v>7.5781249999999991</v>
      </c>
      <c r="G8" s="2">
        <f>(0.5/0.32)*E8</f>
        <v>0.57968750000000002</v>
      </c>
      <c r="H8" s="1">
        <f>100*E8/D8</f>
        <v>7.6494845360824755</v>
      </c>
    </row>
    <row r="9" spans="1:8" x14ac:dyDescent="0.2">
      <c r="B9">
        <v>5</v>
      </c>
      <c r="C9">
        <v>2</v>
      </c>
      <c r="D9" s="2">
        <v>1.839</v>
      </c>
      <c r="E9" s="2">
        <f>0.363+0.408</f>
        <v>0.77099999999999991</v>
      </c>
      <c r="F9" s="2">
        <f>(0.5/0.32)*D9</f>
        <v>2.8734375000000001</v>
      </c>
      <c r="G9" s="2">
        <f>(0.5/0.32)*E9</f>
        <v>1.2046874999999999</v>
      </c>
      <c r="H9" s="1">
        <f>100*E9/D9</f>
        <v>41.924959216965739</v>
      </c>
    </row>
    <row r="10" spans="1:8" x14ac:dyDescent="0.2">
      <c r="B10">
        <v>6</v>
      </c>
      <c r="C10">
        <v>3</v>
      </c>
      <c r="D10" s="2">
        <v>3.758</v>
      </c>
      <c r="E10" s="2">
        <f>0.464+0.297+0.405+0.235</f>
        <v>1.4009999999999998</v>
      </c>
      <c r="F10" s="2">
        <f>(0.5/0.32)*D10</f>
        <v>5.8718750000000002</v>
      </c>
      <c r="G10" s="2">
        <f>(0.5/0.32)*E10</f>
        <v>2.1890624999999995</v>
      </c>
      <c r="H10" s="1">
        <f>100*E10/D10</f>
        <v>37.280468334220323</v>
      </c>
    </row>
    <row r="11" spans="1:8" x14ac:dyDescent="0.2">
      <c r="B11">
        <v>7</v>
      </c>
      <c r="C11">
        <v>4</v>
      </c>
      <c r="D11" s="2">
        <v>5.7839999999999998</v>
      </c>
      <c r="E11" s="2">
        <f>0.818+1.255</f>
        <v>2.073</v>
      </c>
      <c r="F11" s="2">
        <f>(0.5/0.32)*D11</f>
        <v>9.0374999999999996</v>
      </c>
      <c r="G11" s="2">
        <f>(0.5/0.32)*E11</f>
        <v>3.2390624999999997</v>
      </c>
      <c r="H11" s="1">
        <f>100*E11/D11</f>
        <v>35.8402489626556</v>
      </c>
    </row>
    <row r="12" spans="1:8" x14ac:dyDescent="0.2">
      <c r="A12" t="s">
        <v>82</v>
      </c>
      <c r="B12">
        <v>8</v>
      </c>
      <c r="C12">
        <v>1</v>
      </c>
      <c r="D12" s="2">
        <v>1.4830000000000001</v>
      </c>
      <c r="E12" s="2">
        <v>0.34499999999999997</v>
      </c>
      <c r="F12" s="2">
        <f>(0.5/0.32)*D12</f>
        <v>2.3171875000000002</v>
      </c>
      <c r="G12" s="2">
        <f>(0.5/0.32)*E12</f>
        <v>0.5390625</v>
      </c>
      <c r="H12" s="1">
        <f>100*E12/D12</f>
        <v>23.263654753877276</v>
      </c>
    </row>
    <row r="13" spans="1:8" x14ac:dyDescent="0.2">
      <c r="B13">
        <v>9</v>
      </c>
      <c r="C13">
        <v>2</v>
      </c>
      <c r="D13" s="2">
        <v>2.7919999999999998</v>
      </c>
      <c r="E13" s="2">
        <f>0.411+0.458</f>
        <v>0.86899999999999999</v>
      </c>
      <c r="F13" s="2">
        <f>(0.5/0.32)*D13</f>
        <v>4.3624999999999998</v>
      </c>
      <c r="G13" s="2">
        <f>(0.5/0.32)*E13</f>
        <v>1.3578125000000001</v>
      </c>
      <c r="H13" s="1">
        <f>100*E13/D13</f>
        <v>31.124641833810891</v>
      </c>
    </row>
    <row r="14" spans="1:8" x14ac:dyDescent="0.2">
      <c r="B14">
        <v>10</v>
      </c>
      <c r="C14">
        <v>3</v>
      </c>
      <c r="D14" s="2">
        <v>0.88</v>
      </c>
      <c r="E14" s="2">
        <v>0.26900000000000002</v>
      </c>
      <c r="F14" s="2">
        <f>(0.5/0.32)*D14</f>
        <v>1.375</v>
      </c>
      <c r="G14" s="2">
        <f>(0.5/0.32)*E14</f>
        <v>0.42031250000000003</v>
      </c>
      <c r="H14" s="1">
        <f>100*E14/D14</f>
        <v>30.56818181818182</v>
      </c>
    </row>
    <row r="15" spans="1:8" x14ac:dyDescent="0.2">
      <c r="B15">
        <v>11</v>
      </c>
      <c r="C15">
        <v>4</v>
      </c>
      <c r="D15" s="2">
        <v>1.1919999999999999</v>
      </c>
      <c r="E15" s="2">
        <f>0.367+0.418</f>
        <v>0.78499999999999992</v>
      </c>
      <c r="F15" s="2">
        <f>(0.5/0.32)*D15</f>
        <v>1.8624999999999998</v>
      </c>
      <c r="G15" s="2">
        <f>(0.5/0.32)*E15</f>
        <v>1.2265624999999998</v>
      </c>
      <c r="H15" s="1">
        <f>100*E15/D15</f>
        <v>65.855704697986567</v>
      </c>
    </row>
    <row r="16" spans="1:8" x14ac:dyDescent="0.2">
      <c r="B16">
        <v>12</v>
      </c>
      <c r="C16">
        <v>5</v>
      </c>
      <c r="D16" s="2">
        <v>1.2230000000000001</v>
      </c>
      <c r="E16" s="2">
        <v>0.81200000000000006</v>
      </c>
      <c r="F16" s="2">
        <f>(0.5/0.32)*D16</f>
        <v>1.9109375000000002</v>
      </c>
      <c r="G16" s="2">
        <f>(0.5/0.32)*E16</f>
        <v>1.26875</v>
      </c>
      <c r="H16" s="1">
        <f>100*E16/D16</f>
        <v>66.394112837285363</v>
      </c>
    </row>
    <row r="17" spans="1:8" x14ac:dyDescent="0.2">
      <c r="B17">
        <v>13</v>
      </c>
      <c r="C17">
        <v>6</v>
      </c>
      <c r="D17" s="2">
        <v>1.4319999999999999</v>
      </c>
      <c r="E17" s="2">
        <f>0.214+0.457</f>
        <v>0.67100000000000004</v>
      </c>
      <c r="F17" s="2">
        <f>(0.5/0.32)*D17</f>
        <v>2.2374999999999998</v>
      </c>
      <c r="G17" s="2">
        <f>(0.5/0.32)*E17</f>
        <v>1.0484375000000001</v>
      </c>
      <c r="H17" s="1">
        <f>100*E17/D17</f>
        <v>46.857541899441351</v>
      </c>
    </row>
    <row r="18" spans="1:8" x14ac:dyDescent="0.2">
      <c r="A18" t="s">
        <v>81</v>
      </c>
      <c r="B18">
        <v>14</v>
      </c>
      <c r="C18" t="s">
        <v>42</v>
      </c>
      <c r="D18" s="2">
        <v>4.9569999999999999</v>
      </c>
      <c r="E18" s="2">
        <f>0.51+1.225+0.148</f>
        <v>1.883</v>
      </c>
      <c r="F18" s="2">
        <f>(0.5/0.32)*D18</f>
        <v>7.7453124999999998</v>
      </c>
      <c r="G18" s="2">
        <f>(0.5/0.32)*E18</f>
        <v>2.9421875000000002</v>
      </c>
      <c r="H18" s="1">
        <f>100*E18/D18</f>
        <v>37.986685495259231</v>
      </c>
    </row>
    <row r="19" spans="1:8" x14ac:dyDescent="0.2">
      <c r="A19" t="s">
        <v>80</v>
      </c>
      <c r="B19">
        <v>15</v>
      </c>
      <c r="C19" t="s">
        <v>39</v>
      </c>
      <c r="D19" s="2">
        <v>3.5219999999999998</v>
      </c>
      <c r="E19" s="2">
        <f>0.397+0.245</f>
        <v>0.64200000000000002</v>
      </c>
      <c r="F19" s="2">
        <f>(0.5/0.32)*D19</f>
        <v>5.5031249999999998</v>
      </c>
      <c r="G19" s="2">
        <f>(0.5/0.32)*E19</f>
        <v>1.003125</v>
      </c>
      <c r="H19" s="1">
        <f>100*E19/D19</f>
        <v>18.228279386712096</v>
      </c>
    </row>
    <row r="20" spans="1:8" x14ac:dyDescent="0.2">
      <c r="B20">
        <v>16</v>
      </c>
      <c r="C20" t="s">
        <v>38</v>
      </c>
      <c r="D20" s="2">
        <v>5.7720000000000002</v>
      </c>
      <c r="E20" s="2">
        <v>1.149</v>
      </c>
      <c r="F20" s="2">
        <f>(0.5/0.32)*D20</f>
        <v>9.0187500000000007</v>
      </c>
      <c r="G20" s="2">
        <f>(0.5/0.32)*E20</f>
        <v>1.7953125000000001</v>
      </c>
      <c r="H20" s="1">
        <f>100*E20/D20</f>
        <v>19.906444906444907</v>
      </c>
    </row>
    <row r="21" spans="1:8" x14ac:dyDescent="0.2">
      <c r="A21" t="s">
        <v>79</v>
      </c>
      <c r="B21">
        <v>17</v>
      </c>
      <c r="C21" t="s">
        <v>39</v>
      </c>
      <c r="D21" s="2">
        <v>3.1219999999999999</v>
      </c>
      <c r="E21" s="2">
        <v>0.88900000000000001</v>
      </c>
      <c r="F21" s="2">
        <f>(0.5/0.32)*D21</f>
        <v>4.8781249999999998</v>
      </c>
      <c r="G21" s="2">
        <f>(0.5/0.32)*E21</f>
        <v>1.3890625000000001</v>
      </c>
      <c r="H21" s="1">
        <f>100*E21/D21</f>
        <v>28.475336322869957</v>
      </c>
    </row>
    <row r="22" spans="1:8" x14ac:dyDescent="0.2">
      <c r="B22">
        <v>18</v>
      </c>
      <c r="C22" t="s">
        <v>38</v>
      </c>
      <c r="D22" s="2">
        <v>6.7009999999999996</v>
      </c>
      <c r="E22" s="2">
        <f>0.497+0.152+0.894+0.464</f>
        <v>2.0070000000000001</v>
      </c>
      <c r="F22" s="2">
        <f>(0.5/0.32)*D22</f>
        <v>10.470312499999999</v>
      </c>
      <c r="G22" s="2">
        <f>(0.5/0.32)*E22</f>
        <v>3.1359375000000003</v>
      </c>
      <c r="H22" s="1">
        <f>100*E22/D22</f>
        <v>29.950753618862862</v>
      </c>
    </row>
    <row r="23" spans="1:8" x14ac:dyDescent="0.2">
      <c r="A23" t="s">
        <v>78</v>
      </c>
      <c r="B23">
        <v>19</v>
      </c>
      <c r="C23">
        <v>1</v>
      </c>
      <c r="D23" s="2">
        <v>6.2750000000000004</v>
      </c>
      <c r="E23" s="2">
        <v>0.36499999999999999</v>
      </c>
      <c r="F23" s="2">
        <f>(0.5/0.32)*D23</f>
        <v>9.8046875</v>
      </c>
      <c r="G23" s="2">
        <f>(0.5/0.32)*E23</f>
        <v>0.5703125</v>
      </c>
      <c r="H23" s="1">
        <f>100*E23/D23</f>
        <v>5.8167330677290829</v>
      </c>
    </row>
    <row r="24" spans="1:8" x14ac:dyDescent="0.2">
      <c r="B24">
        <v>20</v>
      </c>
      <c r="C24">
        <v>2</v>
      </c>
      <c r="D24" s="2">
        <v>1.891</v>
      </c>
      <c r="E24" s="2">
        <v>0.432</v>
      </c>
      <c r="F24" s="2">
        <f>(0.5/0.32)*D24</f>
        <v>2.9546874999999999</v>
      </c>
      <c r="G24" s="2">
        <f>(0.5/0.32)*E24</f>
        <v>0.67500000000000004</v>
      </c>
      <c r="H24" s="1">
        <f>100*E24/D24</f>
        <v>22.845055526176626</v>
      </c>
    </row>
    <row r="25" spans="1:8" x14ac:dyDescent="0.2">
      <c r="B25">
        <v>21</v>
      </c>
      <c r="C25">
        <v>3</v>
      </c>
      <c r="D25" s="2">
        <v>2.0390000000000001</v>
      </c>
      <c r="E25" s="2">
        <v>0.84599999999999997</v>
      </c>
      <c r="F25" s="2">
        <f>(0.5/0.32)*D25</f>
        <v>3.1859375000000001</v>
      </c>
      <c r="G25" s="2">
        <f>(0.5/0.32)*E25</f>
        <v>1.3218749999999999</v>
      </c>
      <c r="H25" s="1">
        <f>100*E25/D25</f>
        <v>41.490926924963212</v>
      </c>
    </row>
    <row r="26" spans="1:8" x14ac:dyDescent="0.2">
      <c r="A26" t="s">
        <v>77</v>
      </c>
      <c r="B26">
        <v>22</v>
      </c>
      <c r="C26" t="s">
        <v>50</v>
      </c>
      <c r="D26" s="2">
        <v>2.7290000000000001</v>
      </c>
      <c r="E26" s="2">
        <v>0</v>
      </c>
      <c r="F26" s="2">
        <f>(0.5/0.32)*D26</f>
        <v>4.2640625000000005</v>
      </c>
      <c r="G26" s="2">
        <f>(0.5/0.32)*E26</f>
        <v>0</v>
      </c>
      <c r="H26" s="1">
        <f>100*E26/D26</f>
        <v>0</v>
      </c>
    </row>
    <row r="27" spans="1:8" x14ac:dyDescent="0.2">
      <c r="B27">
        <v>23</v>
      </c>
      <c r="C27" t="s">
        <v>76</v>
      </c>
      <c r="D27" s="2">
        <v>7.1219999999999999</v>
      </c>
      <c r="E27" s="2">
        <f>0.242+0.446+0.614</f>
        <v>1.302</v>
      </c>
      <c r="F27" s="2">
        <f>(0.5/0.32)*D27</f>
        <v>11.128125000000001</v>
      </c>
      <c r="G27" s="2">
        <f>(0.5/0.32)*E27</f>
        <v>2.0343750000000003</v>
      </c>
      <c r="H27" s="1">
        <f>100*E27/D27</f>
        <v>18.281381634372369</v>
      </c>
    </row>
    <row r="28" spans="1:8" x14ac:dyDescent="0.2">
      <c r="B28">
        <v>24</v>
      </c>
      <c r="C28" t="s">
        <v>49</v>
      </c>
      <c r="D28" s="2">
        <v>1.3879999999999999</v>
      </c>
      <c r="E28" s="2">
        <f>0.408+0.225</f>
        <v>0.63300000000000001</v>
      </c>
      <c r="F28" s="2">
        <f>(0.5/0.32)*D28</f>
        <v>2.1687499999999997</v>
      </c>
      <c r="G28" s="2">
        <f>(0.5/0.32)*E28</f>
        <v>0.98906249999999996</v>
      </c>
      <c r="H28" s="1">
        <f>100*E28/D28</f>
        <v>45.605187319884728</v>
      </c>
    </row>
    <row r="29" spans="1:8" x14ac:dyDescent="0.2">
      <c r="A29" t="s">
        <v>75</v>
      </c>
      <c r="B29">
        <v>25</v>
      </c>
      <c r="C29">
        <v>1</v>
      </c>
      <c r="D29" s="2">
        <v>2.7010000000000001</v>
      </c>
      <c r="E29" s="2">
        <v>0.51200000000000001</v>
      </c>
      <c r="F29" s="2">
        <f>(0.5/0.32)*D29</f>
        <v>4.2203125000000004</v>
      </c>
      <c r="G29" s="2">
        <f>(0.5/0.32)*E29</f>
        <v>0.8</v>
      </c>
      <c r="H29" s="1">
        <f>100*E29/D29</f>
        <v>18.955942243613478</v>
      </c>
    </row>
    <row r="30" spans="1:8" x14ac:dyDescent="0.2">
      <c r="B30">
        <v>26</v>
      </c>
      <c r="C30">
        <v>2</v>
      </c>
      <c r="D30" s="2">
        <v>1.5609999999999999</v>
      </c>
      <c r="E30" s="2">
        <f>0.426+0.535</f>
        <v>0.96100000000000008</v>
      </c>
      <c r="F30" s="2">
        <f>(0.5/0.32)*D30</f>
        <v>2.4390624999999999</v>
      </c>
      <c r="G30" s="2">
        <f>(0.5/0.32)*E30</f>
        <v>1.5015625000000001</v>
      </c>
      <c r="H30" s="1">
        <f>100*E30/D30</f>
        <v>61.563100576553502</v>
      </c>
    </row>
    <row r="31" spans="1:8" x14ac:dyDescent="0.2">
      <c r="B31">
        <v>27</v>
      </c>
      <c r="C31">
        <v>3</v>
      </c>
      <c r="D31" s="2">
        <v>2.9860000000000002</v>
      </c>
      <c r="E31" s="2">
        <v>0.32500000000000001</v>
      </c>
      <c r="F31" s="2">
        <f>(0.5/0.32)*D31</f>
        <v>4.6656250000000004</v>
      </c>
      <c r="G31" s="2">
        <f>(0.5/0.32)*E31</f>
        <v>0.5078125</v>
      </c>
      <c r="H31" s="1">
        <f>100*E31/D31</f>
        <v>10.8841259209645</v>
      </c>
    </row>
    <row r="32" spans="1:8" x14ac:dyDescent="0.2">
      <c r="B32">
        <v>28</v>
      </c>
      <c r="C32">
        <v>4</v>
      </c>
      <c r="D32" s="2">
        <v>1.8109999999999999</v>
      </c>
      <c r="E32" s="2">
        <v>0.16400000000000001</v>
      </c>
      <c r="F32" s="2">
        <f>(0.5/0.32)*D32</f>
        <v>2.8296874999999999</v>
      </c>
      <c r="G32" s="2">
        <f>(0.5/0.32)*E32</f>
        <v>0.25625000000000003</v>
      </c>
      <c r="H32" s="1">
        <f>100*E32/D32</f>
        <v>9.0557702926559926</v>
      </c>
    </row>
    <row r="33" spans="1:8" x14ac:dyDescent="0.2">
      <c r="A33" t="s">
        <v>74</v>
      </c>
      <c r="B33">
        <v>29</v>
      </c>
      <c r="C33">
        <v>1</v>
      </c>
      <c r="D33" s="2">
        <v>3.0790000000000002</v>
      </c>
      <c r="E33" s="2">
        <v>0</v>
      </c>
      <c r="F33" s="2">
        <f>(0.5/0.32)*D33</f>
        <v>4.8109375000000005</v>
      </c>
      <c r="G33" s="2">
        <f>(0.5/0.32)*E33</f>
        <v>0</v>
      </c>
      <c r="H33" s="1">
        <f>100*E33/D33</f>
        <v>0</v>
      </c>
    </row>
    <row r="34" spans="1:8" x14ac:dyDescent="0.2">
      <c r="B34">
        <v>30</v>
      </c>
      <c r="C34">
        <v>2</v>
      </c>
      <c r="D34" s="2">
        <v>10.180999999999999</v>
      </c>
      <c r="E34" s="2">
        <f>0.366+0.992+1.068+0.504</f>
        <v>2.93</v>
      </c>
      <c r="F34" s="2">
        <f>(0.5/0.32)*D34</f>
        <v>15.907812499999999</v>
      </c>
      <c r="G34" s="2">
        <f>(0.5/0.32)*E34</f>
        <v>4.578125</v>
      </c>
      <c r="H34" s="1">
        <f>100*E34/D34</f>
        <v>28.779098320400749</v>
      </c>
    </row>
    <row r="35" spans="1:8" x14ac:dyDescent="0.2">
      <c r="B35">
        <v>31</v>
      </c>
      <c r="C35">
        <v>3</v>
      </c>
      <c r="D35" s="2">
        <v>1.589</v>
      </c>
      <c r="E35" s="2">
        <v>0.246</v>
      </c>
      <c r="F35" s="2">
        <f>(0.5/0.32)*D35</f>
        <v>2.4828125000000001</v>
      </c>
      <c r="G35" s="2">
        <f>(0.5/0.32)*E35</f>
        <v>0.38437500000000002</v>
      </c>
      <c r="H35" s="1">
        <f>100*E35/D35</f>
        <v>15.481434864694778</v>
      </c>
    </row>
    <row r="36" spans="1:8" x14ac:dyDescent="0.2">
      <c r="A36" t="s">
        <v>73</v>
      </c>
      <c r="B36">
        <v>32</v>
      </c>
      <c r="C36" t="s">
        <v>39</v>
      </c>
      <c r="D36" s="2">
        <v>3.5430000000000001</v>
      </c>
      <c r="E36" s="2">
        <f>0.239+0.516</f>
        <v>0.755</v>
      </c>
      <c r="F36" s="2">
        <f>(0.5/0.32)*D36</f>
        <v>5.5359375000000002</v>
      </c>
      <c r="G36" s="2">
        <f>(0.5/0.32)*E36</f>
        <v>1.1796875</v>
      </c>
      <c r="H36" s="1">
        <f>100*E36/D36</f>
        <v>21.309624611910809</v>
      </c>
    </row>
    <row r="37" spans="1:8" x14ac:dyDescent="0.2">
      <c r="B37">
        <v>33</v>
      </c>
      <c r="C37" t="s">
        <v>38</v>
      </c>
      <c r="D37" s="2">
        <v>9.5359999999999996</v>
      </c>
      <c r="E37" s="2">
        <v>1.419</v>
      </c>
      <c r="F37" s="2">
        <f>(0.5/0.32)*D37</f>
        <v>14.899999999999999</v>
      </c>
      <c r="G37" s="2">
        <f>(0.5/0.32)*E37</f>
        <v>2.2171875000000001</v>
      </c>
      <c r="H37" s="1">
        <f>100*E37/D37</f>
        <v>14.88045302013423</v>
      </c>
    </row>
    <row r="38" spans="1:8" x14ac:dyDescent="0.2">
      <c r="A38" t="s">
        <v>72</v>
      </c>
      <c r="B38">
        <v>34</v>
      </c>
      <c r="C38">
        <v>1</v>
      </c>
      <c r="D38" s="2">
        <v>4.4189999999999996</v>
      </c>
      <c r="E38" s="2">
        <f>0.711+2.146</f>
        <v>2.8569999999999998</v>
      </c>
      <c r="F38" s="2">
        <f>(0.5/0.32)*D38</f>
        <v>6.9046874999999996</v>
      </c>
      <c r="G38" s="2">
        <f>(0.5/0.32)*E38</f>
        <v>4.4640624999999998</v>
      </c>
      <c r="H38" s="1">
        <f>100*E38/D38</f>
        <v>64.652636343064046</v>
      </c>
    </row>
    <row r="39" spans="1:8" x14ac:dyDescent="0.2">
      <c r="B39">
        <v>35</v>
      </c>
      <c r="C39">
        <v>2</v>
      </c>
      <c r="D39" s="2">
        <v>6.4219999999999997</v>
      </c>
      <c r="E39" s="2">
        <f>1.413+0.238+1.144</f>
        <v>2.7949999999999999</v>
      </c>
      <c r="F39" s="2">
        <f>(0.5/0.32)*D39</f>
        <v>10.034374999999999</v>
      </c>
      <c r="G39" s="2">
        <f>(0.5/0.32)*E39</f>
        <v>4.3671875</v>
      </c>
      <c r="H39" s="1">
        <f>100*E39/D39</f>
        <v>43.522267206477736</v>
      </c>
    </row>
    <row r="40" spans="1:8" x14ac:dyDescent="0.2">
      <c r="B40">
        <v>36</v>
      </c>
      <c r="C40">
        <v>3</v>
      </c>
      <c r="D40" s="2">
        <v>1.9530000000000001</v>
      </c>
      <c r="E40" s="2">
        <f>0.286+0.366</f>
        <v>0.65199999999999991</v>
      </c>
      <c r="F40" s="2">
        <f>(0.5/0.32)*D40</f>
        <v>3.0515625000000002</v>
      </c>
      <c r="G40" s="2">
        <f>(0.5/0.32)*E40</f>
        <v>1.0187499999999998</v>
      </c>
      <c r="H40" s="1">
        <f>100*E40/D40</f>
        <v>33.384536610343055</v>
      </c>
    </row>
    <row r="41" spans="1:8" x14ac:dyDescent="0.2">
      <c r="B41">
        <v>37</v>
      </c>
      <c r="C41">
        <v>4</v>
      </c>
      <c r="D41" s="2">
        <v>3.8559999999999999</v>
      </c>
      <c r="E41" s="2">
        <f>0.522+0.606</f>
        <v>1.1280000000000001</v>
      </c>
      <c r="F41" s="2">
        <f>(0.5/0.32)*D41</f>
        <v>6.0249999999999995</v>
      </c>
      <c r="G41" s="2">
        <f>(0.5/0.32)*E41</f>
        <v>1.7625000000000002</v>
      </c>
      <c r="H41" s="1">
        <f>100*E41/D41</f>
        <v>29.253112033195023</v>
      </c>
    </row>
    <row r="42" spans="1:8" x14ac:dyDescent="0.2">
      <c r="B42">
        <v>38</v>
      </c>
      <c r="C42">
        <v>5</v>
      </c>
      <c r="D42" s="2">
        <v>1.5940000000000001</v>
      </c>
      <c r="E42" s="2">
        <v>0.19400000000000001</v>
      </c>
      <c r="F42" s="2">
        <f>(0.5/0.32)*D42</f>
        <v>2.4906250000000001</v>
      </c>
      <c r="G42" s="2">
        <f>(0.5/0.32)*E42</f>
        <v>0.30312500000000003</v>
      </c>
      <c r="H42" s="1">
        <f>100*E42/D42</f>
        <v>12.170639899623589</v>
      </c>
    </row>
    <row r="43" spans="1:8" x14ac:dyDescent="0.2">
      <c r="A43" t="s">
        <v>71</v>
      </c>
      <c r="B43">
        <v>39</v>
      </c>
      <c r="C43">
        <v>1</v>
      </c>
      <c r="D43" s="2">
        <v>4.7370000000000001</v>
      </c>
      <c r="E43" s="2">
        <f>0.936+0.305+0.389</f>
        <v>1.6300000000000001</v>
      </c>
      <c r="F43" s="2">
        <f>(0.5/0.32)*D43</f>
        <v>7.4015624999999998</v>
      </c>
      <c r="G43" s="2">
        <f>(0.5/0.32)*E43</f>
        <v>2.546875</v>
      </c>
      <c r="H43" s="1">
        <f>100*E43/D43</f>
        <v>34.409964112307364</v>
      </c>
    </row>
    <row r="44" spans="1:8" x14ac:dyDescent="0.2">
      <c r="B44">
        <v>40</v>
      </c>
      <c r="C44">
        <v>2</v>
      </c>
      <c r="D44" s="2">
        <v>2.9529999999999998</v>
      </c>
      <c r="E44" s="2">
        <f>0.595+0.304+1.02</f>
        <v>1.919</v>
      </c>
      <c r="F44" s="2">
        <f>(0.5/0.32)*D44</f>
        <v>4.6140625000000002</v>
      </c>
      <c r="G44" s="2">
        <f>(0.5/0.32)*E44</f>
        <v>2.9984375000000001</v>
      </c>
      <c r="H44" s="1">
        <f>100*E44/D44</f>
        <v>64.984761259735862</v>
      </c>
    </row>
    <row r="45" spans="1:8" x14ac:dyDescent="0.2">
      <c r="B45">
        <v>41</v>
      </c>
      <c r="C45">
        <v>3</v>
      </c>
      <c r="D45" s="2">
        <v>2.2429999999999999</v>
      </c>
      <c r="E45" s="2">
        <v>0.58599999999999997</v>
      </c>
      <c r="F45" s="2">
        <f>(0.5/0.32)*D45</f>
        <v>3.5046874999999997</v>
      </c>
      <c r="G45" s="2">
        <f>(0.5/0.32)*E45</f>
        <v>0.91562499999999991</v>
      </c>
      <c r="H45" s="1">
        <f>100*E45/D45</f>
        <v>26.125724476148015</v>
      </c>
    </row>
    <row r="46" spans="1:8" x14ac:dyDescent="0.2">
      <c r="B46">
        <v>42</v>
      </c>
      <c r="C46">
        <v>4</v>
      </c>
      <c r="D46" s="2">
        <v>0.58599999999999997</v>
      </c>
      <c r="E46" s="2">
        <v>0.193</v>
      </c>
      <c r="F46" s="2">
        <f>(0.5/0.32)*D46</f>
        <v>0.91562499999999991</v>
      </c>
      <c r="G46" s="2">
        <f>(0.5/0.32)*E46</f>
        <v>0.30156250000000001</v>
      </c>
      <c r="H46" s="1">
        <f>100*E46/D46</f>
        <v>32.935153583617748</v>
      </c>
    </row>
    <row r="47" spans="1:8" x14ac:dyDescent="0.2">
      <c r="B47">
        <v>43</v>
      </c>
      <c r="C47">
        <v>5</v>
      </c>
      <c r="D47" s="2">
        <v>3.431</v>
      </c>
      <c r="E47" s="2">
        <f>0.396+0.612+0.526</f>
        <v>1.534</v>
      </c>
      <c r="F47" s="2">
        <f>(0.5/0.32)*D47</f>
        <v>5.3609375000000004</v>
      </c>
      <c r="G47" s="2">
        <f>(0.5/0.32)*E47</f>
        <v>2.3968750000000001</v>
      </c>
      <c r="H47" s="1">
        <f>100*E47/D47</f>
        <v>44.709997085397845</v>
      </c>
    </row>
    <row r="48" spans="1:8" x14ac:dyDescent="0.2">
      <c r="A48" t="s">
        <v>70</v>
      </c>
      <c r="B48">
        <v>44</v>
      </c>
      <c r="C48" t="s">
        <v>50</v>
      </c>
      <c r="D48" s="2">
        <v>3.2730000000000001</v>
      </c>
      <c r="E48" s="2">
        <f>0.176+1.21</f>
        <v>1.3859999999999999</v>
      </c>
      <c r="F48" s="2">
        <f>(0.5/0.32)*D48</f>
        <v>5.1140625000000002</v>
      </c>
      <c r="G48" s="2">
        <f>(0.5/0.32)*E48</f>
        <v>2.1656249999999999</v>
      </c>
      <c r="H48" s="1">
        <f>100*E48/D48</f>
        <v>42.346471127406048</v>
      </c>
    </row>
    <row r="49" spans="1:8" x14ac:dyDescent="0.2">
      <c r="B49">
        <v>45</v>
      </c>
      <c r="C49" t="s">
        <v>49</v>
      </c>
      <c r="D49" s="2">
        <v>2.8420000000000001</v>
      </c>
      <c r="E49" s="2">
        <f>0.549+0.693</f>
        <v>1.242</v>
      </c>
      <c r="F49" s="2">
        <f>(0.5/0.32)*D49</f>
        <v>4.4406249999999998</v>
      </c>
      <c r="G49" s="2">
        <f>(0.5/0.32)*E49</f>
        <v>1.940625</v>
      </c>
      <c r="H49" s="1">
        <f>100*E49/D49</f>
        <v>43.701618578465869</v>
      </c>
    </row>
    <row r="50" spans="1:8" x14ac:dyDescent="0.2">
      <c r="A50" t="s">
        <v>69</v>
      </c>
      <c r="B50">
        <v>46</v>
      </c>
      <c r="C50" t="s">
        <v>39</v>
      </c>
      <c r="D50" s="2">
        <v>1.8360000000000001</v>
      </c>
      <c r="E50" s="2">
        <v>0.49399999999999999</v>
      </c>
      <c r="F50" s="2">
        <f>(0.5/0.32)*D50</f>
        <v>2.8687499999999999</v>
      </c>
      <c r="G50" s="2">
        <f>(0.5/0.32)*E50</f>
        <v>0.77187499999999998</v>
      </c>
      <c r="H50" s="1">
        <f>100*E50/D50</f>
        <v>26.906318082788669</v>
      </c>
    </row>
    <row r="51" spans="1:8" x14ac:dyDescent="0.2">
      <c r="B51">
        <v>47</v>
      </c>
      <c r="C51" t="s">
        <v>38</v>
      </c>
      <c r="D51" s="2">
        <v>5.6619999999999999</v>
      </c>
      <c r="E51" s="2">
        <f>0.522+0.873</f>
        <v>1.395</v>
      </c>
      <c r="F51" s="2">
        <f>(0.5/0.32)*D51</f>
        <v>8.8468750000000007</v>
      </c>
      <c r="G51" s="2">
        <f>(0.5/0.32)*E51</f>
        <v>2.1796875</v>
      </c>
      <c r="H51" s="1">
        <f>100*E51/D51</f>
        <v>24.637937124690922</v>
      </c>
    </row>
    <row r="52" spans="1:8" x14ac:dyDescent="0.2">
      <c r="A52" t="s">
        <v>68</v>
      </c>
      <c r="B52">
        <v>48</v>
      </c>
      <c r="C52">
        <v>1</v>
      </c>
      <c r="D52" s="2">
        <v>8.6080000000000005</v>
      </c>
      <c r="E52" s="2">
        <f>0.607+0.496+0.556</f>
        <v>1.659</v>
      </c>
      <c r="F52" s="2">
        <f>(0.5/0.32)*D52</f>
        <v>13.450000000000001</v>
      </c>
      <c r="G52" s="2">
        <f>(0.5/0.32)*E52</f>
        <v>2.5921875000000001</v>
      </c>
      <c r="H52" s="1">
        <f>100*E52/D52</f>
        <v>19.272769516728623</v>
      </c>
    </row>
    <row r="53" spans="1:8" x14ac:dyDescent="0.2">
      <c r="B53">
        <v>49</v>
      </c>
      <c r="C53">
        <v>2</v>
      </c>
      <c r="D53" s="2">
        <v>3.1110000000000002</v>
      </c>
      <c r="E53" s="2">
        <f>0.621+0.706</f>
        <v>1.327</v>
      </c>
      <c r="F53" s="2">
        <f>(0.5/0.32)*D53</f>
        <v>4.8609375000000004</v>
      </c>
      <c r="G53" s="2">
        <f>(0.5/0.32)*E53</f>
        <v>2.0734374999999998</v>
      </c>
      <c r="H53" s="1">
        <f>100*E53/D53</f>
        <v>42.655094824815166</v>
      </c>
    </row>
    <row r="54" spans="1:8" x14ac:dyDescent="0.2">
      <c r="B54">
        <v>50</v>
      </c>
      <c r="C54">
        <v>3</v>
      </c>
      <c r="D54" s="2">
        <v>4.7359999999999998</v>
      </c>
      <c r="E54" s="2">
        <f>0.132+0.185+0.145+0.104+0.838</f>
        <v>1.4039999999999999</v>
      </c>
      <c r="F54" s="2">
        <f>(0.5/0.32)*D54</f>
        <v>7.3999999999999995</v>
      </c>
      <c r="G54" s="2">
        <f>(0.5/0.32)*E54</f>
        <v>2.1937499999999996</v>
      </c>
      <c r="H54" s="1">
        <f>100*E54/D54</f>
        <v>29.645270270270267</v>
      </c>
    </row>
    <row r="55" spans="1:8" x14ac:dyDescent="0.2">
      <c r="B55">
        <v>51</v>
      </c>
      <c r="C55">
        <v>4</v>
      </c>
      <c r="D55" s="2">
        <v>2.7869999999999999</v>
      </c>
      <c r="E55" s="2">
        <f>0.204+0.19</f>
        <v>0.39400000000000002</v>
      </c>
      <c r="F55" s="2">
        <f>(0.5/0.32)*D55</f>
        <v>4.3546874999999998</v>
      </c>
      <c r="G55" s="2">
        <f>(0.5/0.32)*E55</f>
        <v>0.61562499999999998</v>
      </c>
      <c r="H55" s="1">
        <f>100*E55/D55</f>
        <v>14.137064944384642</v>
      </c>
    </row>
    <row r="56" spans="1:8" x14ac:dyDescent="0.2">
      <c r="A56" t="s">
        <v>67</v>
      </c>
      <c r="B56">
        <v>52</v>
      </c>
      <c r="C56">
        <v>1</v>
      </c>
      <c r="D56" s="2">
        <v>13.75</v>
      </c>
      <c r="E56" s="2">
        <f>1.139+1.096+0.394+1.079+1.286+0.416+1.109+1.487</f>
        <v>8.0060000000000002</v>
      </c>
      <c r="F56" s="2">
        <f>(0.5/0.32)*D56</f>
        <v>21.484375</v>
      </c>
      <c r="G56" s="2">
        <f>(0.5/0.32)*E56</f>
        <v>12.509375</v>
      </c>
      <c r="H56" s="1">
        <f>100*E56/D56</f>
        <v>58.225454545454546</v>
      </c>
    </row>
    <row r="57" spans="1:8" x14ac:dyDescent="0.2">
      <c r="B57">
        <v>53</v>
      </c>
      <c r="C57">
        <v>2</v>
      </c>
      <c r="D57" s="2">
        <v>1.766</v>
      </c>
      <c r="E57" s="2">
        <v>1.2190000000000001</v>
      </c>
      <c r="F57" s="2">
        <f>(0.5/0.32)*D57</f>
        <v>2.7593749999999999</v>
      </c>
      <c r="G57" s="2">
        <f>(0.5/0.32)*E57</f>
        <v>1.9046875000000001</v>
      </c>
      <c r="H57" s="1">
        <f>100*E57/D57</f>
        <v>69.026047565118915</v>
      </c>
    </row>
    <row r="58" spans="1:8" x14ac:dyDescent="0.2">
      <c r="B58">
        <v>54</v>
      </c>
      <c r="C58">
        <v>3</v>
      </c>
      <c r="D58" s="2">
        <v>1.39</v>
      </c>
      <c r="E58" s="2">
        <v>0.34599999999999997</v>
      </c>
      <c r="F58" s="2">
        <f>(0.5/0.32)*D58</f>
        <v>2.171875</v>
      </c>
      <c r="G58" s="2">
        <f>(0.5/0.32)*E58</f>
        <v>0.54062499999999991</v>
      </c>
      <c r="H58" s="1">
        <f>100*E58/D58</f>
        <v>24.89208633093525</v>
      </c>
    </row>
    <row r="59" spans="1:8" x14ac:dyDescent="0.2">
      <c r="B59">
        <v>55</v>
      </c>
      <c r="C59">
        <v>4</v>
      </c>
      <c r="D59" s="2">
        <v>2.0139999999999998</v>
      </c>
      <c r="E59" s="2">
        <f>0.662+0.641</f>
        <v>1.3029999999999999</v>
      </c>
      <c r="F59" s="2">
        <f>(0.5/0.32)*D59</f>
        <v>3.1468749999999996</v>
      </c>
      <c r="G59" s="2">
        <f>(0.5/0.32)*E59</f>
        <v>2.0359374999999997</v>
      </c>
      <c r="H59" s="1">
        <f>100*E59/D59</f>
        <v>64.697120158887785</v>
      </c>
    </row>
    <row r="60" spans="1:8" x14ac:dyDescent="0.2">
      <c r="B60">
        <v>56</v>
      </c>
      <c r="C60">
        <v>5</v>
      </c>
      <c r="D60" s="2">
        <v>4.6150000000000002</v>
      </c>
      <c r="E60" s="2">
        <f>1.263+0.624+0.971</f>
        <v>2.8580000000000001</v>
      </c>
      <c r="F60" s="2">
        <f>(0.5/0.32)*D60</f>
        <v>7.2109375</v>
      </c>
      <c r="G60" s="2">
        <f>(0.5/0.32)*E60</f>
        <v>4.4656250000000002</v>
      </c>
      <c r="H60" s="1">
        <f>100*E60/D60</f>
        <v>61.928494041170097</v>
      </c>
    </row>
    <row r="61" spans="1:8" x14ac:dyDescent="0.2">
      <c r="B61">
        <v>57</v>
      </c>
      <c r="C61">
        <v>6</v>
      </c>
      <c r="D61" s="2">
        <v>2.1789999999999998</v>
      </c>
      <c r="E61" s="2">
        <f>0.523+0.741</f>
        <v>1.264</v>
      </c>
      <c r="F61" s="2">
        <f>(0.5/0.32)*D61</f>
        <v>3.4046874999999996</v>
      </c>
      <c r="G61" s="2">
        <f>(0.5/0.32)*E61</f>
        <v>1.9750000000000001</v>
      </c>
      <c r="H61" s="1">
        <f>100*E61/D61</f>
        <v>58.008260670032129</v>
      </c>
    </row>
    <row r="62" spans="1:8" x14ac:dyDescent="0.2">
      <c r="B62">
        <v>58</v>
      </c>
      <c r="C62">
        <v>7</v>
      </c>
      <c r="D62" s="2">
        <v>2.2559999999999998</v>
      </c>
      <c r="E62" s="2">
        <f>0.706+0.401+0.477</f>
        <v>1.5840000000000001</v>
      </c>
      <c r="F62" s="2">
        <f>(0.5/0.32)*D62</f>
        <v>3.5249999999999995</v>
      </c>
      <c r="G62" s="2">
        <f>(0.5/0.32)*E62</f>
        <v>2.4750000000000001</v>
      </c>
      <c r="H62" s="1">
        <f>100*E62/D62</f>
        <v>70.21276595744682</v>
      </c>
    </row>
    <row r="63" spans="1:8" x14ac:dyDescent="0.2">
      <c r="B63">
        <v>59</v>
      </c>
      <c r="C63">
        <v>8</v>
      </c>
      <c r="D63" s="2">
        <v>6.149</v>
      </c>
      <c r="E63" s="2">
        <f>0.438+0.418+2.428</f>
        <v>3.2839999999999998</v>
      </c>
      <c r="F63" s="2">
        <f>(0.5/0.32)*D63</f>
        <v>9.6078124999999996</v>
      </c>
      <c r="G63" s="2">
        <f>(0.5/0.32)*E63</f>
        <v>5.1312499999999996</v>
      </c>
      <c r="H63" s="1">
        <f>100*E63/D63</f>
        <v>53.407058058220848</v>
      </c>
    </row>
    <row r="64" spans="1:8" x14ac:dyDescent="0.2">
      <c r="B64">
        <v>60</v>
      </c>
      <c r="C64">
        <v>9</v>
      </c>
      <c r="D64" s="2">
        <v>3.9649999999999999</v>
      </c>
      <c r="E64" s="2">
        <f>0.781+0.564</f>
        <v>1.345</v>
      </c>
      <c r="F64" s="2">
        <f>(0.5/0.32)*D64</f>
        <v>6.1953125</v>
      </c>
      <c r="G64" s="2">
        <f>(0.5/0.32)*E64</f>
        <v>2.1015625</v>
      </c>
      <c r="H64" s="1">
        <f>100*E64/D64</f>
        <v>33.921815889029006</v>
      </c>
    </row>
    <row r="65" spans="1:8" x14ac:dyDescent="0.2">
      <c r="B65">
        <v>61</v>
      </c>
      <c r="C65">
        <v>10</v>
      </c>
      <c r="D65" s="2">
        <v>6.0110000000000001</v>
      </c>
      <c r="E65" s="2">
        <f>1.964+1.024+0.364</f>
        <v>3.3519999999999999</v>
      </c>
      <c r="F65" s="2">
        <f>(0.5/0.32)*D65</f>
        <v>9.3921875000000004</v>
      </c>
      <c r="G65" s="2">
        <f>(0.5/0.32)*E65</f>
        <v>5.2374999999999998</v>
      </c>
      <c r="H65" s="1">
        <f>100*E65/D65</f>
        <v>55.764431874896019</v>
      </c>
    </row>
    <row r="66" spans="1:8" x14ac:dyDescent="0.2">
      <c r="B66">
        <v>62</v>
      </c>
      <c r="C66">
        <v>11</v>
      </c>
      <c r="D66" s="2">
        <v>5.0010000000000003</v>
      </c>
      <c r="E66" s="2">
        <f>1.362+1.286</f>
        <v>2.6480000000000001</v>
      </c>
      <c r="F66" s="2">
        <f>(0.5/0.32)*D66</f>
        <v>7.8140625000000004</v>
      </c>
      <c r="G66" s="2">
        <f>(0.5/0.32)*E66</f>
        <v>4.1375000000000002</v>
      </c>
      <c r="H66" s="1">
        <f>100*E66/D66</f>
        <v>52.949410117976406</v>
      </c>
    </row>
    <row r="67" spans="1:8" x14ac:dyDescent="0.2">
      <c r="B67">
        <v>63</v>
      </c>
      <c r="C67">
        <v>12</v>
      </c>
      <c r="D67" s="2">
        <v>1.5129999999999999</v>
      </c>
      <c r="E67" s="2">
        <v>0.39800000000000002</v>
      </c>
      <c r="F67" s="2">
        <f>(0.5/0.32)*D67</f>
        <v>2.3640624999999997</v>
      </c>
      <c r="G67" s="2">
        <f>(0.5/0.32)*E67</f>
        <v>0.62187500000000007</v>
      </c>
      <c r="H67" s="1">
        <f>100*E67/D67</f>
        <v>26.305353602115009</v>
      </c>
    </row>
    <row r="68" spans="1:8" x14ac:dyDescent="0.2">
      <c r="B68">
        <v>64</v>
      </c>
      <c r="C68">
        <v>13</v>
      </c>
      <c r="D68" s="2">
        <v>2.0550000000000002</v>
      </c>
      <c r="E68" s="2">
        <v>0.77</v>
      </c>
      <c r="F68" s="2">
        <f>(0.5/0.32)*D68</f>
        <v>3.2109375000000004</v>
      </c>
      <c r="G68" s="2">
        <f>(0.5/0.32)*E68</f>
        <v>1.203125</v>
      </c>
      <c r="H68" s="1">
        <f>100*E68/D68</f>
        <v>37.469586374695858</v>
      </c>
    </row>
    <row r="69" spans="1:8" x14ac:dyDescent="0.2">
      <c r="A69" t="s">
        <v>66</v>
      </c>
      <c r="B69">
        <v>65</v>
      </c>
      <c r="C69">
        <v>1</v>
      </c>
      <c r="D69" s="2">
        <v>2.1520000000000001</v>
      </c>
      <c r="E69" s="2">
        <v>0.72499999999999998</v>
      </c>
      <c r="F69" s="2">
        <f>(0.5/0.32)*D69</f>
        <v>3.3625000000000003</v>
      </c>
      <c r="G69" s="2">
        <f>(0.5/0.32)*E69</f>
        <v>1.1328125</v>
      </c>
      <c r="H69" s="1">
        <f>100*E69/D69</f>
        <v>33.689591078066911</v>
      </c>
    </row>
    <row r="70" spans="1:8" x14ac:dyDescent="0.2">
      <c r="B70">
        <v>66</v>
      </c>
      <c r="C70">
        <v>2</v>
      </c>
      <c r="D70" s="2">
        <v>2.3959999999999999</v>
      </c>
      <c r="E70" s="2">
        <v>0.76200000000000001</v>
      </c>
      <c r="F70" s="2">
        <f>(0.5/0.32)*D70</f>
        <v>3.7437499999999999</v>
      </c>
      <c r="G70" s="2">
        <f>(0.5/0.32)*E70</f>
        <v>1.190625</v>
      </c>
      <c r="H70" s="1">
        <f>100*E70/D70</f>
        <v>31.803005008347249</v>
      </c>
    </row>
    <row r="71" spans="1:8" x14ac:dyDescent="0.2">
      <c r="B71">
        <v>67</v>
      </c>
      <c r="C71">
        <v>3</v>
      </c>
      <c r="D71" s="2">
        <v>3.016</v>
      </c>
      <c r="E71" s="2">
        <v>1.1479999999999999</v>
      </c>
      <c r="F71" s="2">
        <f>(0.5/0.32)*D71</f>
        <v>4.7125000000000004</v>
      </c>
      <c r="G71" s="2">
        <f>(0.5/0.32)*E71</f>
        <v>1.79375</v>
      </c>
      <c r="H71" s="1">
        <f>100*E71/D71</f>
        <v>38.063660477453581</v>
      </c>
    </row>
    <row r="72" spans="1:8" x14ac:dyDescent="0.2">
      <c r="B72">
        <v>68</v>
      </c>
      <c r="C72">
        <v>4</v>
      </c>
      <c r="D72" s="2">
        <v>2.3620000000000001</v>
      </c>
      <c r="E72" s="2">
        <f>0.494+1.549</f>
        <v>2.0430000000000001</v>
      </c>
      <c r="F72" s="2">
        <f>(0.5/0.32)*D72</f>
        <v>3.6906250000000003</v>
      </c>
      <c r="G72" s="2">
        <f>(0.5/0.32)*E72</f>
        <v>3.1921875000000002</v>
      </c>
      <c r="H72" s="1">
        <f>100*E72/D72</f>
        <v>86.494496189669775</v>
      </c>
    </row>
    <row r="73" spans="1:8" x14ac:dyDescent="0.2">
      <c r="B73">
        <v>69</v>
      </c>
      <c r="C73">
        <v>5</v>
      </c>
      <c r="D73" s="2">
        <v>2.6259999999999999</v>
      </c>
      <c r="E73" s="2">
        <f>0.214+0.631</f>
        <v>0.84499999999999997</v>
      </c>
      <c r="F73" s="2">
        <f>(0.5/0.32)*D73</f>
        <v>4.1031249999999995</v>
      </c>
      <c r="G73" s="2">
        <f>(0.5/0.32)*E73</f>
        <v>1.3203125</v>
      </c>
      <c r="H73" s="1">
        <f>100*E73/D73</f>
        <v>32.178217821782177</v>
      </c>
    </row>
    <row r="74" spans="1:8" x14ac:dyDescent="0.2">
      <c r="B74">
        <v>70</v>
      </c>
      <c r="C74">
        <v>6</v>
      </c>
      <c r="D74" s="2">
        <v>1.9750000000000001</v>
      </c>
      <c r="E74" s="2">
        <f>0.525+0.53</f>
        <v>1.0550000000000002</v>
      </c>
      <c r="F74" s="2">
        <f>(0.5/0.32)*D74</f>
        <v>3.0859375</v>
      </c>
      <c r="G74" s="2">
        <f>(0.5/0.32)*E74</f>
        <v>1.6484375000000002</v>
      </c>
      <c r="H74" s="1">
        <f>100*E74/D74</f>
        <v>53.417721518987349</v>
      </c>
    </row>
    <row r="75" spans="1:8" x14ac:dyDescent="0.2">
      <c r="B75">
        <v>71</v>
      </c>
      <c r="C75">
        <v>7</v>
      </c>
      <c r="D75" s="2">
        <v>1.931</v>
      </c>
      <c r="E75" s="2">
        <f>0.415+0.479</f>
        <v>0.89399999999999991</v>
      </c>
      <c r="F75" s="2">
        <f>(0.5/0.32)*D75</f>
        <v>3.0171874999999999</v>
      </c>
      <c r="G75" s="2">
        <f>(0.5/0.32)*E75</f>
        <v>1.3968749999999999</v>
      </c>
      <c r="H75" s="1">
        <f>100*E75/D75</f>
        <v>46.297255308130495</v>
      </c>
    </row>
    <row r="76" spans="1:8" x14ac:dyDescent="0.2">
      <c r="B76">
        <v>72</v>
      </c>
      <c r="C76">
        <v>8</v>
      </c>
      <c r="D76" s="2">
        <v>2.1720000000000002</v>
      </c>
      <c r="E76" s="2">
        <f>0.723+0.428</f>
        <v>1.151</v>
      </c>
      <c r="F76" s="2">
        <f>(0.5/0.32)*D76</f>
        <v>3.3937500000000003</v>
      </c>
      <c r="G76" s="2">
        <f>(0.5/0.32)*E76</f>
        <v>1.7984375000000001</v>
      </c>
      <c r="H76" s="1">
        <f>100*E76/D76</f>
        <v>52.992633517495399</v>
      </c>
    </row>
    <row r="77" spans="1:8" x14ac:dyDescent="0.2">
      <c r="B77">
        <v>73</v>
      </c>
      <c r="C77">
        <v>9</v>
      </c>
      <c r="D77" s="2">
        <v>1.7330000000000001</v>
      </c>
      <c r="E77" s="2">
        <v>1.1890000000000001</v>
      </c>
      <c r="F77" s="2">
        <f>(0.5/0.32)*D77</f>
        <v>2.7078125000000002</v>
      </c>
      <c r="G77" s="2">
        <f>(0.5/0.32)*E77</f>
        <v>1.8578125000000001</v>
      </c>
      <c r="H77" s="1">
        <f>100*E77/D77</f>
        <v>68.609347951529145</v>
      </c>
    </row>
    <row r="78" spans="1:8" x14ac:dyDescent="0.2">
      <c r="B78">
        <v>74</v>
      </c>
      <c r="C78">
        <v>10</v>
      </c>
      <c r="D78" s="2">
        <v>4.8280000000000003</v>
      </c>
      <c r="E78" s="2">
        <v>1.9330000000000001</v>
      </c>
      <c r="F78" s="2">
        <f>(0.5/0.32)*D78</f>
        <v>7.5437500000000002</v>
      </c>
      <c r="G78" s="2">
        <f>(0.5/0.32)*E78</f>
        <v>3.0203125000000002</v>
      </c>
      <c r="H78" s="1">
        <f>100*E78/D78</f>
        <v>40.037282518641263</v>
      </c>
    </row>
    <row r="79" spans="1:8" x14ac:dyDescent="0.2">
      <c r="B79">
        <v>75</v>
      </c>
      <c r="C79">
        <v>11</v>
      </c>
      <c r="D79" s="2">
        <v>2.702</v>
      </c>
      <c r="E79" s="2">
        <f>0.437+0.636</f>
        <v>1.073</v>
      </c>
      <c r="F79" s="2">
        <f>(0.5/0.32)*D79</f>
        <v>4.2218749999999998</v>
      </c>
      <c r="G79" s="2">
        <f>(0.5/0.32)*E79</f>
        <v>1.6765625</v>
      </c>
      <c r="H79" s="1">
        <f>100*E79/D79</f>
        <v>39.711324944485568</v>
      </c>
    </row>
    <row r="80" spans="1:8" x14ac:dyDescent="0.2">
      <c r="B80">
        <v>76</v>
      </c>
      <c r="C80">
        <v>12</v>
      </c>
      <c r="D80" s="2">
        <v>2.2320000000000002</v>
      </c>
      <c r="E80" s="2">
        <v>0.14199999999999999</v>
      </c>
      <c r="F80" s="2">
        <f>(0.5/0.32)*D80</f>
        <v>3.4875000000000003</v>
      </c>
      <c r="G80" s="2">
        <f>(0.5/0.32)*E80</f>
        <v>0.22187499999999999</v>
      </c>
      <c r="H80" s="1">
        <f>100*E80/D80</f>
        <v>6.3620071684587804</v>
      </c>
    </row>
    <row r="81" spans="1:8" x14ac:dyDescent="0.2">
      <c r="B81">
        <v>77</v>
      </c>
      <c r="C81">
        <v>13</v>
      </c>
      <c r="D81" s="2">
        <v>2.5310000000000001</v>
      </c>
      <c r="E81" s="2">
        <v>0.58199999999999996</v>
      </c>
      <c r="F81" s="2">
        <f>(0.5/0.32)*D81</f>
        <v>3.9546875000000004</v>
      </c>
      <c r="G81" s="2">
        <f>(0.5/0.32)*E81</f>
        <v>0.90937499999999993</v>
      </c>
      <c r="H81" s="1">
        <f>100*E81/D81</f>
        <v>22.994863690241008</v>
      </c>
    </row>
    <row r="82" spans="1:8" x14ac:dyDescent="0.2">
      <c r="A82" t="s">
        <v>65</v>
      </c>
      <c r="B82">
        <v>78</v>
      </c>
      <c r="C82">
        <v>1</v>
      </c>
      <c r="D82" s="2">
        <v>1.714</v>
      </c>
      <c r="E82" s="2">
        <v>0.52400000000000002</v>
      </c>
      <c r="F82" s="2">
        <f>(0.5/0.32)*D82</f>
        <v>2.6781250000000001</v>
      </c>
      <c r="G82" s="2">
        <f>(0.5/0.32)*E82</f>
        <v>0.81875000000000009</v>
      </c>
      <c r="H82" s="1">
        <f>100*E82/D82</f>
        <v>30.571761960326725</v>
      </c>
    </row>
    <row r="83" spans="1:8" x14ac:dyDescent="0.2">
      <c r="B83">
        <v>79</v>
      </c>
      <c r="C83">
        <v>2</v>
      </c>
      <c r="D83" s="2">
        <v>1.889</v>
      </c>
      <c r="E83" s="2">
        <v>0.13900000000000001</v>
      </c>
      <c r="F83" s="2">
        <f>(0.5/0.32)*D83</f>
        <v>2.9515625000000001</v>
      </c>
      <c r="G83" s="2">
        <f>(0.5/0.32)*E83</f>
        <v>0.21718750000000003</v>
      </c>
      <c r="H83" s="1">
        <f>100*E83/D83</f>
        <v>7.3583906829010068</v>
      </c>
    </row>
    <row r="84" spans="1:8" x14ac:dyDescent="0.2">
      <c r="B84">
        <v>80</v>
      </c>
      <c r="C84">
        <v>3</v>
      </c>
      <c r="D84" s="2">
        <v>2.5270000000000001</v>
      </c>
      <c r="E84" s="2">
        <f>0.315+0.579</f>
        <v>0.89399999999999991</v>
      </c>
      <c r="F84" s="2">
        <f>(0.5/0.32)*D84</f>
        <v>3.9484375000000003</v>
      </c>
      <c r="G84" s="2">
        <f>(0.5/0.32)*E84</f>
        <v>1.3968749999999999</v>
      </c>
      <c r="H84" s="1">
        <f>100*E84/D84</f>
        <v>35.377918480411552</v>
      </c>
    </row>
    <row r="85" spans="1:8" x14ac:dyDescent="0.2">
      <c r="B85">
        <v>81</v>
      </c>
      <c r="C85">
        <v>4</v>
      </c>
      <c r="D85" s="2">
        <v>3.226</v>
      </c>
      <c r="E85" s="2">
        <v>0.54</v>
      </c>
      <c r="F85" s="2">
        <f>(0.5/0.32)*D85</f>
        <v>5.0406250000000004</v>
      </c>
      <c r="G85" s="2">
        <f>(0.5/0.32)*E85</f>
        <v>0.84375</v>
      </c>
      <c r="H85" s="1">
        <f>100*E85/D85</f>
        <v>16.738995660260386</v>
      </c>
    </row>
    <row r="86" spans="1:8" x14ac:dyDescent="0.2">
      <c r="B86">
        <v>82</v>
      </c>
      <c r="C86">
        <v>5</v>
      </c>
      <c r="D86" s="2">
        <v>3.077</v>
      </c>
      <c r="E86" s="2">
        <v>0.434</v>
      </c>
      <c r="F86" s="2">
        <f>(0.5/0.32)*D86</f>
        <v>4.8078124999999998</v>
      </c>
      <c r="G86" s="2">
        <f>(0.5/0.32)*E86</f>
        <v>0.67812499999999998</v>
      </c>
      <c r="H86" s="1">
        <f>100*E86/D86</f>
        <v>14.104647383815404</v>
      </c>
    </row>
    <row r="87" spans="1:8" x14ac:dyDescent="0.2">
      <c r="B87">
        <v>83</v>
      </c>
      <c r="C87">
        <v>6</v>
      </c>
      <c r="D87" s="2">
        <v>5.774</v>
      </c>
      <c r="E87" s="2">
        <f>0.724+0.374+0.134</f>
        <v>1.2319999999999998</v>
      </c>
      <c r="F87" s="2">
        <f>(0.5/0.32)*D87</f>
        <v>9.0218749999999996</v>
      </c>
      <c r="G87" s="2">
        <f>(0.5/0.32)*E87</f>
        <v>1.9249999999999996</v>
      </c>
      <c r="H87" s="1">
        <f>100*E87/D87</f>
        <v>21.337028056806368</v>
      </c>
    </row>
    <row r="88" spans="1:8" x14ac:dyDescent="0.2">
      <c r="B88">
        <v>84</v>
      </c>
      <c r="C88">
        <v>7</v>
      </c>
      <c r="D88" s="2">
        <v>3.4460000000000002</v>
      </c>
      <c r="E88" s="2">
        <v>1.2270000000000001</v>
      </c>
      <c r="F88" s="2">
        <f>(0.5/0.32)*D88</f>
        <v>5.3843750000000004</v>
      </c>
      <c r="G88" s="2">
        <f>(0.5/0.32)*E88</f>
        <v>1.9171875</v>
      </c>
      <c r="H88" s="1">
        <f>100*E88/D88</f>
        <v>35.606500290191526</v>
      </c>
    </row>
    <row r="89" spans="1:8" x14ac:dyDescent="0.2">
      <c r="B89">
        <v>85</v>
      </c>
      <c r="C89">
        <v>8</v>
      </c>
      <c r="D89" s="2">
        <v>2.9430000000000001</v>
      </c>
      <c r="E89" s="2">
        <v>1.137</v>
      </c>
      <c r="F89" s="2">
        <f>(0.5/0.32)*D89</f>
        <v>4.5984375000000002</v>
      </c>
      <c r="G89" s="2">
        <f>(0.5/0.32)*E89</f>
        <v>1.7765625</v>
      </c>
      <c r="H89" s="1">
        <f>100*E89/D89</f>
        <v>38.634046890927628</v>
      </c>
    </row>
    <row r="90" spans="1:8" x14ac:dyDescent="0.2">
      <c r="B90">
        <v>86</v>
      </c>
      <c r="C90">
        <v>9</v>
      </c>
      <c r="D90" s="2">
        <v>3.0070000000000001</v>
      </c>
      <c r="E90" s="2">
        <f>0.393+0.313+0.642</f>
        <v>1.3479999999999999</v>
      </c>
      <c r="F90" s="2">
        <f>(0.5/0.32)*D90</f>
        <v>4.6984374999999998</v>
      </c>
      <c r="G90" s="2">
        <f>(0.5/0.32)*E90</f>
        <v>2.1062499999999997</v>
      </c>
      <c r="H90" s="1">
        <f>100*E90/D90</f>
        <v>44.828732956434976</v>
      </c>
    </row>
    <row r="92" spans="1:8" x14ac:dyDescent="0.2">
      <c r="C92" t="s">
        <v>1</v>
      </c>
      <c r="D92" s="2">
        <f>AVERAGE(D5:D90)</f>
        <v>3.416348837209302</v>
      </c>
      <c r="E92" s="2">
        <f>AVERAGE(E5:E90)</f>
        <v>1.1747790697674418</v>
      </c>
      <c r="F92" s="2">
        <f>AVERAGE(F5:F90)</f>
        <v>5.3380450581395342</v>
      </c>
      <c r="G92" s="2">
        <f>AVERAGE(G5:G90)</f>
        <v>1.8355922965116274</v>
      </c>
      <c r="H92" s="2">
        <f>AVERAGE(H5:H90)</f>
        <v>35.191715847406755</v>
      </c>
    </row>
    <row r="93" spans="1:8" x14ac:dyDescent="0.2">
      <c r="C93" t="s">
        <v>0</v>
      </c>
      <c r="D93" s="2">
        <f>STDEV(D5:D90)</f>
        <v>2.2243220395672285</v>
      </c>
      <c r="E93" s="2">
        <f>STDEV(E5:E90)</f>
        <v>1.068732656838026</v>
      </c>
      <c r="F93" s="2">
        <f>STDEV(F5:F90)</f>
        <v>3.4755031868237971</v>
      </c>
      <c r="G93" s="2">
        <f>STDEV(G5:G90)</f>
        <v>1.6698947763094165</v>
      </c>
      <c r="H93" s="2">
        <f>STDEV(H5:H90)</f>
        <v>18.554212499639355</v>
      </c>
    </row>
    <row r="95" spans="1:8" x14ac:dyDescent="0.2">
      <c r="A95" t="s">
        <v>64</v>
      </c>
    </row>
    <row r="96" spans="1:8" x14ac:dyDescent="0.2">
      <c r="A96" s="5" t="s">
        <v>24</v>
      </c>
      <c r="B96" s="5" t="s">
        <v>23</v>
      </c>
      <c r="C96" s="5" t="s">
        <v>22</v>
      </c>
      <c r="D96" s="4" t="s">
        <v>21</v>
      </c>
      <c r="E96" s="4" t="s">
        <v>20</v>
      </c>
      <c r="F96" s="4" t="s">
        <v>19</v>
      </c>
      <c r="G96" s="4" t="s">
        <v>18</v>
      </c>
      <c r="H96" s="3" t="s">
        <v>17</v>
      </c>
    </row>
    <row r="97" spans="1:8" x14ac:dyDescent="0.2">
      <c r="A97" t="s">
        <v>63</v>
      </c>
      <c r="B97">
        <v>1</v>
      </c>
      <c r="C97">
        <v>1</v>
      </c>
      <c r="D97" s="2">
        <v>2.0670000000000002</v>
      </c>
      <c r="E97" s="2">
        <v>0.17299999999999999</v>
      </c>
      <c r="F97" s="2">
        <f>(0.5/0.32)*D97</f>
        <v>3.2296875000000003</v>
      </c>
      <c r="G97" s="2">
        <f>(0.5/0.32)*E97</f>
        <v>0.27031249999999996</v>
      </c>
      <c r="H97" s="1">
        <f>100*E97/D97</f>
        <v>8.3696178035800664</v>
      </c>
    </row>
    <row r="98" spans="1:8" x14ac:dyDescent="0.2">
      <c r="B98">
        <v>2</v>
      </c>
      <c r="C98">
        <v>2</v>
      </c>
      <c r="D98" s="2">
        <v>1.325</v>
      </c>
      <c r="E98" s="2">
        <f>0.526+0.336</f>
        <v>0.8620000000000001</v>
      </c>
      <c r="F98" s="2">
        <f>(0.5/0.32)*D98</f>
        <v>2.0703125</v>
      </c>
      <c r="G98" s="2">
        <f>(0.5/0.32)*E98</f>
        <v>1.3468750000000003</v>
      </c>
      <c r="H98" s="1">
        <f>100*E98/D98</f>
        <v>65.056603773584925</v>
      </c>
    </row>
    <row r="99" spans="1:8" x14ac:dyDescent="0.2">
      <c r="B99">
        <v>3</v>
      </c>
      <c r="C99">
        <v>3</v>
      </c>
      <c r="D99" s="2">
        <v>1.399</v>
      </c>
      <c r="E99" s="2">
        <f>0.214+0.353</f>
        <v>0.56699999999999995</v>
      </c>
      <c r="F99" s="2">
        <f>(0.5/0.32)*D99</f>
        <v>2.1859375000000001</v>
      </c>
      <c r="G99" s="2">
        <f>(0.5/0.32)*E99</f>
        <v>0.88593749999999993</v>
      </c>
      <c r="H99" s="1">
        <f>100*E99/D99</f>
        <v>40.528949249463899</v>
      </c>
    </row>
    <row r="100" spans="1:8" x14ac:dyDescent="0.2">
      <c r="B100">
        <v>4</v>
      </c>
      <c r="C100">
        <v>4</v>
      </c>
      <c r="D100" s="2">
        <v>1.1739999999999999</v>
      </c>
      <c r="E100" s="2">
        <v>0</v>
      </c>
      <c r="F100" s="2">
        <f>(0.5/0.32)*D100</f>
        <v>1.8343749999999999</v>
      </c>
      <c r="G100" s="2">
        <f>(0.5/0.32)*E100</f>
        <v>0</v>
      </c>
      <c r="H100" s="1">
        <f>100*E100/D100</f>
        <v>0</v>
      </c>
    </row>
    <row r="101" spans="1:8" x14ac:dyDescent="0.2">
      <c r="B101">
        <v>5</v>
      </c>
      <c r="C101">
        <v>5</v>
      </c>
      <c r="D101" s="2">
        <v>2.1230000000000002</v>
      </c>
      <c r="E101" s="2">
        <v>0.15</v>
      </c>
      <c r="F101" s="2">
        <f>(0.5/0.32)*D101</f>
        <v>3.3171875000000002</v>
      </c>
      <c r="G101" s="2">
        <f>(0.5/0.32)*E101</f>
        <v>0.234375</v>
      </c>
      <c r="H101" s="1">
        <f>100*E101/D101</f>
        <v>7.0654733867169091</v>
      </c>
    </row>
    <row r="102" spans="1:8" x14ac:dyDescent="0.2">
      <c r="B102">
        <v>6</v>
      </c>
      <c r="C102">
        <v>6</v>
      </c>
      <c r="D102" s="2">
        <v>1.163</v>
      </c>
      <c r="E102" s="2">
        <f>0.159+0.16</f>
        <v>0.31900000000000001</v>
      </c>
      <c r="F102" s="2">
        <f>(0.5/0.32)*D102</f>
        <v>1.8171875</v>
      </c>
      <c r="G102" s="2">
        <f>(0.5/0.32)*E102</f>
        <v>0.49843750000000003</v>
      </c>
      <c r="H102" s="1">
        <f>100*E102/D102</f>
        <v>27.429062768701634</v>
      </c>
    </row>
    <row r="103" spans="1:8" x14ac:dyDescent="0.2">
      <c r="B103">
        <v>7</v>
      </c>
      <c r="C103">
        <v>7</v>
      </c>
      <c r="D103" s="2">
        <v>2.1789999999999998</v>
      </c>
      <c r="E103" s="2">
        <v>0.214</v>
      </c>
      <c r="F103" s="2">
        <f>(0.5/0.32)*D103</f>
        <v>3.4046874999999996</v>
      </c>
      <c r="G103" s="2">
        <f>(0.5/0.32)*E103</f>
        <v>0.33437499999999998</v>
      </c>
      <c r="H103" s="1">
        <f>100*E103/D103</f>
        <v>9.8210188159706284</v>
      </c>
    </row>
    <row r="104" spans="1:8" x14ac:dyDescent="0.2">
      <c r="A104" t="s">
        <v>62</v>
      </c>
      <c r="B104">
        <v>8</v>
      </c>
      <c r="C104">
        <v>1</v>
      </c>
      <c r="D104" s="2">
        <v>1.645</v>
      </c>
      <c r="E104" s="2">
        <v>0</v>
      </c>
      <c r="F104" s="2">
        <f>(0.5/0.32)*D104</f>
        <v>2.5703125</v>
      </c>
      <c r="G104" s="2">
        <f>(0.5/0.32)*E104</f>
        <v>0</v>
      </c>
      <c r="H104" s="1">
        <f>100*E104/D104</f>
        <v>0</v>
      </c>
    </row>
    <row r="105" spans="1:8" x14ac:dyDescent="0.2">
      <c r="B105">
        <v>9</v>
      </c>
      <c r="C105">
        <v>2</v>
      </c>
      <c r="D105" s="2">
        <v>1.1120000000000001</v>
      </c>
      <c r="E105" s="2">
        <v>0</v>
      </c>
      <c r="F105" s="2">
        <f>(0.5/0.32)*D105</f>
        <v>1.7375000000000003</v>
      </c>
      <c r="G105" s="2">
        <f>(0.5/0.32)*E105</f>
        <v>0</v>
      </c>
      <c r="H105" s="1">
        <f>100*E105/D105</f>
        <v>0</v>
      </c>
    </row>
    <row r="106" spans="1:8" x14ac:dyDescent="0.2">
      <c r="B106">
        <v>10</v>
      </c>
      <c r="C106">
        <v>3</v>
      </c>
      <c r="D106" s="2">
        <v>1.2609999999999999</v>
      </c>
      <c r="E106" s="2">
        <v>0.217</v>
      </c>
      <c r="F106" s="2">
        <f>(0.5/0.32)*D106</f>
        <v>1.9703124999999999</v>
      </c>
      <c r="G106" s="2">
        <f>(0.5/0.32)*E106</f>
        <v>0.33906249999999999</v>
      </c>
      <c r="H106" s="1">
        <f>100*E106/D106</f>
        <v>17.208564631245043</v>
      </c>
    </row>
    <row r="107" spans="1:8" x14ac:dyDescent="0.2">
      <c r="B107">
        <v>11</v>
      </c>
      <c r="C107">
        <v>4</v>
      </c>
      <c r="D107" s="2">
        <v>2.0099999999999998</v>
      </c>
      <c r="E107" s="2">
        <v>0</v>
      </c>
      <c r="F107" s="2">
        <f>(0.5/0.32)*D107</f>
        <v>3.1406249999999996</v>
      </c>
      <c r="G107" s="2">
        <f>(0.5/0.32)*E107</f>
        <v>0</v>
      </c>
      <c r="H107" s="1">
        <f>100*E107/D107</f>
        <v>0</v>
      </c>
    </row>
    <row r="108" spans="1:8" x14ac:dyDescent="0.2">
      <c r="B108">
        <v>12</v>
      </c>
      <c r="C108">
        <v>5</v>
      </c>
      <c r="D108" s="2">
        <v>3</v>
      </c>
      <c r="E108" s="2">
        <f>0.249+0.294+0.431</f>
        <v>0.97399999999999998</v>
      </c>
      <c r="F108" s="2">
        <f>(0.5/0.32)*D108</f>
        <v>4.6875</v>
      </c>
      <c r="G108" s="2">
        <f>(0.5/0.32)*E108</f>
        <v>1.5218749999999999</v>
      </c>
      <c r="H108" s="1">
        <f>100*E108/D108</f>
        <v>32.466666666666661</v>
      </c>
    </row>
    <row r="109" spans="1:8" x14ac:dyDescent="0.2">
      <c r="A109" t="s">
        <v>61</v>
      </c>
      <c r="B109">
        <v>13</v>
      </c>
      <c r="C109">
        <v>1</v>
      </c>
      <c r="D109" s="2">
        <v>2.036</v>
      </c>
      <c r="E109" s="2">
        <v>0.193</v>
      </c>
      <c r="F109" s="2">
        <f>(0.5/0.32)*D109</f>
        <v>3.1812499999999999</v>
      </c>
      <c r="G109" s="2">
        <f>(0.5/0.32)*E109</f>
        <v>0.30156250000000001</v>
      </c>
      <c r="H109" s="1">
        <f>100*E109/D109</f>
        <v>9.4793713163064837</v>
      </c>
    </row>
    <row r="110" spans="1:8" x14ac:dyDescent="0.2">
      <c r="B110">
        <v>14</v>
      </c>
      <c r="C110">
        <v>2</v>
      </c>
      <c r="D110" s="2">
        <v>1.484</v>
      </c>
      <c r="E110" s="2">
        <v>0</v>
      </c>
      <c r="F110" s="2">
        <f>(0.5/0.32)*D110</f>
        <v>2.3187500000000001</v>
      </c>
      <c r="G110" s="2">
        <f>(0.5/0.32)*E110</f>
        <v>0</v>
      </c>
      <c r="H110" s="1">
        <f>100*E110/D110</f>
        <v>0</v>
      </c>
    </row>
    <row r="111" spans="1:8" x14ac:dyDescent="0.2">
      <c r="B111">
        <v>15</v>
      </c>
      <c r="C111">
        <v>3</v>
      </c>
      <c r="D111" s="2">
        <v>2.3210000000000002</v>
      </c>
      <c r="E111" s="2">
        <v>0.501</v>
      </c>
      <c r="F111" s="2">
        <f>(0.5/0.32)*D111</f>
        <v>3.6265625000000004</v>
      </c>
      <c r="G111" s="2">
        <f>(0.5/0.32)*E111</f>
        <v>0.78281250000000002</v>
      </c>
      <c r="H111" s="1">
        <f>100*E111/D111</f>
        <v>21.585523481258079</v>
      </c>
    </row>
    <row r="112" spans="1:8" x14ac:dyDescent="0.2">
      <c r="B112">
        <v>16</v>
      </c>
      <c r="C112">
        <v>4</v>
      </c>
      <c r="D112" s="2">
        <v>2.536</v>
      </c>
      <c r="E112" s="2">
        <v>0</v>
      </c>
      <c r="F112" s="2">
        <f>(0.5/0.32)*D112</f>
        <v>3.9624999999999999</v>
      </c>
      <c r="G112" s="2">
        <f>(0.5/0.32)*E112</f>
        <v>0</v>
      </c>
      <c r="H112" s="1">
        <f>100*E112/D112</f>
        <v>0</v>
      </c>
    </row>
    <row r="113" spans="1:8" x14ac:dyDescent="0.2">
      <c r="B113">
        <v>17</v>
      </c>
      <c r="C113">
        <v>5</v>
      </c>
      <c r="D113" s="2">
        <v>2.54</v>
      </c>
      <c r="E113" s="2">
        <v>0</v>
      </c>
      <c r="F113" s="2">
        <f>(0.5/0.32)*D113</f>
        <v>3.96875</v>
      </c>
      <c r="G113" s="2">
        <f>(0.5/0.32)*E113</f>
        <v>0</v>
      </c>
      <c r="H113" s="1">
        <f>100*E113/D113</f>
        <v>0</v>
      </c>
    </row>
    <row r="114" spans="1:8" x14ac:dyDescent="0.2">
      <c r="B114">
        <v>18</v>
      </c>
      <c r="C114">
        <v>6</v>
      </c>
      <c r="D114" s="2">
        <v>1.1419999999999999</v>
      </c>
      <c r="E114" s="2">
        <v>0</v>
      </c>
      <c r="F114" s="2">
        <f>(0.5/0.32)*D114</f>
        <v>1.7843749999999998</v>
      </c>
      <c r="G114" s="2">
        <f>(0.5/0.32)*E114</f>
        <v>0</v>
      </c>
      <c r="H114" s="1">
        <f>100*E114/D114</f>
        <v>0</v>
      </c>
    </row>
    <row r="115" spans="1:8" x14ac:dyDescent="0.2">
      <c r="B115">
        <v>19</v>
      </c>
      <c r="C115">
        <v>7</v>
      </c>
      <c r="D115" s="2">
        <v>3.7170000000000001</v>
      </c>
      <c r="E115" s="2">
        <v>0</v>
      </c>
      <c r="F115" s="2">
        <f>(0.5/0.32)*D115</f>
        <v>5.8078124999999998</v>
      </c>
      <c r="G115" s="2">
        <f>(0.5/0.32)*E115</f>
        <v>0</v>
      </c>
      <c r="H115" s="1">
        <f>100*E115/D115</f>
        <v>0</v>
      </c>
    </row>
    <row r="116" spans="1:8" x14ac:dyDescent="0.2">
      <c r="B116">
        <v>20</v>
      </c>
      <c r="C116">
        <v>8</v>
      </c>
      <c r="D116" s="2">
        <v>2.548</v>
      </c>
      <c r="E116" s="2">
        <v>0</v>
      </c>
      <c r="F116" s="2">
        <f>(0.5/0.32)*D116</f>
        <v>3.9812500000000002</v>
      </c>
      <c r="G116" s="2">
        <f>(0.5/0.32)*E116</f>
        <v>0</v>
      </c>
      <c r="H116" s="1">
        <f>100*E116/D116</f>
        <v>0</v>
      </c>
    </row>
    <row r="117" spans="1:8" x14ac:dyDescent="0.2">
      <c r="B117">
        <v>21</v>
      </c>
      <c r="C117">
        <v>9</v>
      </c>
      <c r="D117" s="2">
        <v>2.7770000000000001</v>
      </c>
      <c r="E117" s="2">
        <v>0</v>
      </c>
      <c r="F117" s="2">
        <f>(0.5/0.32)*D117</f>
        <v>4.3390624999999998</v>
      </c>
      <c r="G117" s="2">
        <f>(0.5/0.32)*E117</f>
        <v>0</v>
      </c>
      <c r="H117" s="1">
        <f>100*E117/D117</f>
        <v>0</v>
      </c>
    </row>
    <row r="118" spans="1:8" x14ac:dyDescent="0.2">
      <c r="B118">
        <v>22</v>
      </c>
      <c r="C118">
        <v>10</v>
      </c>
      <c r="D118" s="2">
        <v>1.4</v>
      </c>
      <c r="E118" s="2">
        <v>0</v>
      </c>
      <c r="F118" s="2">
        <f>(0.5/0.32)*D118</f>
        <v>2.1875</v>
      </c>
      <c r="G118" s="2">
        <f>(0.5/0.32)*E118</f>
        <v>0</v>
      </c>
      <c r="H118" s="1">
        <f>100*E118/D118</f>
        <v>0</v>
      </c>
    </row>
    <row r="119" spans="1:8" x14ac:dyDescent="0.2">
      <c r="B119">
        <v>23</v>
      </c>
      <c r="C119">
        <v>11</v>
      </c>
      <c r="D119" s="2">
        <v>1.51</v>
      </c>
      <c r="E119" s="2">
        <v>0</v>
      </c>
      <c r="F119" s="2">
        <f>(0.5/0.32)*D119</f>
        <v>2.359375</v>
      </c>
      <c r="G119" s="2">
        <f>(0.5/0.32)*E119</f>
        <v>0</v>
      </c>
      <c r="H119" s="1">
        <f>100*E119/D119</f>
        <v>0</v>
      </c>
    </row>
    <row r="120" spans="1:8" x14ac:dyDescent="0.2">
      <c r="B120">
        <v>24</v>
      </c>
      <c r="C120">
        <v>12</v>
      </c>
      <c r="D120" s="2">
        <v>1.7170000000000001</v>
      </c>
      <c r="E120" s="2">
        <v>0.126</v>
      </c>
      <c r="F120" s="2">
        <f>(0.5/0.32)*D120</f>
        <v>2.6828125000000003</v>
      </c>
      <c r="G120" s="2">
        <f>(0.5/0.32)*E120</f>
        <v>0.19687499999999999</v>
      </c>
      <c r="H120" s="1">
        <f>100*E120/D120</f>
        <v>7.33838089691322</v>
      </c>
    </row>
    <row r="121" spans="1:8" x14ac:dyDescent="0.2">
      <c r="B121">
        <v>25</v>
      </c>
      <c r="C121">
        <v>13</v>
      </c>
      <c r="D121" s="2">
        <v>1.258</v>
      </c>
      <c r="E121" s="2">
        <v>0</v>
      </c>
      <c r="F121" s="2">
        <f>(0.5/0.32)*D121</f>
        <v>1.965625</v>
      </c>
      <c r="G121" s="2">
        <f>(0.5/0.32)*E121</f>
        <v>0</v>
      </c>
      <c r="H121" s="1">
        <f>100*E121/D121</f>
        <v>0</v>
      </c>
    </row>
    <row r="122" spans="1:8" x14ac:dyDescent="0.2">
      <c r="B122">
        <v>26</v>
      </c>
      <c r="C122">
        <v>14</v>
      </c>
      <c r="D122" s="2">
        <v>2.0649999999999999</v>
      </c>
      <c r="E122" s="2">
        <v>0</v>
      </c>
      <c r="F122" s="2">
        <f>(0.5/0.32)*D122</f>
        <v>3.2265625</v>
      </c>
      <c r="G122" s="2">
        <f>(0.5/0.32)*E122</f>
        <v>0</v>
      </c>
      <c r="H122" s="1">
        <f>100*E122/D122</f>
        <v>0</v>
      </c>
    </row>
    <row r="123" spans="1:8" x14ac:dyDescent="0.2">
      <c r="A123" t="s">
        <v>60</v>
      </c>
      <c r="B123">
        <v>27</v>
      </c>
      <c r="C123">
        <v>1</v>
      </c>
      <c r="D123" s="2">
        <v>3.8759999999999999</v>
      </c>
      <c r="E123" s="2">
        <v>0</v>
      </c>
      <c r="F123" s="2">
        <f>(0.5/0.32)*D123</f>
        <v>6.0562499999999995</v>
      </c>
      <c r="G123" s="2">
        <f>(0.5/0.32)*E123</f>
        <v>0</v>
      </c>
      <c r="H123" s="1">
        <f>100*E123/D123</f>
        <v>0</v>
      </c>
    </row>
    <row r="124" spans="1:8" x14ac:dyDescent="0.2">
      <c r="B124">
        <v>28</v>
      </c>
      <c r="C124">
        <v>2</v>
      </c>
      <c r="D124" s="2">
        <v>1.865</v>
      </c>
      <c r="E124" s="2">
        <f>0.153+0.213</f>
        <v>0.36599999999999999</v>
      </c>
      <c r="F124" s="2">
        <f>(0.5/0.32)*D124</f>
        <v>2.9140625</v>
      </c>
      <c r="G124" s="2">
        <f>(0.5/0.32)*E124</f>
        <v>0.57187500000000002</v>
      </c>
      <c r="H124" s="1">
        <f>100*E124/D124</f>
        <v>19.624664879356569</v>
      </c>
    </row>
    <row r="125" spans="1:8" x14ac:dyDescent="0.2">
      <c r="B125">
        <v>29</v>
      </c>
      <c r="C125">
        <v>3</v>
      </c>
      <c r="D125" s="2">
        <v>3.512</v>
      </c>
      <c r="E125" s="2">
        <v>0.23799999999999999</v>
      </c>
      <c r="F125" s="2">
        <f>(0.5/0.32)*D125</f>
        <v>5.4874999999999998</v>
      </c>
      <c r="G125" s="2">
        <f>(0.5/0.32)*E125</f>
        <v>0.37187499999999996</v>
      </c>
      <c r="H125" s="1">
        <f>100*E125/D125</f>
        <v>6.7767653758542137</v>
      </c>
    </row>
    <row r="126" spans="1:8" x14ac:dyDescent="0.2">
      <c r="B126">
        <v>30</v>
      </c>
      <c r="C126">
        <v>4</v>
      </c>
      <c r="D126" s="2">
        <v>2.44</v>
      </c>
      <c r="E126" s="2">
        <v>0</v>
      </c>
      <c r="F126" s="2">
        <f>(0.5/0.32)*D126</f>
        <v>3.8125</v>
      </c>
      <c r="G126" s="2">
        <f>(0.5/0.32)*E126</f>
        <v>0</v>
      </c>
      <c r="H126" s="1">
        <f>100*E126/D126</f>
        <v>0</v>
      </c>
    </row>
    <row r="127" spans="1:8" x14ac:dyDescent="0.2">
      <c r="B127">
        <v>31</v>
      </c>
      <c r="C127">
        <v>5</v>
      </c>
      <c r="D127" s="2">
        <v>1.49</v>
      </c>
      <c r="E127" s="2">
        <v>0</v>
      </c>
      <c r="F127" s="2">
        <f>(0.5/0.32)*D127</f>
        <v>2.328125</v>
      </c>
      <c r="G127" s="2">
        <f>(0.5/0.32)*E127</f>
        <v>0</v>
      </c>
      <c r="H127" s="1">
        <f>100*E127/D127</f>
        <v>0</v>
      </c>
    </row>
    <row r="128" spans="1:8" x14ac:dyDescent="0.2">
      <c r="B128">
        <v>32</v>
      </c>
      <c r="C128">
        <v>6</v>
      </c>
      <c r="D128" s="2">
        <v>3.5089999999999999</v>
      </c>
      <c r="E128" s="2">
        <v>0.20899999999999999</v>
      </c>
      <c r="F128" s="2">
        <f>(0.5/0.32)*D128</f>
        <v>5.4828124999999996</v>
      </c>
      <c r="G128" s="2">
        <f>(0.5/0.32)*E128</f>
        <v>0.32656249999999998</v>
      </c>
      <c r="H128" s="1">
        <f>100*E128/D128</f>
        <v>5.9561128526645764</v>
      </c>
    </row>
    <row r="129" spans="1:8" x14ac:dyDescent="0.2">
      <c r="A129" t="s">
        <v>59</v>
      </c>
      <c r="B129">
        <v>33</v>
      </c>
      <c r="C129">
        <v>1</v>
      </c>
      <c r="D129" s="2">
        <v>3.61</v>
      </c>
      <c r="E129" s="2">
        <v>0</v>
      </c>
      <c r="F129" s="2">
        <f>(0.5/0.32)*D129</f>
        <v>5.640625</v>
      </c>
      <c r="G129" s="2">
        <f>(0.5/0.32)*E129</f>
        <v>0</v>
      </c>
      <c r="H129" s="1">
        <f>100*E129/D129</f>
        <v>0</v>
      </c>
    </row>
    <row r="130" spans="1:8" x14ac:dyDescent="0.2">
      <c r="B130">
        <v>34</v>
      </c>
      <c r="C130">
        <v>2</v>
      </c>
      <c r="D130" s="2">
        <v>3.0609999999999999</v>
      </c>
      <c r="E130" s="2">
        <v>0</v>
      </c>
      <c r="F130" s="2">
        <f>(0.5/0.32)*D130</f>
        <v>4.7828125000000004</v>
      </c>
      <c r="G130" s="2">
        <f>(0.5/0.32)*E130</f>
        <v>0</v>
      </c>
      <c r="H130" s="1">
        <f>100*E130/D130</f>
        <v>0</v>
      </c>
    </row>
    <row r="131" spans="1:8" x14ac:dyDescent="0.2">
      <c r="B131">
        <v>35</v>
      </c>
      <c r="C131">
        <v>3</v>
      </c>
      <c r="D131" s="2">
        <v>2.0750000000000002</v>
      </c>
      <c r="E131" s="2">
        <v>0</v>
      </c>
      <c r="F131" s="2">
        <f>(0.5/0.32)*D131</f>
        <v>3.2421875000000004</v>
      </c>
      <c r="G131" s="2">
        <f>(0.5/0.32)*E131</f>
        <v>0</v>
      </c>
      <c r="H131" s="1">
        <f>100*E131/D131</f>
        <v>0</v>
      </c>
    </row>
    <row r="132" spans="1:8" x14ac:dyDescent="0.2">
      <c r="B132">
        <v>36</v>
      </c>
      <c r="C132">
        <v>4</v>
      </c>
      <c r="D132" s="2">
        <v>1.615</v>
      </c>
      <c r="E132" s="2">
        <v>0.39900000000000002</v>
      </c>
      <c r="F132" s="2">
        <f>(0.5/0.32)*D132</f>
        <v>2.5234375</v>
      </c>
      <c r="G132" s="2">
        <f>(0.5/0.32)*E132</f>
        <v>0.62343750000000009</v>
      </c>
      <c r="H132" s="1">
        <f>100*E132/D132</f>
        <v>24.705882352941181</v>
      </c>
    </row>
    <row r="133" spans="1:8" x14ac:dyDescent="0.2">
      <c r="B133">
        <v>37</v>
      </c>
      <c r="C133">
        <v>5</v>
      </c>
      <c r="D133" s="2">
        <v>3.3889999999999998</v>
      </c>
      <c r="E133" s="2">
        <v>0</v>
      </c>
      <c r="F133" s="2">
        <f>(0.5/0.32)*D133</f>
        <v>5.2953124999999996</v>
      </c>
      <c r="G133" s="2">
        <f>(0.5/0.32)*E133</f>
        <v>0</v>
      </c>
      <c r="H133" s="1">
        <f>100*E133/D133</f>
        <v>0</v>
      </c>
    </row>
    <row r="134" spans="1:8" x14ac:dyDescent="0.2">
      <c r="B134">
        <v>38</v>
      </c>
      <c r="C134">
        <v>6</v>
      </c>
      <c r="D134" s="2">
        <v>2.3940000000000001</v>
      </c>
      <c r="E134" s="2">
        <v>0</v>
      </c>
      <c r="F134" s="2">
        <f>(0.5/0.32)*D134</f>
        <v>3.7406250000000001</v>
      </c>
      <c r="G134" s="2">
        <f>(0.5/0.32)*E134</f>
        <v>0</v>
      </c>
      <c r="H134" s="1">
        <f>100*E134/D134</f>
        <v>0</v>
      </c>
    </row>
    <row r="135" spans="1:8" x14ac:dyDescent="0.2">
      <c r="B135">
        <v>39</v>
      </c>
      <c r="C135">
        <v>7</v>
      </c>
      <c r="D135" s="2">
        <v>1.6719999999999999</v>
      </c>
      <c r="E135" s="2">
        <v>0.16800000000000001</v>
      </c>
      <c r="F135" s="2">
        <f>(0.5/0.32)*D135</f>
        <v>2.6124999999999998</v>
      </c>
      <c r="G135" s="2">
        <f>(0.5/0.32)*E135</f>
        <v>0.26250000000000001</v>
      </c>
      <c r="H135" s="1">
        <f>100*E135/D135</f>
        <v>10.047846889952154</v>
      </c>
    </row>
    <row r="136" spans="1:8" x14ac:dyDescent="0.2">
      <c r="A136" t="s">
        <v>58</v>
      </c>
      <c r="B136">
        <v>40</v>
      </c>
      <c r="C136">
        <v>1</v>
      </c>
      <c r="D136" s="2">
        <v>4.407</v>
      </c>
      <c r="E136" s="2">
        <v>0</v>
      </c>
      <c r="F136" s="2">
        <f>(0.5/0.32)*D136</f>
        <v>6.8859374999999998</v>
      </c>
      <c r="G136" s="2">
        <f>(0.5/0.32)*E136</f>
        <v>0</v>
      </c>
      <c r="H136" s="1">
        <f>100*E136/D136</f>
        <v>0</v>
      </c>
    </row>
    <row r="137" spans="1:8" x14ac:dyDescent="0.2">
      <c r="B137">
        <v>41</v>
      </c>
      <c r="C137">
        <v>2</v>
      </c>
      <c r="D137" s="2">
        <v>2.4239999999999999</v>
      </c>
      <c r="E137" s="2">
        <v>0.254</v>
      </c>
      <c r="F137" s="2">
        <f>(0.5/0.32)*D137</f>
        <v>3.7875000000000001</v>
      </c>
      <c r="G137" s="2">
        <f>(0.5/0.32)*E137</f>
        <v>0.39687499999999998</v>
      </c>
      <c r="H137" s="1">
        <f>100*E137/D137</f>
        <v>10.478547854785479</v>
      </c>
    </row>
    <row r="138" spans="1:8" x14ac:dyDescent="0.2">
      <c r="B138">
        <v>42</v>
      </c>
      <c r="C138">
        <v>3</v>
      </c>
      <c r="D138" s="2">
        <v>2.3540000000000001</v>
      </c>
      <c r="E138" s="2">
        <v>0</v>
      </c>
      <c r="F138" s="2">
        <f>(0.5/0.32)*D138</f>
        <v>3.6781250000000001</v>
      </c>
      <c r="G138" s="2">
        <f>(0.5/0.32)*E138</f>
        <v>0</v>
      </c>
      <c r="H138" s="1">
        <f>100*E138/D138</f>
        <v>0</v>
      </c>
    </row>
    <row r="139" spans="1:8" x14ac:dyDescent="0.2">
      <c r="B139">
        <v>43</v>
      </c>
      <c r="C139">
        <v>4</v>
      </c>
      <c r="D139" s="2">
        <v>1.4450000000000001</v>
      </c>
      <c r="E139" s="2">
        <v>0</v>
      </c>
      <c r="F139" s="2">
        <f>(0.5/0.32)*D139</f>
        <v>2.2578125</v>
      </c>
      <c r="G139" s="2">
        <f>(0.5/0.32)*E139</f>
        <v>0</v>
      </c>
      <c r="H139" s="1">
        <f>100*E139/D139</f>
        <v>0</v>
      </c>
    </row>
    <row r="140" spans="1:8" x14ac:dyDescent="0.2">
      <c r="B140">
        <v>44</v>
      </c>
      <c r="C140">
        <v>5</v>
      </c>
      <c r="D140" s="2">
        <v>1.88</v>
      </c>
      <c r="E140" s="2">
        <v>0</v>
      </c>
      <c r="F140" s="2">
        <f>(0.5/0.32)*D140</f>
        <v>2.9375</v>
      </c>
      <c r="G140" s="2">
        <f>(0.5/0.32)*E140</f>
        <v>0</v>
      </c>
      <c r="H140" s="1">
        <f>100*E140/D140</f>
        <v>0</v>
      </c>
    </row>
    <row r="141" spans="1:8" x14ac:dyDescent="0.2">
      <c r="B141">
        <v>45</v>
      </c>
      <c r="C141">
        <v>6</v>
      </c>
      <c r="D141" s="2">
        <v>2.9929999999999999</v>
      </c>
      <c r="E141" s="2">
        <v>0</v>
      </c>
      <c r="F141" s="2">
        <f>(0.5/0.32)*D141</f>
        <v>4.6765625000000002</v>
      </c>
      <c r="G141" s="2">
        <f>(0.5/0.32)*E141</f>
        <v>0</v>
      </c>
      <c r="H141" s="1">
        <f>100*E141/D141</f>
        <v>0</v>
      </c>
    </row>
    <row r="142" spans="1:8" x14ac:dyDescent="0.2">
      <c r="B142">
        <v>46</v>
      </c>
      <c r="C142">
        <v>7</v>
      </c>
      <c r="D142" s="2">
        <v>5.6349999999999998</v>
      </c>
      <c r="E142" s="2">
        <v>0</v>
      </c>
      <c r="F142" s="2">
        <f>(0.5/0.32)*D142</f>
        <v>8.8046875</v>
      </c>
      <c r="G142" s="2">
        <f>(0.5/0.32)*E142</f>
        <v>0</v>
      </c>
      <c r="H142" s="1">
        <f>100*E142/D142</f>
        <v>0</v>
      </c>
    </row>
    <row r="143" spans="1:8" x14ac:dyDescent="0.2">
      <c r="B143">
        <v>47</v>
      </c>
      <c r="C143">
        <v>8</v>
      </c>
      <c r="D143" s="2">
        <v>3.4359999999999999</v>
      </c>
      <c r="E143" s="2">
        <v>0</v>
      </c>
      <c r="F143" s="2">
        <f>(0.5/0.32)*D143</f>
        <v>5.3687500000000004</v>
      </c>
      <c r="G143" s="2">
        <f>(0.5/0.32)*E143</f>
        <v>0</v>
      </c>
      <c r="H143" s="1">
        <f>100*E143/D143</f>
        <v>0</v>
      </c>
    </row>
    <row r="144" spans="1:8" x14ac:dyDescent="0.2">
      <c r="B144">
        <v>48</v>
      </c>
      <c r="C144">
        <v>9</v>
      </c>
      <c r="D144" s="2">
        <v>4.2770000000000001</v>
      </c>
      <c r="E144" s="2">
        <v>0</v>
      </c>
      <c r="F144" s="2">
        <f>(0.5/0.32)*D144</f>
        <v>6.6828124999999998</v>
      </c>
      <c r="G144" s="2">
        <f>(0.5/0.32)*E144</f>
        <v>0</v>
      </c>
      <c r="H144" s="1">
        <f>100*E144/D144</f>
        <v>0</v>
      </c>
    </row>
    <row r="145" spans="1:8" x14ac:dyDescent="0.2">
      <c r="B145">
        <v>49</v>
      </c>
      <c r="C145">
        <v>10</v>
      </c>
      <c r="D145" s="2">
        <v>1.4450000000000001</v>
      </c>
      <c r="E145" s="2">
        <v>0</v>
      </c>
      <c r="F145" s="2">
        <f>(0.5/0.32)*D145</f>
        <v>2.2578125</v>
      </c>
      <c r="G145" s="2">
        <f>(0.5/0.32)*E145</f>
        <v>0</v>
      </c>
      <c r="H145" s="1">
        <f>100*E145/D145</f>
        <v>0</v>
      </c>
    </row>
    <row r="146" spans="1:8" x14ac:dyDescent="0.2">
      <c r="B146">
        <v>50</v>
      </c>
      <c r="C146">
        <v>11</v>
      </c>
      <c r="D146" s="2">
        <v>1.3280000000000001</v>
      </c>
      <c r="E146" s="2">
        <v>0</v>
      </c>
      <c r="F146" s="2">
        <f>(0.5/0.32)*D146</f>
        <v>2.0750000000000002</v>
      </c>
      <c r="G146" s="2">
        <f>(0.5/0.32)*E146</f>
        <v>0</v>
      </c>
      <c r="H146" s="1">
        <f>100*E146/D146</f>
        <v>0</v>
      </c>
    </row>
    <row r="147" spans="1:8" x14ac:dyDescent="0.2">
      <c r="A147" t="s">
        <v>57</v>
      </c>
      <c r="B147">
        <v>51</v>
      </c>
      <c r="C147">
        <v>1</v>
      </c>
      <c r="D147" s="2">
        <v>3.1230000000000002</v>
      </c>
      <c r="E147" s="2">
        <v>0</v>
      </c>
      <c r="F147" s="2">
        <f>(0.5/0.32)*D147</f>
        <v>4.8796875000000002</v>
      </c>
      <c r="G147" s="2">
        <f>(0.5/0.32)*E147</f>
        <v>0</v>
      </c>
      <c r="H147" s="1">
        <f>100*E147/D147</f>
        <v>0</v>
      </c>
    </row>
    <row r="148" spans="1:8" x14ac:dyDescent="0.2">
      <c r="B148">
        <v>52</v>
      </c>
      <c r="C148">
        <v>2</v>
      </c>
      <c r="D148" s="2">
        <v>1.5860000000000001</v>
      </c>
      <c r="E148" s="2">
        <v>0</v>
      </c>
      <c r="F148" s="2">
        <f>(0.5/0.32)*D148</f>
        <v>2.4781249999999999</v>
      </c>
      <c r="G148" s="2">
        <f>(0.5/0.32)*E148</f>
        <v>0</v>
      </c>
      <c r="H148" s="1">
        <f>100*E148/D148</f>
        <v>0</v>
      </c>
    </row>
    <row r="149" spans="1:8" x14ac:dyDescent="0.2">
      <c r="B149">
        <v>53</v>
      </c>
      <c r="C149">
        <v>3</v>
      </c>
      <c r="D149" s="2">
        <v>1.8440000000000001</v>
      </c>
      <c r="E149" s="2">
        <v>0</v>
      </c>
      <c r="F149" s="2">
        <f>(0.5/0.32)*D149</f>
        <v>2.8812500000000001</v>
      </c>
      <c r="G149" s="2">
        <f>(0.5/0.32)*E149</f>
        <v>0</v>
      </c>
      <c r="H149" s="1">
        <f>100*E149/D149</f>
        <v>0</v>
      </c>
    </row>
    <row r="150" spans="1:8" x14ac:dyDescent="0.2">
      <c r="B150">
        <v>54</v>
      </c>
      <c r="C150">
        <v>4</v>
      </c>
      <c r="D150" s="2">
        <v>3.1459999999999999</v>
      </c>
      <c r="E150" s="2">
        <v>0.42399999999999999</v>
      </c>
      <c r="F150" s="2">
        <f>(0.5/0.32)*D150</f>
        <v>4.9156249999999995</v>
      </c>
      <c r="G150" s="2">
        <f>(0.5/0.32)*E150</f>
        <v>0.66249999999999998</v>
      </c>
      <c r="H150" s="1">
        <f>100*E150/D150</f>
        <v>13.477431659249842</v>
      </c>
    </row>
    <row r="151" spans="1:8" x14ac:dyDescent="0.2">
      <c r="B151">
        <v>55</v>
      </c>
      <c r="C151">
        <v>5</v>
      </c>
      <c r="D151" s="2">
        <v>2.4550000000000001</v>
      </c>
      <c r="E151" s="2">
        <v>0.247</v>
      </c>
      <c r="F151" s="2">
        <f>(0.5/0.32)*D151</f>
        <v>3.8359375</v>
      </c>
      <c r="G151" s="2">
        <f>(0.5/0.32)*E151</f>
        <v>0.38593749999999999</v>
      </c>
      <c r="H151" s="1">
        <f>100*E151/D151</f>
        <v>10.061099796334013</v>
      </c>
    </row>
    <row r="152" spans="1:8" x14ac:dyDescent="0.2">
      <c r="B152">
        <v>56</v>
      </c>
      <c r="C152">
        <v>6</v>
      </c>
      <c r="D152" s="2">
        <v>2.3290000000000002</v>
      </c>
      <c r="E152" s="2">
        <v>0</v>
      </c>
      <c r="F152" s="2">
        <f>(0.5/0.32)*D152</f>
        <v>3.6390625000000001</v>
      </c>
      <c r="G152" s="2">
        <f>(0.5/0.32)*E152</f>
        <v>0</v>
      </c>
      <c r="H152" s="1">
        <f>100*E152/D152</f>
        <v>0</v>
      </c>
    </row>
    <row r="153" spans="1:8" x14ac:dyDescent="0.2">
      <c r="A153" t="s">
        <v>56</v>
      </c>
      <c r="B153">
        <v>57</v>
      </c>
      <c r="C153">
        <v>1</v>
      </c>
      <c r="D153" s="2">
        <v>4.4749999999999996</v>
      </c>
      <c r="E153" s="2">
        <v>0.32</v>
      </c>
      <c r="F153" s="2">
        <f>(0.5/0.32)*D153</f>
        <v>6.9921874999999991</v>
      </c>
      <c r="G153" s="2">
        <f>(0.5/0.32)*E153</f>
        <v>0.5</v>
      </c>
      <c r="H153" s="1">
        <f>100*E153/D153</f>
        <v>7.1508379888268161</v>
      </c>
    </row>
    <row r="154" spans="1:8" x14ac:dyDescent="0.2">
      <c r="B154">
        <v>58</v>
      </c>
      <c r="C154">
        <v>2</v>
      </c>
      <c r="D154" s="2">
        <v>1.4670000000000001</v>
      </c>
      <c r="E154" s="2">
        <v>0</v>
      </c>
      <c r="F154" s="2">
        <f>(0.5/0.32)*D154</f>
        <v>2.2921875000000003</v>
      </c>
      <c r="G154" s="2">
        <f>(0.5/0.32)*E154</f>
        <v>0</v>
      </c>
      <c r="H154" s="1">
        <f>100*E154/D154</f>
        <v>0</v>
      </c>
    </row>
    <row r="155" spans="1:8" x14ac:dyDescent="0.2">
      <c r="B155">
        <v>59</v>
      </c>
      <c r="C155">
        <v>3</v>
      </c>
      <c r="D155" s="2">
        <v>2.9580000000000002</v>
      </c>
      <c r="E155" s="2">
        <v>0.17899999999999999</v>
      </c>
      <c r="F155" s="2">
        <f>(0.5/0.32)*D155</f>
        <v>4.6218750000000002</v>
      </c>
      <c r="G155" s="2">
        <f>(0.5/0.32)*E155</f>
        <v>0.27968749999999998</v>
      </c>
      <c r="H155" s="1">
        <f>100*E155/D155</f>
        <v>6.0513860716700467</v>
      </c>
    </row>
    <row r="156" spans="1:8" x14ac:dyDescent="0.2">
      <c r="B156">
        <v>60</v>
      </c>
      <c r="C156">
        <v>4</v>
      </c>
      <c r="D156" s="2">
        <v>2.5150000000000001</v>
      </c>
      <c r="E156" s="2">
        <v>0.42699999999999999</v>
      </c>
      <c r="F156" s="2">
        <f>(0.5/0.32)*D156</f>
        <v>3.9296875</v>
      </c>
      <c r="G156" s="2">
        <f>(0.5/0.32)*E156</f>
        <v>0.66718749999999993</v>
      </c>
      <c r="H156" s="1">
        <f>100*E156/D156</f>
        <v>16.978131212723657</v>
      </c>
    </row>
    <row r="157" spans="1:8" x14ac:dyDescent="0.2">
      <c r="B157">
        <v>61</v>
      </c>
      <c r="C157">
        <v>5</v>
      </c>
      <c r="D157" s="2">
        <v>1.9450000000000001</v>
      </c>
      <c r="E157" s="2">
        <v>0</v>
      </c>
      <c r="F157" s="2">
        <f>(0.5/0.32)*D157</f>
        <v>3.0390625</v>
      </c>
      <c r="G157" s="2">
        <f>(0.5/0.32)*E157</f>
        <v>0</v>
      </c>
      <c r="H157" s="1">
        <f>100*E157/D157</f>
        <v>0</v>
      </c>
    </row>
    <row r="158" spans="1:8" x14ac:dyDescent="0.2">
      <c r="B158">
        <v>62</v>
      </c>
      <c r="C158">
        <v>6</v>
      </c>
      <c r="D158" s="2">
        <v>3.129</v>
      </c>
      <c r="E158" s="2">
        <v>0</v>
      </c>
      <c r="F158" s="2">
        <f>(0.5/0.32)*D158</f>
        <v>4.8890624999999996</v>
      </c>
      <c r="G158" s="2">
        <f>(0.5/0.32)*E158</f>
        <v>0</v>
      </c>
      <c r="H158" s="1">
        <f>100*E158/D158</f>
        <v>0</v>
      </c>
    </row>
    <row r="159" spans="1:8" x14ac:dyDescent="0.2">
      <c r="B159">
        <v>63</v>
      </c>
      <c r="C159">
        <v>7</v>
      </c>
      <c r="D159" s="2">
        <v>1.7030000000000001</v>
      </c>
      <c r="E159" s="2">
        <v>0</v>
      </c>
      <c r="F159" s="2">
        <f>(0.5/0.32)*D159</f>
        <v>2.6609375000000002</v>
      </c>
      <c r="G159" s="2">
        <f>(0.5/0.32)*E159</f>
        <v>0</v>
      </c>
      <c r="H159" s="1">
        <f>100*E159/D159</f>
        <v>0</v>
      </c>
    </row>
    <row r="160" spans="1:8" x14ac:dyDescent="0.2">
      <c r="B160">
        <v>64</v>
      </c>
      <c r="C160">
        <v>8</v>
      </c>
      <c r="D160" s="2">
        <v>1.6319999999999999</v>
      </c>
      <c r="E160" s="2">
        <v>0</v>
      </c>
      <c r="F160" s="2">
        <f>(0.5/0.32)*D160</f>
        <v>2.5499999999999998</v>
      </c>
      <c r="G160" s="2">
        <f>(0.5/0.32)*E160</f>
        <v>0</v>
      </c>
      <c r="H160" s="1">
        <f>100*E160/D160</f>
        <v>0</v>
      </c>
    </row>
    <row r="161" spans="1:8" x14ac:dyDescent="0.2">
      <c r="B161">
        <v>65</v>
      </c>
      <c r="C161">
        <v>9</v>
      </c>
      <c r="D161" s="2">
        <v>4.1669999999999998</v>
      </c>
      <c r="E161" s="2">
        <f>0.444+0.281</f>
        <v>0.72500000000000009</v>
      </c>
      <c r="F161" s="2">
        <f>(0.5/0.32)*D161</f>
        <v>6.5109374999999998</v>
      </c>
      <c r="G161" s="2">
        <f>(0.5/0.32)*E161</f>
        <v>1.1328125000000002</v>
      </c>
      <c r="H161" s="1">
        <f>100*E161/D161</f>
        <v>17.398608111351095</v>
      </c>
    </row>
    <row r="162" spans="1:8" x14ac:dyDescent="0.2">
      <c r="B162">
        <v>66</v>
      </c>
      <c r="C162">
        <v>10</v>
      </c>
      <c r="D162" s="2">
        <v>1.9490000000000001</v>
      </c>
      <c r="E162" s="2">
        <v>0</v>
      </c>
      <c r="F162" s="2">
        <f>(0.5/0.32)*D162</f>
        <v>3.0453125000000001</v>
      </c>
      <c r="G162" s="2">
        <f>(0.5/0.32)*E162</f>
        <v>0</v>
      </c>
      <c r="H162" s="1">
        <f>100*E162/D162</f>
        <v>0</v>
      </c>
    </row>
    <row r="163" spans="1:8" x14ac:dyDescent="0.2">
      <c r="B163">
        <v>67</v>
      </c>
      <c r="C163">
        <v>11</v>
      </c>
      <c r="D163" s="2">
        <v>2.12</v>
      </c>
      <c r="E163" s="2">
        <v>0</v>
      </c>
      <c r="F163" s="2">
        <f>(0.5/0.32)*D163</f>
        <v>3.3125</v>
      </c>
      <c r="G163" s="2">
        <f>(0.5/0.32)*E163</f>
        <v>0</v>
      </c>
      <c r="H163" s="1">
        <f>100*E163/D163</f>
        <v>0</v>
      </c>
    </row>
    <row r="164" spans="1:8" x14ac:dyDescent="0.2">
      <c r="B164">
        <v>68</v>
      </c>
      <c r="C164">
        <v>12</v>
      </c>
      <c r="D164" s="2">
        <v>1.722</v>
      </c>
      <c r="E164" s="2">
        <f>0.331+0.816</f>
        <v>1.147</v>
      </c>
      <c r="F164" s="2">
        <f>(0.5/0.32)*D164</f>
        <v>2.6906249999999998</v>
      </c>
      <c r="G164" s="2">
        <f>(0.5/0.32)*E164</f>
        <v>1.7921875</v>
      </c>
      <c r="H164" s="1">
        <f>100*E164/D164</f>
        <v>66.60859465737515</v>
      </c>
    </row>
    <row r="165" spans="1:8" x14ac:dyDescent="0.2">
      <c r="A165" t="s">
        <v>55</v>
      </c>
      <c r="B165">
        <v>69</v>
      </c>
      <c r="C165">
        <v>1</v>
      </c>
      <c r="D165" s="2">
        <v>1.7869999999999999</v>
      </c>
      <c r="E165" s="2">
        <f>0.463+0.345</f>
        <v>0.80800000000000005</v>
      </c>
      <c r="F165" s="2">
        <f>(0.5/0.32)*D165</f>
        <v>2.7921874999999998</v>
      </c>
      <c r="G165" s="2">
        <f>(0.5/0.32)*E165</f>
        <v>1.2625000000000002</v>
      </c>
      <c r="H165" s="1">
        <f>100*E165/D165</f>
        <v>45.215444879686636</v>
      </c>
    </row>
    <row r="166" spans="1:8" x14ac:dyDescent="0.2">
      <c r="B166">
        <v>70</v>
      </c>
      <c r="C166">
        <v>2</v>
      </c>
      <c r="D166" s="2">
        <v>1.8089999999999999</v>
      </c>
      <c r="E166" s="2">
        <v>0.48</v>
      </c>
      <c r="F166" s="2">
        <f>(0.5/0.32)*D166</f>
        <v>2.8265625000000001</v>
      </c>
      <c r="G166" s="2">
        <f>(0.5/0.32)*E166</f>
        <v>0.75</v>
      </c>
      <c r="H166" s="1">
        <f>100*E166/D166</f>
        <v>26.533996683250415</v>
      </c>
    </row>
    <row r="167" spans="1:8" x14ac:dyDescent="0.2">
      <c r="B167">
        <v>71</v>
      </c>
      <c r="C167">
        <v>3</v>
      </c>
      <c r="D167" s="2">
        <v>1.877</v>
      </c>
      <c r="E167" s="2">
        <v>7.5999999999999998E-2</v>
      </c>
      <c r="F167" s="2">
        <f>(0.5/0.32)*D167</f>
        <v>2.9328124999999998</v>
      </c>
      <c r="G167" s="2">
        <f>(0.5/0.32)*E167</f>
        <v>0.11874999999999999</v>
      </c>
      <c r="H167" s="1">
        <f>100*E167/D167</f>
        <v>4.049014384656366</v>
      </c>
    </row>
    <row r="168" spans="1:8" x14ac:dyDescent="0.2">
      <c r="B168">
        <v>72</v>
      </c>
      <c r="C168">
        <v>4</v>
      </c>
      <c r="D168" s="2">
        <f>2.714+0.317</f>
        <v>3.0310000000000001</v>
      </c>
      <c r="E168" s="2">
        <f>0.868+0.642</f>
        <v>1.51</v>
      </c>
      <c r="F168" s="2">
        <f>(0.5/0.32)*D168</f>
        <v>4.7359375000000004</v>
      </c>
      <c r="G168" s="2">
        <f>(0.5/0.32)*E168</f>
        <v>2.359375</v>
      </c>
      <c r="H168" s="1">
        <f>100*E168/D168</f>
        <v>49.818541735400856</v>
      </c>
    </row>
    <row r="169" spans="1:8" x14ac:dyDescent="0.2">
      <c r="B169">
        <v>73</v>
      </c>
      <c r="C169">
        <v>5</v>
      </c>
      <c r="D169" s="2">
        <v>2.4980000000000002</v>
      </c>
      <c r="E169" s="2">
        <f>0.183+0.275</f>
        <v>0.45800000000000002</v>
      </c>
      <c r="F169" s="2">
        <f>(0.5/0.32)*D169</f>
        <v>3.9031250000000002</v>
      </c>
      <c r="G169" s="2">
        <f>(0.5/0.32)*E169</f>
        <v>0.71562500000000007</v>
      </c>
      <c r="H169" s="1">
        <f>100*E169/D169</f>
        <v>18.334667734187349</v>
      </c>
    </row>
    <row r="170" spans="1:8" x14ac:dyDescent="0.2">
      <c r="B170">
        <v>74</v>
      </c>
      <c r="C170">
        <v>6</v>
      </c>
      <c r="D170" s="2">
        <v>4.7249999999999996</v>
      </c>
      <c r="E170" s="2">
        <v>0.71299999999999997</v>
      </c>
      <c r="F170" s="2">
        <f>(0.5/0.32)*D170</f>
        <v>7.3828124999999991</v>
      </c>
      <c r="G170" s="2">
        <f>(0.5/0.32)*E170</f>
        <v>1.1140625</v>
      </c>
      <c r="H170" s="1">
        <f>100*E170/D170</f>
        <v>15.08994708994709</v>
      </c>
    </row>
    <row r="171" spans="1:8" x14ac:dyDescent="0.2">
      <c r="B171">
        <v>75</v>
      </c>
      <c r="C171">
        <v>7</v>
      </c>
      <c r="D171" s="2">
        <v>1.38</v>
      </c>
      <c r="E171" s="2">
        <v>0</v>
      </c>
      <c r="F171" s="2">
        <f>(0.5/0.32)*D171</f>
        <v>2.15625</v>
      </c>
      <c r="G171" s="2">
        <f>(0.5/0.32)*E171</f>
        <v>0</v>
      </c>
      <c r="H171" s="1">
        <f>100*E171/D171</f>
        <v>0</v>
      </c>
    </row>
    <row r="172" spans="1:8" x14ac:dyDescent="0.2">
      <c r="B172">
        <v>76</v>
      </c>
      <c r="C172">
        <v>8</v>
      </c>
      <c r="D172" s="2">
        <v>1.6839999999999999</v>
      </c>
      <c r="E172" s="2">
        <v>0.28699999999999998</v>
      </c>
      <c r="F172" s="2">
        <f>(0.5/0.32)*D172</f>
        <v>2.6312500000000001</v>
      </c>
      <c r="G172" s="2">
        <f>(0.5/0.32)*E172</f>
        <v>0.44843749999999999</v>
      </c>
      <c r="H172" s="1">
        <f>100*E172/D172</f>
        <v>17.042755344418051</v>
      </c>
    </row>
    <row r="173" spans="1:8" x14ac:dyDescent="0.2">
      <c r="B173">
        <v>77</v>
      </c>
      <c r="C173">
        <v>9</v>
      </c>
      <c r="D173" s="2">
        <v>1.6870000000000001</v>
      </c>
      <c r="E173" s="2">
        <v>0</v>
      </c>
      <c r="F173" s="2">
        <f>(0.5/0.32)*D173</f>
        <v>2.6359375000000003</v>
      </c>
      <c r="G173" s="2">
        <f>(0.5/0.32)*E173</f>
        <v>0</v>
      </c>
      <c r="H173" s="1">
        <f>100*E173/D173</f>
        <v>0</v>
      </c>
    </row>
    <row r="174" spans="1:8" x14ac:dyDescent="0.2">
      <c r="B174">
        <v>78</v>
      </c>
      <c r="C174">
        <v>10</v>
      </c>
      <c r="D174" s="2">
        <v>2.278</v>
      </c>
      <c r="E174" s="2">
        <v>0.20200000000000001</v>
      </c>
      <c r="F174" s="2">
        <f>(0.5/0.32)*D174</f>
        <v>3.5593750000000002</v>
      </c>
      <c r="G174" s="2">
        <f>(0.5/0.32)*E174</f>
        <v>0.31562500000000004</v>
      </c>
      <c r="H174" s="1">
        <f>100*E174/D174</f>
        <v>8.8674275680421442</v>
      </c>
    </row>
    <row r="175" spans="1:8" x14ac:dyDescent="0.2">
      <c r="B175">
        <v>79</v>
      </c>
      <c r="C175">
        <v>11</v>
      </c>
      <c r="D175" s="2">
        <v>1.3069999999999999</v>
      </c>
      <c r="E175" s="2">
        <v>0.26800000000000002</v>
      </c>
      <c r="F175" s="2">
        <f>(0.5/0.32)*D175</f>
        <v>2.0421874999999998</v>
      </c>
      <c r="G175" s="2">
        <f>(0.5/0.32)*E175</f>
        <v>0.41875000000000001</v>
      </c>
      <c r="H175" s="1">
        <f>100*E175/D175</f>
        <v>20.504973221117062</v>
      </c>
    </row>
    <row r="176" spans="1:8" x14ac:dyDescent="0.2">
      <c r="B176">
        <v>80</v>
      </c>
      <c r="C176">
        <v>12</v>
      </c>
      <c r="D176" s="2">
        <v>1.8779999999999999</v>
      </c>
      <c r="E176" s="2">
        <v>0</v>
      </c>
      <c r="F176" s="2">
        <f>(0.5/0.32)*D176</f>
        <v>2.9343749999999997</v>
      </c>
      <c r="G176" s="2">
        <f>(0.5/0.32)*E176</f>
        <v>0</v>
      </c>
      <c r="H176" s="1">
        <f>100*E176/D176</f>
        <v>0</v>
      </c>
    </row>
    <row r="177" spans="1:8" x14ac:dyDescent="0.2">
      <c r="A177" t="s">
        <v>54</v>
      </c>
      <c r="B177">
        <v>81</v>
      </c>
      <c r="C177" t="s">
        <v>39</v>
      </c>
      <c r="D177" s="2">
        <v>2.931</v>
      </c>
      <c r="E177" s="2">
        <v>0.157</v>
      </c>
      <c r="F177" s="2">
        <f>(0.5/0.32)*D177</f>
        <v>4.5796875000000004</v>
      </c>
      <c r="G177" s="2">
        <f>(0.5/0.32)*E177</f>
        <v>0.24531249999999999</v>
      </c>
      <c r="H177" s="1">
        <f>100*E177/D177</f>
        <v>5.3565336062777202</v>
      </c>
    </row>
    <row r="178" spans="1:8" x14ac:dyDescent="0.2">
      <c r="B178">
        <v>82</v>
      </c>
      <c r="C178" t="s">
        <v>38</v>
      </c>
      <c r="D178" s="2">
        <v>1.869</v>
      </c>
      <c r="E178" s="2">
        <v>0</v>
      </c>
      <c r="F178" s="2">
        <f>(0.5/0.32)*D178</f>
        <v>2.9203125000000001</v>
      </c>
      <c r="G178" s="2">
        <f>(0.5/0.32)*E178</f>
        <v>0</v>
      </c>
      <c r="H178" s="1">
        <f>100*E178/D178</f>
        <v>0</v>
      </c>
    </row>
    <row r="179" spans="1:8" x14ac:dyDescent="0.2">
      <c r="A179" t="s">
        <v>53</v>
      </c>
      <c r="B179">
        <v>83</v>
      </c>
      <c r="C179">
        <v>1</v>
      </c>
      <c r="D179" s="2">
        <v>3.7909999999999999</v>
      </c>
      <c r="E179" s="2">
        <v>0.33100000000000002</v>
      </c>
      <c r="F179" s="2">
        <f>(0.5/0.32)*D179</f>
        <v>5.9234374999999995</v>
      </c>
      <c r="G179" s="2">
        <f>(0.5/0.32)*E179</f>
        <v>0.51718750000000002</v>
      </c>
      <c r="H179" s="1">
        <f>100*E179/D179</f>
        <v>8.7312054866789772</v>
      </c>
    </row>
    <row r="180" spans="1:8" x14ac:dyDescent="0.2">
      <c r="B180">
        <v>84</v>
      </c>
      <c r="C180">
        <v>2</v>
      </c>
      <c r="D180" s="2">
        <v>2.0649999999999999</v>
      </c>
      <c r="E180" s="2">
        <v>0.77</v>
      </c>
      <c r="F180" s="2">
        <f>(0.5/0.32)*D180</f>
        <v>3.2265625</v>
      </c>
      <c r="G180" s="2">
        <f>(0.5/0.32)*E180</f>
        <v>1.203125</v>
      </c>
      <c r="H180" s="1">
        <f>100*E180/D180</f>
        <v>37.288135593220339</v>
      </c>
    </row>
    <row r="181" spans="1:8" x14ac:dyDescent="0.2">
      <c r="B181">
        <v>85</v>
      </c>
      <c r="C181">
        <v>3</v>
      </c>
      <c r="D181" s="2">
        <v>3.6070000000000002</v>
      </c>
      <c r="E181" s="2">
        <v>8.3000000000000004E-2</v>
      </c>
      <c r="F181" s="2">
        <f>(0.5/0.32)*D181</f>
        <v>5.6359375000000007</v>
      </c>
      <c r="G181" s="2">
        <f>(0.5/0.32)*E181</f>
        <v>0.12968750000000001</v>
      </c>
      <c r="H181" s="1">
        <f>100*E181/D181</f>
        <v>2.3010812309398392</v>
      </c>
    </row>
    <row r="182" spans="1:8" x14ac:dyDescent="0.2">
      <c r="B182">
        <v>86</v>
      </c>
      <c r="C182">
        <v>4</v>
      </c>
      <c r="D182" s="2">
        <v>2.6480000000000001</v>
      </c>
      <c r="E182" s="2">
        <v>0</v>
      </c>
      <c r="F182" s="2">
        <f>(0.5/0.32)*D182</f>
        <v>4.1375000000000002</v>
      </c>
      <c r="G182" s="2">
        <f>(0.5/0.32)*E182</f>
        <v>0</v>
      </c>
      <c r="H182" s="1">
        <f>100*E182/D182</f>
        <v>0</v>
      </c>
    </row>
    <row r="183" spans="1:8" x14ac:dyDescent="0.2">
      <c r="B183">
        <v>87</v>
      </c>
      <c r="C183">
        <v>5</v>
      </c>
      <c r="D183" s="2">
        <v>3.0680000000000001</v>
      </c>
      <c r="E183" s="2">
        <v>0.13900000000000001</v>
      </c>
      <c r="F183" s="2">
        <f>(0.5/0.32)*D183</f>
        <v>4.7937500000000002</v>
      </c>
      <c r="G183" s="2">
        <f>(0.5/0.32)*E183</f>
        <v>0.21718750000000003</v>
      </c>
      <c r="H183" s="1">
        <f>100*E183/D183</f>
        <v>4.5306388526727517</v>
      </c>
    </row>
    <row r="184" spans="1:8" x14ac:dyDescent="0.2">
      <c r="B184">
        <v>88</v>
      </c>
      <c r="C184">
        <v>6</v>
      </c>
      <c r="D184" s="2">
        <v>1.929</v>
      </c>
      <c r="E184" s="2">
        <v>0</v>
      </c>
      <c r="F184" s="2">
        <f>(0.5/0.32)*D184</f>
        <v>3.0140625000000001</v>
      </c>
      <c r="G184" s="2">
        <f>(0.5/0.32)*E184</f>
        <v>0</v>
      </c>
      <c r="H184" s="1">
        <f>100*E184/D184</f>
        <v>0</v>
      </c>
    </row>
    <row r="185" spans="1:8" x14ac:dyDescent="0.2">
      <c r="B185">
        <v>89</v>
      </c>
      <c r="C185">
        <v>7</v>
      </c>
      <c r="D185" s="2">
        <v>1.1160000000000001</v>
      </c>
      <c r="E185" s="2">
        <v>0</v>
      </c>
      <c r="F185" s="2">
        <f>(0.5/0.32)*D185</f>
        <v>1.7437500000000001</v>
      </c>
      <c r="G185" s="2">
        <f>(0.5/0.32)*E185</f>
        <v>0</v>
      </c>
      <c r="H185" s="1">
        <f>100*E185/D185</f>
        <v>0</v>
      </c>
    </row>
    <row r="186" spans="1:8" x14ac:dyDescent="0.2">
      <c r="B186">
        <v>90</v>
      </c>
      <c r="C186">
        <v>8</v>
      </c>
      <c r="D186" s="2">
        <v>1.9370000000000001</v>
      </c>
      <c r="E186" s="2">
        <v>0</v>
      </c>
      <c r="F186" s="2">
        <f>(0.5/0.32)*D186</f>
        <v>3.0265625000000003</v>
      </c>
      <c r="G186" s="2">
        <f>(0.5/0.32)*E186</f>
        <v>0</v>
      </c>
      <c r="H186" s="1">
        <f>100*E186/D186</f>
        <v>0</v>
      </c>
    </row>
    <row r="187" spans="1:8" x14ac:dyDescent="0.2">
      <c r="B187">
        <v>91</v>
      </c>
      <c r="C187">
        <v>9</v>
      </c>
      <c r="D187" s="2">
        <v>2.794</v>
      </c>
      <c r="E187" s="2">
        <v>0.17699999999999999</v>
      </c>
      <c r="F187" s="2">
        <f>(0.5/0.32)*D187</f>
        <v>4.3656249999999996</v>
      </c>
      <c r="G187" s="2">
        <f>(0.5/0.32)*E187</f>
        <v>0.27656249999999999</v>
      </c>
      <c r="H187" s="1">
        <f>100*E187/D187</f>
        <v>6.3350035790980668</v>
      </c>
    </row>
    <row r="188" spans="1:8" x14ac:dyDescent="0.2">
      <c r="B188">
        <v>92</v>
      </c>
      <c r="C188">
        <v>10</v>
      </c>
      <c r="D188" s="2">
        <v>1.7669999999999999</v>
      </c>
      <c r="E188" s="2">
        <v>0</v>
      </c>
      <c r="F188" s="2">
        <f>(0.5/0.32)*D188</f>
        <v>2.7609374999999998</v>
      </c>
      <c r="G188" s="2">
        <f>(0.5/0.32)*E188</f>
        <v>0</v>
      </c>
      <c r="H188" s="1">
        <f>100*E188/D188</f>
        <v>0</v>
      </c>
    </row>
    <row r="189" spans="1:8" x14ac:dyDescent="0.2">
      <c r="A189" t="s">
        <v>52</v>
      </c>
      <c r="B189">
        <v>93</v>
      </c>
      <c r="C189">
        <v>1</v>
      </c>
      <c r="D189" s="2">
        <v>3.8149999999999999</v>
      </c>
      <c r="E189" s="2">
        <v>0</v>
      </c>
      <c r="F189" s="2">
        <f>(0.5/0.32)*D189</f>
        <v>5.9609375</v>
      </c>
      <c r="G189" s="2">
        <f>(0.5/0.32)*E189</f>
        <v>0</v>
      </c>
      <c r="H189" s="1">
        <f>100*E189/D189</f>
        <v>0</v>
      </c>
    </row>
    <row r="190" spans="1:8" x14ac:dyDescent="0.2">
      <c r="B190">
        <v>94</v>
      </c>
      <c r="C190">
        <v>2</v>
      </c>
      <c r="D190" s="2">
        <v>1.1359999999999999</v>
      </c>
      <c r="E190" s="2">
        <v>0</v>
      </c>
      <c r="F190" s="2">
        <f>(0.5/0.32)*D190</f>
        <v>1.7749999999999999</v>
      </c>
      <c r="G190" s="2">
        <f>(0.5/0.32)*E190</f>
        <v>0</v>
      </c>
      <c r="H190" s="1">
        <f>100*E190/D190</f>
        <v>0</v>
      </c>
    </row>
    <row r="191" spans="1:8" x14ac:dyDescent="0.2">
      <c r="B191">
        <v>95</v>
      </c>
      <c r="C191">
        <v>3</v>
      </c>
      <c r="D191" s="2">
        <v>1.585</v>
      </c>
      <c r="E191" s="2">
        <v>0</v>
      </c>
      <c r="F191" s="2">
        <f>(0.5/0.32)*D191</f>
        <v>2.4765625</v>
      </c>
      <c r="G191" s="2">
        <f>(0.5/0.32)*E191</f>
        <v>0</v>
      </c>
      <c r="H191" s="1">
        <f>100*E191/D191</f>
        <v>0</v>
      </c>
    </row>
    <row r="192" spans="1:8" x14ac:dyDescent="0.2">
      <c r="B192">
        <v>96</v>
      </c>
      <c r="C192">
        <v>4</v>
      </c>
      <c r="D192" s="2">
        <v>1.7</v>
      </c>
      <c r="E192" s="2">
        <v>0.27200000000000002</v>
      </c>
      <c r="F192" s="2">
        <f>(0.5/0.32)*D192</f>
        <v>2.65625</v>
      </c>
      <c r="G192" s="2">
        <f>(0.5/0.32)*E192</f>
        <v>0.42500000000000004</v>
      </c>
      <c r="H192" s="1">
        <f>100*E192/D192</f>
        <v>16.000000000000004</v>
      </c>
    </row>
    <row r="193" spans="2:8" x14ac:dyDescent="0.2">
      <c r="B193">
        <v>97</v>
      </c>
      <c r="C193">
        <v>5</v>
      </c>
      <c r="D193" s="2">
        <v>1.736</v>
      </c>
      <c r="E193" s="2">
        <v>0.34599999999999997</v>
      </c>
      <c r="F193" s="2">
        <f>(0.5/0.32)*D193</f>
        <v>2.7124999999999999</v>
      </c>
      <c r="G193" s="2">
        <f>(0.5/0.32)*E193</f>
        <v>0.54062499999999991</v>
      </c>
      <c r="H193" s="1">
        <f>100*E193/D193</f>
        <v>19.930875576036865</v>
      </c>
    </row>
    <row r="194" spans="2:8" x14ac:dyDescent="0.2">
      <c r="B194">
        <v>98</v>
      </c>
      <c r="C194">
        <v>6</v>
      </c>
      <c r="D194" s="2">
        <v>2.1680000000000001</v>
      </c>
      <c r="E194" s="2">
        <v>0.46100000000000002</v>
      </c>
      <c r="F194" s="2">
        <f>(0.5/0.32)*D194</f>
        <v>3.3875000000000002</v>
      </c>
      <c r="G194" s="2">
        <f>(0.5/0.32)*E194</f>
        <v>0.72031250000000002</v>
      </c>
      <c r="H194" s="1">
        <f>100*E194/D194</f>
        <v>21.263837638376383</v>
      </c>
    </row>
    <row r="195" spans="2:8" x14ac:dyDescent="0.2">
      <c r="B195">
        <v>99</v>
      </c>
      <c r="C195">
        <v>7</v>
      </c>
      <c r="D195" s="2">
        <v>1.609</v>
      </c>
      <c r="E195" s="2">
        <v>0.154</v>
      </c>
      <c r="F195" s="2">
        <f>(0.5/0.32)*D195</f>
        <v>2.5140625000000001</v>
      </c>
      <c r="G195" s="2">
        <f>(0.5/0.32)*E195</f>
        <v>0.24062500000000001</v>
      </c>
      <c r="H195" s="1">
        <f>100*E195/D195</f>
        <v>9.5711622125543823</v>
      </c>
    </row>
    <row r="196" spans="2:8" x14ac:dyDescent="0.2">
      <c r="B196">
        <v>100</v>
      </c>
      <c r="C196">
        <v>8</v>
      </c>
      <c r="D196" s="2">
        <v>2.532</v>
      </c>
      <c r="E196" s="2">
        <v>0.33800000000000002</v>
      </c>
      <c r="F196" s="2">
        <f>(0.5/0.32)*D196</f>
        <v>3.9562499999999998</v>
      </c>
      <c r="G196" s="2">
        <f>(0.5/0.32)*E196</f>
        <v>0.52812500000000007</v>
      </c>
      <c r="H196" s="1">
        <f>100*E196/D196</f>
        <v>13.349131121642971</v>
      </c>
    </row>
    <row r="197" spans="2:8" x14ac:dyDescent="0.2">
      <c r="B197">
        <v>101</v>
      </c>
      <c r="C197">
        <v>9</v>
      </c>
      <c r="D197" s="2">
        <v>2.0630000000000002</v>
      </c>
      <c r="E197" s="2">
        <v>0.33600000000000002</v>
      </c>
      <c r="F197" s="2">
        <f>(0.5/0.32)*D197</f>
        <v>3.2234375000000002</v>
      </c>
      <c r="G197" s="2">
        <f>(0.5/0.32)*E197</f>
        <v>0.52500000000000002</v>
      </c>
      <c r="H197" s="1">
        <f>100*E197/D197</f>
        <v>16.28696073679108</v>
      </c>
    </row>
    <row r="198" spans="2:8" x14ac:dyDescent="0.2">
      <c r="B198">
        <v>102</v>
      </c>
      <c r="C198">
        <v>10</v>
      </c>
      <c r="D198" s="2">
        <v>2.1619999999999999</v>
      </c>
      <c r="E198" s="2">
        <v>0</v>
      </c>
      <c r="F198" s="2">
        <f>(0.5/0.32)*D198</f>
        <v>3.3781249999999998</v>
      </c>
      <c r="G198" s="2">
        <f>(0.5/0.32)*E198</f>
        <v>0</v>
      </c>
      <c r="H198" s="1">
        <f>100*E198/D198</f>
        <v>0</v>
      </c>
    </row>
    <row r="199" spans="2:8" x14ac:dyDescent="0.2">
      <c r="B199">
        <v>103</v>
      </c>
      <c r="C199">
        <v>11</v>
      </c>
      <c r="D199" s="2">
        <v>2.2650000000000001</v>
      </c>
      <c r="E199" s="2">
        <v>0.107</v>
      </c>
      <c r="F199" s="2">
        <f>(0.5/0.32)*D199</f>
        <v>3.5390625</v>
      </c>
      <c r="G199" s="2">
        <f>(0.5/0.32)*E199</f>
        <v>0.16718749999999999</v>
      </c>
      <c r="H199" s="1">
        <f>100*E199/D199</f>
        <v>4.7240618101545246</v>
      </c>
    </row>
    <row r="200" spans="2:8" x14ac:dyDescent="0.2">
      <c r="B200">
        <v>104</v>
      </c>
      <c r="C200">
        <v>12</v>
      </c>
      <c r="D200" s="2">
        <v>2.2090000000000001</v>
      </c>
      <c r="E200" s="2">
        <v>0</v>
      </c>
      <c r="F200" s="2">
        <f>(0.5/0.32)*D200</f>
        <v>3.4515625000000001</v>
      </c>
      <c r="G200" s="2">
        <f>(0.5/0.32)*E200</f>
        <v>0</v>
      </c>
      <c r="H200" s="1">
        <f>100*E200/D200</f>
        <v>0</v>
      </c>
    </row>
    <row r="201" spans="2:8" x14ac:dyDescent="0.2">
      <c r="B201">
        <v>105</v>
      </c>
      <c r="C201">
        <v>13</v>
      </c>
      <c r="D201" s="2">
        <v>2.2509999999999999</v>
      </c>
      <c r="E201" s="2">
        <v>0</v>
      </c>
      <c r="F201" s="2">
        <f>(0.5/0.32)*D201</f>
        <v>3.5171874999999999</v>
      </c>
      <c r="G201" s="2">
        <f>(0.5/0.32)*E201</f>
        <v>0</v>
      </c>
      <c r="H201" s="1">
        <f>100*E201/D201</f>
        <v>0</v>
      </c>
    </row>
    <row r="202" spans="2:8" x14ac:dyDescent="0.2">
      <c r="B202">
        <v>106</v>
      </c>
      <c r="C202">
        <v>14</v>
      </c>
      <c r="D202" s="2">
        <v>1.5669999999999999</v>
      </c>
      <c r="E202" s="2">
        <v>0</v>
      </c>
      <c r="F202" s="2">
        <f>(0.5/0.32)*D202</f>
        <v>2.4484374999999998</v>
      </c>
      <c r="G202" s="2">
        <f>(0.5/0.32)*E202</f>
        <v>0</v>
      </c>
      <c r="H202" s="1">
        <f>100*E202/D202</f>
        <v>0</v>
      </c>
    </row>
    <row r="203" spans="2:8" x14ac:dyDescent="0.2">
      <c r="B203">
        <v>107</v>
      </c>
      <c r="C203">
        <v>15</v>
      </c>
      <c r="D203" s="2">
        <v>1.268</v>
      </c>
      <c r="E203" s="2">
        <v>0</v>
      </c>
      <c r="F203" s="2">
        <f>(0.5/0.32)*D203</f>
        <v>1.98125</v>
      </c>
      <c r="G203" s="2">
        <f>(0.5/0.32)*E203</f>
        <v>0</v>
      </c>
      <c r="H203" s="1">
        <f>100*E203/D203</f>
        <v>0</v>
      </c>
    </row>
    <row r="204" spans="2:8" x14ac:dyDescent="0.2">
      <c r="B204">
        <v>108</v>
      </c>
      <c r="C204">
        <v>16</v>
      </c>
      <c r="D204" s="2">
        <v>1.613</v>
      </c>
      <c r="E204" s="2">
        <f>0.054+0.194</f>
        <v>0.248</v>
      </c>
      <c r="F204" s="2">
        <f>(0.5/0.32)*D204</f>
        <v>2.5203125000000002</v>
      </c>
      <c r="G204" s="2">
        <f>(0.5/0.32)*E204</f>
        <v>0.38750000000000001</v>
      </c>
      <c r="H204" s="1">
        <f>100*E204/D204</f>
        <v>15.375077495350279</v>
      </c>
    </row>
    <row r="205" spans="2:8" x14ac:dyDescent="0.2">
      <c r="B205">
        <v>109</v>
      </c>
      <c r="C205">
        <v>17</v>
      </c>
      <c r="D205" s="2">
        <v>2.0670000000000002</v>
      </c>
      <c r="E205" s="2">
        <v>0</v>
      </c>
      <c r="F205" s="2">
        <f>(0.5/0.32)*D205</f>
        <v>3.2296875000000003</v>
      </c>
      <c r="G205" s="2">
        <f>(0.5/0.32)*E205</f>
        <v>0</v>
      </c>
      <c r="H205" s="1">
        <f>100*E205/D205</f>
        <v>0</v>
      </c>
    </row>
    <row r="206" spans="2:8" x14ac:dyDescent="0.2">
      <c r="B206">
        <v>110</v>
      </c>
      <c r="C206">
        <v>18</v>
      </c>
      <c r="D206" s="2">
        <v>1.5449999999999999</v>
      </c>
      <c r="E206" s="2">
        <v>0</v>
      </c>
      <c r="F206" s="2">
        <f>(0.5/0.32)*D206</f>
        <v>2.4140625</v>
      </c>
      <c r="G206" s="2">
        <f>(0.5/0.32)*E206</f>
        <v>0</v>
      </c>
      <c r="H206" s="1">
        <f>100*E206/D206</f>
        <v>0</v>
      </c>
    </row>
    <row r="207" spans="2:8" x14ac:dyDescent="0.2">
      <c r="B207">
        <v>111</v>
      </c>
      <c r="C207">
        <v>19</v>
      </c>
      <c r="D207" s="2">
        <v>2.1480000000000001</v>
      </c>
      <c r="E207" s="2">
        <v>0.32</v>
      </c>
      <c r="F207" s="2">
        <f>(0.5/0.32)*D207</f>
        <v>3.3562500000000002</v>
      </c>
      <c r="G207" s="2">
        <f>(0.5/0.32)*E207</f>
        <v>0.5</v>
      </c>
      <c r="H207" s="1">
        <f>100*E207/D207</f>
        <v>14.897579143389198</v>
      </c>
    </row>
    <row r="208" spans="2:8" x14ac:dyDescent="0.2">
      <c r="B208">
        <v>112</v>
      </c>
      <c r="C208">
        <v>20</v>
      </c>
      <c r="D208" s="2">
        <v>1.365</v>
      </c>
      <c r="E208" s="2">
        <v>0</v>
      </c>
      <c r="F208" s="2">
        <f>(0.5/0.32)*D208</f>
        <v>2.1328125</v>
      </c>
      <c r="G208" s="2">
        <f>(0.5/0.32)*E208</f>
        <v>0</v>
      </c>
      <c r="H208" s="1">
        <f>100*E208/D208</f>
        <v>0</v>
      </c>
    </row>
    <row r="209" spans="1:8" x14ac:dyDescent="0.2">
      <c r="A209" t="s">
        <v>51</v>
      </c>
      <c r="B209">
        <v>113</v>
      </c>
      <c r="C209" t="s">
        <v>50</v>
      </c>
      <c r="D209" s="2">
        <v>1.71</v>
      </c>
      <c r="E209" s="2">
        <v>0</v>
      </c>
      <c r="F209" s="2">
        <f>(0.5/0.32)*D209</f>
        <v>2.671875</v>
      </c>
      <c r="G209" s="2">
        <f>(0.5/0.32)*E209</f>
        <v>0</v>
      </c>
      <c r="H209" s="1">
        <f>100*E209/D209</f>
        <v>0</v>
      </c>
    </row>
    <row r="210" spans="1:8" x14ac:dyDescent="0.2">
      <c r="B210">
        <v>114</v>
      </c>
      <c r="C210" t="s">
        <v>49</v>
      </c>
      <c r="D210" s="2">
        <v>2.23</v>
      </c>
      <c r="E210" s="2">
        <v>0</v>
      </c>
      <c r="F210" s="2">
        <f>(0.5/0.32)*D210</f>
        <v>3.484375</v>
      </c>
      <c r="G210" s="2">
        <f>(0.5/0.32)*E210</f>
        <v>0</v>
      </c>
      <c r="H210" s="1">
        <f>100*E210/D210</f>
        <v>0</v>
      </c>
    </row>
    <row r="211" spans="1:8" x14ac:dyDescent="0.2">
      <c r="A211" t="s">
        <v>48</v>
      </c>
      <c r="B211">
        <v>115</v>
      </c>
      <c r="C211">
        <v>1</v>
      </c>
      <c r="D211" s="2">
        <v>2.5880000000000001</v>
      </c>
      <c r="E211" s="2">
        <v>0</v>
      </c>
      <c r="F211" s="2">
        <f>(0.5/0.32)*D211</f>
        <v>4.0437500000000002</v>
      </c>
      <c r="G211" s="2">
        <f>(0.5/0.32)*E211</f>
        <v>0</v>
      </c>
      <c r="H211" s="1">
        <f>100*E211/D211</f>
        <v>0</v>
      </c>
    </row>
    <row r="212" spans="1:8" x14ac:dyDescent="0.2">
      <c r="B212">
        <v>116</v>
      </c>
      <c r="C212">
        <v>2</v>
      </c>
      <c r="D212" s="2">
        <v>2.8620000000000001</v>
      </c>
      <c r="E212" s="2">
        <v>0</v>
      </c>
      <c r="F212" s="2">
        <f>(0.5/0.32)*D212</f>
        <v>4.4718749999999998</v>
      </c>
      <c r="G212" s="2">
        <f>(0.5/0.32)*E212</f>
        <v>0</v>
      </c>
      <c r="H212" s="1">
        <f>100*E212/D212</f>
        <v>0</v>
      </c>
    </row>
    <row r="213" spans="1:8" x14ac:dyDescent="0.2">
      <c r="B213">
        <v>117</v>
      </c>
      <c r="C213">
        <v>3</v>
      </c>
      <c r="D213" s="2">
        <v>0.83</v>
      </c>
      <c r="E213" s="2">
        <v>0</v>
      </c>
      <c r="F213" s="2">
        <f>(0.5/0.32)*D213</f>
        <v>1.296875</v>
      </c>
      <c r="G213" s="2">
        <f>(0.5/0.32)*E213</f>
        <v>0</v>
      </c>
      <c r="H213" s="1">
        <f>100*E213/D213</f>
        <v>0</v>
      </c>
    </row>
    <row r="214" spans="1:8" x14ac:dyDescent="0.2">
      <c r="B214">
        <v>118</v>
      </c>
      <c r="C214">
        <v>4</v>
      </c>
      <c r="D214" s="2">
        <v>1.113</v>
      </c>
      <c r="E214" s="2">
        <v>0</v>
      </c>
      <c r="F214" s="2">
        <f>(0.5/0.32)*D214</f>
        <v>1.7390625</v>
      </c>
      <c r="G214" s="2">
        <f>(0.5/0.32)*E214</f>
        <v>0</v>
      </c>
      <c r="H214" s="1">
        <f>100*E214/D214</f>
        <v>0</v>
      </c>
    </row>
    <row r="215" spans="1:8" x14ac:dyDescent="0.2">
      <c r="A215" t="s">
        <v>47</v>
      </c>
      <c r="B215">
        <v>119</v>
      </c>
      <c r="C215">
        <v>1</v>
      </c>
      <c r="D215" s="2">
        <v>3.048</v>
      </c>
      <c r="E215" s="2">
        <v>1.4390000000000001</v>
      </c>
      <c r="F215" s="2">
        <f>(0.5/0.32)*D215</f>
        <v>4.7625000000000002</v>
      </c>
      <c r="G215" s="2">
        <f>(0.5/0.32)*E215</f>
        <v>2.2484375000000001</v>
      </c>
      <c r="H215" s="1">
        <f>100*E215/D215</f>
        <v>47.211286089238847</v>
      </c>
    </row>
    <row r="216" spans="1:8" x14ac:dyDescent="0.2">
      <c r="B216">
        <v>120</v>
      </c>
      <c r="C216">
        <v>2</v>
      </c>
      <c r="D216" s="2">
        <v>5.4550000000000001</v>
      </c>
      <c r="E216" s="2">
        <v>0.38100000000000001</v>
      </c>
      <c r="F216" s="2">
        <f>(0.5/0.32)*D216</f>
        <v>8.5234375</v>
      </c>
      <c r="G216" s="2">
        <f>(0.5/0.32)*E216</f>
        <v>0.59531250000000002</v>
      </c>
      <c r="H216" s="1">
        <f>100*E216/D216</f>
        <v>6.9844179651695697</v>
      </c>
    </row>
    <row r="217" spans="1:8" x14ac:dyDescent="0.2">
      <c r="B217">
        <v>121</v>
      </c>
      <c r="C217">
        <v>3</v>
      </c>
      <c r="D217" s="2">
        <v>1.823</v>
      </c>
      <c r="E217" s="2">
        <v>0.28499999999999998</v>
      </c>
      <c r="F217" s="2">
        <f>(0.5/0.32)*D217</f>
        <v>2.8484374999999997</v>
      </c>
      <c r="G217" s="2">
        <f>(0.5/0.32)*E217</f>
        <v>0.44531249999999994</v>
      </c>
      <c r="H217" s="1">
        <f>100*E217/D217</f>
        <v>15.633571036752604</v>
      </c>
    </row>
    <row r="218" spans="1:8" x14ac:dyDescent="0.2">
      <c r="B218">
        <v>122</v>
      </c>
      <c r="C218">
        <v>4</v>
      </c>
      <c r="D218" s="2">
        <v>1.8380000000000001</v>
      </c>
      <c r="E218" s="2">
        <v>0.27</v>
      </c>
      <c r="F218" s="2">
        <f>(0.5/0.32)*D218</f>
        <v>2.8718750000000002</v>
      </c>
      <c r="G218" s="2">
        <f>(0.5/0.32)*E218</f>
        <v>0.421875</v>
      </c>
      <c r="H218" s="1">
        <f>100*E218/D218</f>
        <v>14.689880304678999</v>
      </c>
    </row>
    <row r="219" spans="1:8" x14ac:dyDescent="0.2">
      <c r="B219">
        <v>123</v>
      </c>
      <c r="C219">
        <v>5</v>
      </c>
      <c r="D219" s="2">
        <v>3.23</v>
      </c>
      <c r="E219" s="2">
        <f>0.399+0.323</f>
        <v>0.72199999999999998</v>
      </c>
      <c r="F219" s="2">
        <f>(0.5/0.32)*D219</f>
        <v>5.046875</v>
      </c>
      <c r="G219" s="2">
        <f>(0.5/0.32)*E219</f>
        <v>1.128125</v>
      </c>
      <c r="H219" s="1">
        <f>100*E219/D219</f>
        <v>22.352941176470591</v>
      </c>
    </row>
    <row r="220" spans="1:8" x14ac:dyDescent="0.2">
      <c r="B220">
        <v>124</v>
      </c>
      <c r="C220">
        <v>6</v>
      </c>
      <c r="D220" s="2">
        <v>1.998</v>
      </c>
      <c r="E220" s="2">
        <v>0.59499999999999997</v>
      </c>
      <c r="F220" s="2">
        <f>(0.5/0.32)*D220</f>
        <v>3.1218750000000002</v>
      </c>
      <c r="G220" s="2">
        <f>(0.5/0.32)*E220</f>
        <v>0.9296875</v>
      </c>
      <c r="H220" s="1">
        <f>100*E220/D220</f>
        <v>29.77977977977978</v>
      </c>
    </row>
    <row r="221" spans="1:8" x14ac:dyDescent="0.2">
      <c r="B221">
        <v>125</v>
      </c>
      <c r="C221">
        <v>7</v>
      </c>
      <c r="D221" s="2">
        <v>1.9490000000000001</v>
      </c>
      <c r="E221" s="2">
        <v>0.504</v>
      </c>
      <c r="F221" s="2">
        <f>(0.5/0.32)*D221</f>
        <v>3.0453125000000001</v>
      </c>
      <c r="G221" s="2">
        <f>(0.5/0.32)*E221</f>
        <v>0.78749999999999998</v>
      </c>
      <c r="H221" s="1">
        <f>100*E221/D221</f>
        <v>25.859415084658799</v>
      </c>
    </row>
    <row r="222" spans="1:8" x14ac:dyDescent="0.2">
      <c r="B222">
        <v>126</v>
      </c>
      <c r="C222">
        <v>8</v>
      </c>
      <c r="D222" s="2">
        <v>1.6930000000000001</v>
      </c>
      <c r="E222" s="2">
        <v>0.158</v>
      </c>
      <c r="F222" s="2">
        <f>(0.5/0.32)*D222</f>
        <v>2.6453125000000002</v>
      </c>
      <c r="G222" s="2">
        <f>(0.5/0.32)*E222</f>
        <v>0.24687500000000001</v>
      </c>
      <c r="H222" s="1">
        <f>100*E222/D222</f>
        <v>9.3325457767277022</v>
      </c>
    </row>
    <row r="223" spans="1:8" x14ac:dyDescent="0.2">
      <c r="B223">
        <v>127</v>
      </c>
      <c r="C223">
        <v>9</v>
      </c>
      <c r="D223" s="2">
        <v>1.536</v>
      </c>
      <c r="E223" s="2">
        <v>0</v>
      </c>
      <c r="F223" s="2">
        <f>(0.5/0.32)*D223</f>
        <v>2.4</v>
      </c>
      <c r="G223" s="2">
        <f>(0.5/0.32)*E223</f>
        <v>0</v>
      </c>
      <c r="H223" s="1">
        <f>100*E223/D223</f>
        <v>0</v>
      </c>
    </row>
    <row r="224" spans="1:8" x14ac:dyDescent="0.2">
      <c r="B224">
        <v>128</v>
      </c>
      <c r="C224">
        <v>10</v>
      </c>
      <c r="D224" s="2">
        <v>1.6080000000000001</v>
      </c>
      <c r="E224" s="2">
        <v>0</v>
      </c>
      <c r="F224" s="2">
        <f>(0.5/0.32)*D224</f>
        <v>2.5125000000000002</v>
      </c>
      <c r="G224" s="2">
        <f>(0.5/0.32)*E224</f>
        <v>0</v>
      </c>
      <c r="H224" s="1">
        <f>100*E224/D224</f>
        <v>0</v>
      </c>
    </row>
    <row r="225" spans="1:8" x14ac:dyDescent="0.2">
      <c r="A225" t="s">
        <v>46</v>
      </c>
      <c r="B225">
        <v>129</v>
      </c>
      <c r="C225">
        <v>1</v>
      </c>
      <c r="D225" s="2">
        <v>4.5599999999999996</v>
      </c>
      <c r="E225" s="2">
        <v>0.13800000000000001</v>
      </c>
      <c r="F225" s="2">
        <f>(0.5/0.32)*D225</f>
        <v>7.1249999999999991</v>
      </c>
      <c r="G225" s="2">
        <f>(0.5/0.32)*E225</f>
        <v>0.21562500000000001</v>
      </c>
      <c r="H225" s="1">
        <f>100*E225/D225</f>
        <v>3.0263157894736845</v>
      </c>
    </row>
    <row r="226" spans="1:8" x14ac:dyDescent="0.2">
      <c r="B226">
        <v>130</v>
      </c>
      <c r="C226">
        <v>2</v>
      </c>
      <c r="D226" s="2">
        <v>2.3690000000000002</v>
      </c>
      <c r="E226" s="2">
        <v>0.23400000000000001</v>
      </c>
      <c r="F226" s="2">
        <f>(0.5/0.32)*D226</f>
        <v>3.7015625000000005</v>
      </c>
      <c r="G226" s="2">
        <f>(0.5/0.32)*E226</f>
        <v>0.36562500000000003</v>
      </c>
      <c r="H226" s="1">
        <f>100*E226/D226</f>
        <v>9.8775854791051074</v>
      </c>
    </row>
    <row r="227" spans="1:8" x14ac:dyDescent="0.2">
      <c r="B227">
        <v>131</v>
      </c>
      <c r="C227">
        <v>3</v>
      </c>
      <c r="D227" s="2">
        <v>2.5249999999999999</v>
      </c>
      <c r="E227" s="2">
        <v>0</v>
      </c>
      <c r="F227" s="2">
        <f>(0.5/0.32)*D227</f>
        <v>3.9453125</v>
      </c>
      <c r="G227" s="2">
        <f>(0.5/0.32)*E227</f>
        <v>0</v>
      </c>
      <c r="H227" s="1">
        <f>100*E227/D227</f>
        <v>0</v>
      </c>
    </row>
    <row r="228" spans="1:8" x14ac:dyDescent="0.2">
      <c r="B228">
        <v>132</v>
      </c>
      <c r="C228">
        <v>4</v>
      </c>
      <c r="D228" s="2">
        <v>3.3239999999999998</v>
      </c>
      <c r="E228" s="2">
        <v>0</v>
      </c>
      <c r="F228" s="2">
        <f>(0.5/0.32)*D228</f>
        <v>5.1937499999999996</v>
      </c>
      <c r="G228" s="2">
        <f>(0.5/0.32)*E228</f>
        <v>0</v>
      </c>
      <c r="H228" s="1">
        <f>100*E228/D228</f>
        <v>0</v>
      </c>
    </row>
    <row r="229" spans="1:8" x14ac:dyDescent="0.2">
      <c r="B229">
        <v>133</v>
      </c>
      <c r="C229">
        <v>5</v>
      </c>
      <c r="D229" s="2">
        <v>3.1080000000000001</v>
      </c>
      <c r="E229" s="2">
        <v>0.58199999999999996</v>
      </c>
      <c r="F229" s="2">
        <f>(0.5/0.32)*D229</f>
        <v>4.8562500000000002</v>
      </c>
      <c r="G229" s="2">
        <f>(0.5/0.32)*E229</f>
        <v>0.90937499999999993</v>
      </c>
      <c r="H229" s="1">
        <f>100*E229/D229</f>
        <v>18.725868725868725</v>
      </c>
    </row>
    <row r="230" spans="1:8" x14ac:dyDescent="0.2">
      <c r="B230">
        <v>134</v>
      </c>
      <c r="C230">
        <v>6</v>
      </c>
      <c r="D230" s="2">
        <v>3.9329999999999998</v>
      </c>
      <c r="E230" s="2">
        <v>0.83199999999999996</v>
      </c>
      <c r="F230" s="2">
        <f>(0.5/0.32)*D230</f>
        <v>6.1453124999999993</v>
      </c>
      <c r="G230" s="2">
        <f>(0.5/0.32)*E230</f>
        <v>1.3</v>
      </c>
      <c r="H230" s="1">
        <f>100*E230/D230</f>
        <v>21.154335113145184</v>
      </c>
    </row>
    <row r="231" spans="1:8" x14ac:dyDescent="0.2">
      <c r="B231">
        <v>135</v>
      </c>
      <c r="C231">
        <v>7</v>
      </c>
      <c r="D231" s="2">
        <v>2.8050000000000002</v>
      </c>
      <c r="E231" s="2">
        <v>0.98299999999999998</v>
      </c>
      <c r="F231" s="2">
        <f>(0.5/0.32)*D231</f>
        <v>4.3828125</v>
      </c>
      <c r="G231" s="2">
        <f>(0.5/0.32)*E231</f>
        <v>1.5359375</v>
      </c>
      <c r="H231" s="1">
        <f>100*E231/D231</f>
        <v>35.044563279857393</v>
      </c>
    </row>
    <row r="232" spans="1:8" x14ac:dyDescent="0.2">
      <c r="B232">
        <v>136</v>
      </c>
      <c r="C232">
        <v>8</v>
      </c>
      <c r="D232" s="2">
        <v>2.8570000000000002</v>
      </c>
      <c r="E232" s="2">
        <v>0.25800000000000001</v>
      </c>
      <c r="F232" s="2">
        <f>(0.5/0.32)*D232</f>
        <v>4.4640625000000007</v>
      </c>
      <c r="G232" s="2">
        <f>(0.5/0.32)*E232</f>
        <v>0.40312500000000001</v>
      </c>
      <c r="H232" s="1">
        <f>100*E232/D232</f>
        <v>9.0304515225761293</v>
      </c>
    </row>
    <row r="233" spans="1:8" x14ac:dyDescent="0.2">
      <c r="B233">
        <v>137</v>
      </c>
      <c r="C233">
        <v>9</v>
      </c>
      <c r="D233" s="2">
        <v>3.4649999999999999</v>
      </c>
      <c r="E233" s="2">
        <v>0</v>
      </c>
      <c r="F233" s="2">
        <f>(0.5/0.32)*D233</f>
        <v>5.4140625</v>
      </c>
      <c r="G233" s="2">
        <f>(0.5/0.32)*E233</f>
        <v>0</v>
      </c>
      <c r="H233" s="1">
        <f>100*E233/D233</f>
        <v>0</v>
      </c>
    </row>
    <row r="234" spans="1:8" x14ac:dyDescent="0.2">
      <c r="B234">
        <v>138</v>
      </c>
      <c r="C234">
        <v>10</v>
      </c>
      <c r="D234" s="2">
        <v>2.6709999999999998</v>
      </c>
      <c r="E234" s="2">
        <v>0</v>
      </c>
      <c r="F234" s="2">
        <f>(0.5/0.32)*D234</f>
        <v>4.1734374999999995</v>
      </c>
      <c r="G234" s="2">
        <f>(0.5/0.32)*E234</f>
        <v>0</v>
      </c>
      <c r="H234" s="1">
        <f>100*E234/D234</f>
        <v>0</v>
      </c>
    </row>
    <row r="235" spans="1:8" x14ac:dyDescent="0.2">
      <c r="B235">
        <v>139</v>
      </c>
      <c r="C235">
        <v>11</v>
      </c>
      <c r="D235" s="2">
        <v>2.609</v>
      </c>
      <c r="E235" s="2">
        <v>0</v>
      </c>
      <c r="F235" s="2">
        <f>(0.5/0.32)*D235</f>
        <v>4.0765624999999996</v>
      </c>
      <c r="G235" s="2">
        <f>(0.5/0.32)*E235</f>
        <v>0</v>
      </c>
      <c r="H235" s="1">
        <f>100*E235/D235</f>
        <v>0</v>
      </c>
    </row>
    <row r="236" spans="1:8" x14ac:dyDescent="0.2">
      <c r="B236">
        <v>140</v>
      </c>
      <c r="C236">
        <v>12</v>
      </c>
      <c r="D236" s="2">
        <v>2.403</v>
      </c>
      <c r="E236" s="2">
        <v>0</v>
      </c>
      <c r="F236" s="2">
        <f>(0.5/0.32)*D236</f>
        <v>3.7546875000000002</v>
      </c>
      <c r="G236" s="2">
        <f>(0.5/0.32)*E236</f>
        <v>0</v>
      </c>
      <c r="H236" s="1">
        <f>100*E236/D236</f>
        <v>0</v>
      </c>
    </row>
    <row r="237" spans="1:8" x14ac:dyDescent="0.2">
      <c r="B237">
        <v>141</v>
      </c>
      <c r="C237">
        <v>13</v>
      </c>
      <c r="D237" s="2">
        <v>3.085</v>
      </c>
      <c r="E237" s="2">
        <v>0.65700000000000003</v>
      </c>
      <c r="F237" s="2">
        <f>(0.5/0.32)*D237</f>
        <v>4.8203125</v>
      </c>
      <c r="G237" s="2">
        <f>(0.5/0.32)*E237</f>
        <v>1.0265625</v>
      </c>
      <c r="H237" s="1">
        <f>100*E237/D237</f>
        <v>21.296596434359806</v>
      </c>
    </row>
    <row r="238" spans="1:8" x14ac:dyDescent="0.2">
      <c r="B238">
        <v>142</v>
      </c>
      <c r="C238">
        <v>14</v>
      </c>
      <c r="D238" s="2">
        <v>1.982</v>
      </c>
      <c r="E238" s="2">
        <f>0.3+0.412</f>
        <v>0.71199999999999997</v>
      </c>
      <c r="F238" s="2">
        <f>(0.5/0.32)*D238</f>
        <v>3.0968749999999998</v>
      </c>
      <c r="G238" s="2">
        <f>(0.5/0.32)*E238</f>
        <v>1.1125</v>
      </c>
      <c r="H238" s="1">
        <f>100*E238/D238</f>
        <v>35.923309788092837</v>
      </c>
    </row>
    <row r="239" spans="1:8" x14ac:dyDescent="0.2">
      <c r="B239">
        <v>143</v>
      </c>
      <c r="C239">
        <v>15</v>
      </c>
      <c r="D239" s="2">
        <v>1.964</v>
      </c>
      <c r="E239" s="2">
        <v>0.17100000000000001</v>
      </c>
      <c r="F239" s="2">
        <f>(0.5/0.32)*D239</f>
        <v>3.0687500000000001</v>
      </c>
      <c r="G239" s="2">
        <f>(0.5/0.32)*E239</f>
        <v>0.26718750000000002</v>
      </c>
      <c r="H239" s="1">
        <f>100*E239/D239</f>
        <v>8.706720977596742</v>
      </c>
    </row>
    <row r="240" spans="1:8" x14ac:dyDescent="0.2">
      <c r="B240">
        <v>144</v>
      </c>
      <c r="C240">
        <v>16</v>
      </c>
      <c r="D240" s="2">
        <v>3.1629999999999998</v>
      </c>
      <c r="E240" s="2">
        <v>0.33600000000000002</v>
      </c>
      <c r="F240" s="2">
        <f>(0.5/0.32)*D240</f>
        <v>4.9421874999999993</v>
      </c>
      <c r="G240" s="2">
        <f>(0.5/0.32)*E240</f>
        <v>0.52500000000000002</v>
      </c>
      <c r="H240" s="1">
        <f>100*E240/D240</f>
        <v>10.622826430603858</v>
      </c>
    </row>
    <row r="241" spans="1:8" x14ac:dyDescent="0.2">
      <c r="A241" t="s">
        <v>45</v>
      </c>
      <c r="B241">
        <v>145</v>
      </c>
      <c r="C241">
        <v>1</v>
      </c>
      <c r="D241" s="2">
        <v>1.772</v>
      </c>
      <c r="E241" s="2">
        <v>0.54700000000000004</v>
      </c>
      <c r="F241" s="2">
        <f>(0.5/0.32)*D241</f>
        <v>2.7687499999999998</v>
      </c>
      <c r="G241" s="2">
        <f>(0.5/0.32)*E241</f>
        <v>0.85468750000000004</v>
      </c>
      <c r="H241" s="1">
        <f>100*E241/D241</f>
        <v>30.869074492099323</v>
      </c>
    </row>
    <row r="242" spans="1:8" x14ac:dyDescent="0.2">
      <c r="B242">
        <v>146</v>
      </c>
      <c r="C242">
        <v>2</v>
      </c>
      <c r="D242" s="2">
        <v>2.8180000000000001</v>
      </c>
      <c r="E242" s="2">
        <v>0.69299999999999995</v>
      </c>
      <c r="F242" s="2">
        <f>(0.5/0.32)*D242</f>
        <v>4.4031250000000002</v>
      </c>
      <c r="G242" s="2">
        <f>(0.5/0.32)*E242</f>
        <v>1.0828125</v>
      </c>
      <c r="H242" s="1">
        <f>100*E242/D242</f>
        <v>24.591909155429381</v>
      </c>
    </row>
    <row r="243" spans="1:8" x14ac:dyDescent="0.2">
      <c r="B243">
        <v>147</v>
      </c>
      <c r="C243">
        <v>3</v>
      </c>
      <c r="D243" s="2">
        <v>3.1120000000000001</v>
      </c>
      <c r="E243" s="2">
        <f>0.279+0.293</f>
        <v>0.57200000000000006</v>
      </c>
      <c r="F243" s="2">
        <f>(0.5/0.32)*D243</f>
        <v>4.8624999999999998</v>
      </c>
      <c r="G243" s="2">
        <f>(0.5/0.32)*E243</f>
        <v>0.89375000000000004</v>
      </c>
      <c r="H243" s="1">
        <f>100*E243/D243</f>
        <v>18.380462724935732</v>
      </c>
    </row>
    <row r="244" spans="1:8" x14ac:dyDescent="0.2">
      <c r="B244">
        <v>148</v>
      </c>
      <c r="C244">
        <v>4</v>
      </c>
      <c r="D244" s="2">
        <v>2.5649999999999999</v>
      </c>
      <c r="E244" s="2">
        <v>0</v>
      </c>
      <c r="F244" s="2">
        <f>(0.5/0.32)*D244</f>
        <v>4.0078125</v>
      </c>
      <c r="G244" s="2">
        <f>(0.5/0.32)*E244</f>
        <v>0</v>
      </c>
      <c r="H244" s="1">
        <f>100*E244/D244</f>
        <v>0</v>
      </c>
    </row>
    <row r="245" spans="1:8" x14ac:dyDescent="0.2">
      <c r="B245">
        <v>149</v>
      </c>
      <c r="C245">
        <v>5</v>
      </c>
      <c r="D245" s="2">
        <v>2.774</v>
      </c>
      <c r="E245" s="2">
        <v>0.26</v>
      </c>
      <c r="F245" s="2">
        <f>(0.5/0.32)*D245</f>
        <v>4.3343749999999996</v>
      </c>
      <c r="G245" s="2">
        <f>(0.5/0.32)*E245</f>
        <v>0.40625</v>
      </c>
      <c r="H245" s="1">
        <f>100*E245/D245</f>
        <v>9.3727469358327333</v>
      </c>
    </row>
    <row r="246" spans="1:8" x14ac:dyDescent="0.2">
      <c r="B246">
        <v>150</v>
      </c>
      <c r="C246">
        <v>6</v>
      </c>
      <c r="D246" s="2">
        <v>3.1219999999999999</v>
      </c>
      <c r="E246" s="2">
        <v>0.16400000000000001</v>
      </c>
      <c r="F246" s="2">
        <f>(0.5/0.32)*D246</f>
        <v>4.8781249999999998</v>
      </c>
      <c r="G246" s="2">
        <f>(0.5/0.32)*E246</f>
        <v>0.25625000000000003</v>
      </c>
      <c r="H246" s="1">
        <f>100*E246/D246</f>
        <v>5.253042921204357</v>
      </c>
    </row>
    <row r="247" spans="1:8" x14ac:dyDescent="0.2">
      <c r="B247">
        <v>151</v>
      </c>
      <c r="C247">
        <v>7</v>
      </c>
      <c r="D247" s="2">
        <v>2.431</v>
      </c>
      <c r="E247" s="2">
        <v>0.27200000000000002</v>
      </c>
      <c r="F247" s="2">
        <f>(0.5/0.32)*D247</f>
        <v>3.7984374999999999</v>
      </c>
      <c r="G247" s="2">
        <f>(0.5/0.32)*E247</f>
        <v>0.42500000000000004</v>
      </c>
      <c r="H247" s="1">
        <f>100*E247/D247</f>
        <v>11.18881118881119</v>
      </c>
    </row>
    <row r="248" spans="1:8" x14ac:dyDescent="0.2">
      <c r="B248">
        <v>152</v>
      </c>
      <c r="C248">
        <v>8</v>
      </c>
      <c r="D248" s="2">
        <v>2.1659999999999999</v>
      </c>
      <c r="E248" s="2">
        <v>0</v>
      </c>
      <c r="F248" s="2">
        <f>(0.5/0.32)*D248</f>
        <v>3.3843749999999999</v>
      </c>
      <c r="G248" s="2">
        <f>(0.5/0.32)*E248</f>
        <v>0</v>
      </c>
      <c r="H248" s="1">
        <f>100*E248/D248</f>
        <v>0</v>
      </c>
    </row>
    <row r="250" spans="1:8" x14ac:dyDescent="0.2">
      <c r="C250" t="s">
        <v>1</v>
      </c>
      <c r="D250" s="2">
        <f>AVERAGE(D97:D248)</f>
        <v>2.3504407894736845</v>
      </c>
      <c r="E250" s="2">
        <f>AVERAGE(E97:E248)</f>
        <v>0.19871710526315792</v>
      </c>
      <c r="F250" s="2">
        <f>AVERAGE(F97:F248)</f>
        <v>3.6725637335526304</v>
      </c>
      <c r="G250" s="2">
        <f>AVERAGE(G97:G248)</f>
        <v>0.31049547697368413</v>
      </c>
      <c r="H250" s="2">
        <f>AVERAGE(H97:H248)</f>
        <v>8.6050766670384924</v>
      </c>
    </row>
    <row r="251" spans="1:8" x14ac:dyDescent="0.2">
      <c r="C251" t="s">
        <v>0</v>
      </c>
      <c r="D251" s="2">
        <f>STDEV(D97:D248)</f>
        <v>0.90185968081964474</v>
      </c>
      <c r="E251" s="2">
        <f>STDEV(E97:E248)</f>
        <v>0.29526359124474483</v>
      </c>
      <c r="F251" s="2">
        <f>STDEV(F97:F248)</f>
        <v>1.4091557512807014</v>
      </c>
      <c r="G251" s="2">
        <f>STDEV(G97:G248)</f>
        <v>0.461349361319914</v>
      </c>
      <c r="H251" s="2">
        <f>STDEV(H97:H248)</f>
        <v>13.04107037538952</v>
      </c>
    </row>
    <row r="253" spans="1:8" x14ac:dyDescent="0.2">
      <c r="A253" t="s">
        <v>44</v>
      </c>
    </row>
    <row r="254" spans="1:8" x14ac:dyDescent="0.2">
      <c r="A254" s="5" t="s">
        <v>24</v>
      </c>
      <c r="B254" s="5" t="s">
        <v>23</v>
      </c>
      <c r="C254" s="5" t="s">
        <v>22</v>
      </c>
      <c r="D254" s="4" t="s">
        <v>21</v>
      </c>
      <c r="E254" s="4" t="s">
        <v>20</v>
      </c>
      <c r="F254" s="4" t="s">
        <v>19</v>
      </c>
      <c r="G254" s="4" t="s">
        <v>18</v>
      </c>
      <c r="H254" s="3" t="s">
        <v>17</v>
      </c>
    </row>
    <row r="255" spans="1:8" x14ac:dyDescent="0.2">
      <c r="A255" t="s">
        <v>43</v>
      </c>
      <c r="B255">
        <v>1</v>
      </c>
      <c r="C255" t="s">
        <v>42</v>
      </c>
      <c r="D255" s="2">
        <v>16.030999999999999</v>
      </c>
      <c r="E255" s="2">
        <f>0.258+0.647+0.235+0.224+0.664</f>
        <v>2.028</v>
      </c>
      <c r="F255" s="2">
        <f>(0.5/0.32)*D255</f>
        <v>25.048437499999999</v>
      </c>
      <c r="G255" s="2">
        <f>(0.5/0.32)*E255</f>
        <v>3.1687500000000002</v>
      </c>
      <c r="H255" s="1">
        <f>100*E255/D255</f>
        <v>12.650489676252263</v>
      </c>
    </row>
    <row r="256" spans="1:8" x14ac:dyDescent="0.2">
      <c r="A256" t="s">
        <v>41</v>
      </c>
      <c r="B256">
        <v>2</v>
      </c>
      <c r="C256">
        <v>1</v>
      </c>
      <c r="D256" s="2">
        <v>6.1829999999999998</v>
      </c>
      <c r="E256" s="2">
        <f>0.501+0.722+0.241+1.226</f>
        <v>2.69</v>
      </c>
      <c r="F256" s="2">
        <f>(0.5/0.32)*D256</f>
        <v>9.6609374999999993</v>
      </c>
      <c r="G256" s="2">
        <f>(0.5/0.32)*E256</f>
        <v>4.203125</v>
      </c>
      <c r="H256" s="1">
        <f>100*E256/D256</f>
        <v>43.506388484554428</v>
      </c>
    </row>
    <row r="257" spans="1:8" x14ac:dyDescent="0.2">
      <c r="B257">
        <v>3</v>
      </c>
      <c r="C257">
        <v>2</v>
      </c>
      <c r="D257" s="2">
        <v>7.06</v>
      </c>
      <c r="E257" s="2">
        <f>0.324+0.487+1.128+0.153+1.116</f>
        <v>3.2079999999999997</v>
      </c>
      <c r="F257" s="2">
        <f>(0.5/0.32)*D257</f>
        <v>11.03125</v>
      </c>
      <c r="G257" s="2">
        <f>(0.5/0.32)*E257</f>
        <v>5.0124999999999993</v>
      </c>
      <c r="H257" s="1">
        <f>100*E257/D257</f>
        <v>45.43909348441926</v>
      </c>
    </row>
    <row r="258" spans="1:8" x14ac:dyDescent="0.2">
      <c r="B258">
        <v>4</v>
      </c>
      <c r="C258">
        <v>3</v>
      </c>
      <c r="D258" s="2">
        <v>4.4589999999999996</v>
      </c>
      <c r="E258" s="2">
        <f>0.54+0.17+0.152+0.208</f>
        <v>1.07</v>
      </c>
      <c r="F258" s="2">
        <f>(0.5/0.32)*D258</f>
        <v>6.9671874999999996</v>
      </c>
      <c r="G258" s="2">
        <f>(0.5/0.32)*E258</f>
        <v>1.671875</v>
      </c>
      <c r="H258" s="1">
        <f>100*E258/D258</f>
        <v>23.996411751513794</v>
      </c>
    </row>
    <row r="259" spans="1:8" x14ac:dyDescent="0.2">
      <c r="A259" t="s">
        <v>40</v>
      </c>
      <c r="B259">
        <v>5</v>
      </c>
      <c r="C259" t="s">
        <v>39</v>
      </c>
      <c r="D259" s="2">
        <v>2.9689999999999999</v>
      </c>
      <c r="E259" s="2">
        <v>1.891</v>
      </c>
      <c r="F259" s="2">
        <f>(0.5/0.32)*D259</f>
        <v>4.6390624999999996</v>
      </c>
      <c r="G259" s="2">
        <f>(0.5/0.32)*E259</f>
        <v>2.9546874999999999</v>
      </c>
      <c r="H259" s="1">
        <f>100*E259/D259</f>
        <v>63.691478612327387</v>
      </c>
    </row>
    <row r="260" spans="1:8" x14ac:dyDescent="0.2">
      <c r="B260">
        <v>6</v>
      </c>
      <c r="C260" t="s">
        <v>38</v>
      </c>
      <c r="D260" s="2">
        <v>6.1180000000000003</v>
      </c>
      <c r="E260" s="2">
        <f>0.397+1.003+1.229</f>
        <v>2.629</v>
      </c>
      <c r="F260" s="2">
        <f>(0.5/0.32)*D260</f>
        <v>9.5593750000000011</v>
      </c>
      <c r="G260" s="2">
        <f>(0.5/0.32)*E260</f>
        <v>4.1078124999999996</v>
      </c>
      <c r="H260" s="1">
        <f>100*E260/D260</f>
        <v>42.971559333115394</v>
      </c>
    </row>
    <row r="261" spans="1:8" x14ac:dyDescent="0.2">
      <c r="A261" t="s">
        <v>37</v>
      </c>
      <c r="B261">
        <v>7</v>
      </c>
      <c r="C261">
        <v>1</v>
      </c>
      <c r="D261" s="2">
        <v>1.956</v>
      </c>
      <c r="E261" s="2">
        <v>0.157</v>
      </c>
      <c r="F261" s="2">
        <f>(0.5/0.32)*D261</f>
        <v>3.0562499999999999</v>
      </c>
      <c r="G261" s="2">
        <f>(0.5/0.32)*E261</f>
        <v>0.24531249999999999</v>
      </c>
      <c r="H261" s="1">
        <f>100*E261/D261</f>
        <v>8.0265848670756643</v>
      </c>
    </row>
    <row r="262" spans="1:8" x14ac:dyDescent="0.2">
      <c r="B262">
        <v>8</v>
      </c>
      <c r="C262">
        <v>2</v>
      </c>
      <c r="D262" s="2">
        <v>2.0840000000000001</v>
      </c>
      <c r="E262" s="2">
        <f>0.621+0.308</f>
        <v>0.92900000000000005</v>
      </c>
      <c r="F262" s="2">
        <f>(0.5/0.32)*D262</f>
        <v>3.2562500000000001</v>
      </c>
      <c r="G262" s="2">
        <f>(0.5/0.32)*E262</f>
        <v>1.4515625000000001</v>
      </c>
      <c r="H262" s="1">
        <f>100*E262/D262</f>
        <v>44.577735124760075</v>
      </c>
    </row>
    <row r="263" spans="1:8" x14ac:dyDescent="0.2">
      <c r="B263">
        <v>9</v>
      </c>
      <c r="C263">
        <v>3</v>
      </c>
      <c r="D263" s="2">
        <v>7.867</v>
      </c>
      <c r="E263" s="2">
        <f>0.264+1.517+0.336</f>
        <v>2.117</v>
      </c>
      <c r="F263" s="2">
        <f>(0.5/0.32)*D263</f>
        <v>12.292187500000001</v>
      </c>
      <c r="G263" s="2">
        <f>(0.5/0.32)*E263</f>
        <v>3.3078124999999998</v>
      </c>
      <c r="H263" s="1">
        <f>100*E263/D263</f>
        <v>26.909876700139822</v>
      </c>
    </row>
    <row r="264" spans="1:8" x14ac:dyDescent="0.2">
      <c r="B264">
        <v>10</v>
      </c>
      <c r="C264">
        <v>4</v>
      </c>
      <c r="D264" s="2">
        <v>2.6309999999999998</v>
      </c>
      <c r="E264" s="2">
        <f>0.148+0.771+0.228+0.171</f>
        <v>1.3180000000000001</v>
      </c>
      <c r="F264" s="2">
        <f>(0.5/0.32)*D264</f>
        <v>4.1109374999999995</v>
      </c>
      <c r="G264" s="2">
        <f>(0.5/0.32)*E264</f>
        <v>2.0593750000000002</v>
      </c>
      <c r="H264" s="1">
        <f>100*E264/D264</f>
        <v>50.095020904599018</v>
      </c>
    </row>
    <row r="265" spans="1:8" x14ac:dyDescent="0.2">
      <c r="B265">
        <v>11</v>
      </c>
      <c r="C265">
        <v>5</v>
      </c>
      <c r="D265" s="2">
        <v>4.4029999999999996</v>
      </c>
      <c r="E265" s="2">
        <f>1.378+0.578+0.14+0.304</f>
        <v>2.4</v>
      </c>
      <c r="F265" s="2">
        <f>(0.5/0.32)*D265</f>
        <v>6.8796874999999993</v>
      </c>
      <c r="G265" s="2">
        <f>(0.5/0.32)*E265</f>
        <v>3.75</v>
      </c>
      <c r="H265" s="1">
        <f>100*E265/D265</f>
        <v>54.508289802407454</v>
      </c>
    </row>
    <row r="266" spans="1:8" x14ac:dyDescent="0.2">
      <c r="B266">
        <v>12</v>
      </c>
      <c r="C266">
        <v>6</v>
      </c>
      <c r="D266" s="2">
        <v>3.181</v>
      </c>
      <c r="E266" s="2">
        <f>0.593+0.569</f>
        <v>1.1619999999999999</v>
      </c>
      <c r="F266" s="2">
        <f>(0.5/0.32)*D266</f>
        <v>4.9703125000000004</v>
      </c>
      <c r="G266" s="2">
        <f>(0.5/0.32)*E266</f>
        <v>1.8156249999999998</v>
      </c>
      <c r="H266" s="1">
        <f>100*E266/D266</f>
        <v>36.529393272555794</v>
      </c>
    </row>
    <row r="267" spans="1:8" x14ac:dyDescent="0.2">
      <c r="B267">
        <v>13</v>
      </c>
      <c r="C267">
        <v>7</v>
      </c>
      <c r="D267" s="2">
        <v>2.2610000000000001</v>
      </c>
      <c r="E267" s="2">
        <v>0.83499999999999996</v>
      </c>
      <c r="F267" s="2">
        <f>(0.5/0.32)*D267</f>
        <v>3.5328125000000004</v>
      </c>
      <c r="G267" s="2">
        <f>(0.5/0.32)*E267</f>
        <v>1.3046875</v>
      </c>
      <c r="H267" s="1">
        <f>100*E267/D267</f>
        <v>36.930561698363555</v>
      </c>
    </row>
    <row r="268" spans="1:8" x14ac:dyDescent="0.2">
      <c r="A268" t="s">
        <v>36</v>
      </c>
      <c r="B268">
        <v>14</v>
      </c>
      <c r="C268">
        <v>1</v>
      </c>
      <c r="D268" s="2">
        <v>7.1319999999999997</v>
      </c>
      <c r="E268" s="2">
        <v>0</v>
      </c>
      <c r="F268" s="2">
        <f>(0.5/0.32)*D268</f>
        <v>11.143749999999999</v>
      </c>
      <c r="G268" s="2">
        <f>(0.5/0.32)*E268</f>
        <v>0</v>
      </c>
      <c r="H268" s="1">
        <f>100*E268/D268</f>
        <v>0</v>
      </c>
    </row>
    <row r="269" spans="1:8" x14ac:dyDescent="0.2">
      <c r="B269">
        <v>15</v>
      </c>
      <c r="C269">
        <v>2</v>
      </c>
      <c r="D269" s="2">
        <v>3.1859999999999999</v>
      </c>
      <c r="E269" s="2">
        <v>0</v>
      </c>
      <c r="F269" s="2">
        <f>(0.5/0.32)*D269</f>
        <v>4.9781250000000004</v>
      </c>
      <c r="G269" s="2">
        <f>(0.5/0.32)*E269</f>
        <v>0</v>
      </c>
      <c r="H269" s="1">
        <f>100*E269/D269</f>
        <v>0</v>
      </c>
    </row>
    <row r="270" spans="1:8" x14ac:dyDescent="0.2">
      <c r="B270">
        <v>16</v>
      </c>
      <c r="C270">
        <v>3</v>
      </c>
      <c r="D270" s="2">
        <v>5.5949999999999998</v>
      </c>
      <c r="E270" s="2">
        <v>0.14099999999999999</v>
      </c>
      <c r="F270" s="2">
        <f>(0.5/0.32)*D270</f>
        <v>8.7421875</v>
      </c>
      <c r="G270" s="2">
        <f>(0.5/0.32)*E270</f>
        <v>0.22031249999999997</v>
      </c>
      <c r="H270" s="1">
        <f>100*E270/D270</f>
        <v>2.520107238605898</v>
      </c>
    </row>
    <row r="271" spans="1:8" x14ac:dyDescent="0.2">
      <c r="B271">
        <v>17</v>
      </c>
      <c r="C271">
        <v>4</v>
      </c>
      <c r="D271" s="2">
        <v>2.2509999999999999</v>
      </c>
      <c r="E271" s="2">
        <v>0.443</v>
      </c>
      <c r="F271" s="2">
        <f>(0.5/0.32)*D271</f>
        <v>3.5171874999999999</v>
      </c>
      <c r="G271" s="2">
        <f>(0.5/0.32)*E271</f>
        <v>0.69218749999999996</v>
      </c>
      <c r="H271" s="1">
        <f>100*E271/D271</f>
        <v>19.680142159040425</v>
      </c>
    </row>
    <row r="272" spans="1:8" x14ac:dyDescent="0.2">
      <c r="B272">
        <v>18</v>
      </c>
      <c r="C272">
        <v>5</v>
      </c>
      <c r="D272" s="2">
        <v>2.782</v>
      </c>
      <c r="E272" s="2">
        <v>0.59199999999999997</v>
      </c>
      <c r="F272" s="2">
        <f>(0.5/0.32)*D272</f>
        <v>4.3468749999999998</v>
      </c>
      <c r="G272" s="2">
        <f>(0.5/0.32)*E272</f>
        <v>0.92499999999999993</v>
      </c>
      <c r="H272" s="1">
        <f>100*E272/D272</f>
        <v>21.279654924514738</v>
      </c>
    </row>
    <row r="273" spans="1:8" x14ac:dyDescent="0.2">
      <c r="A273" t="s">
        <v>35</v>
      </c>
      <c r="B273">
        <v>19</v>
      </c>
      <c r="C273">
        <v>1</v>
      </c>
      <c r="D273" s="2">
        <v>5.0940000000000003</v>
      </c>
      <c r="E273" s="2">
        <f>0.216+0.312+0.599</f>
        <v>1.127</v>
      </c>
      <c r="F273" s="2">
        <f>(0.5/0.32)*D273</f>
        <v>7.9593750000000005</v>
      </c>
      <c r="G273" s="2">
        <f>(0.5/0.32)*E273</f>
        <v>1.7609375</v>
      </c>
      <c r="H273" s="1">
        <f>100*E273/D273</f>
        <v>22.124067530427954</v>
      </c>
    </row>
    <row r="274" spans="1:8" x14ac:dyDescent="0.2">
      <c r="B274">
        <v>20</v>
      </c>
      <c r="C274">
        <v>2</v>
      </c>
      <c r="D274" s="2">
        <v>2.2789999999999999</v>
      </c>
      <c r="E274" s="2">
        <v>0.48099999999999998</v>
      </c>
      <c r="F274" s="2">
        <f>(0.5/0.32)*D274</f>
        <v>3.5609374999999996</v>
      </c>
      <c r="G274" s="2">
        <f>(0.5/0.32)*E274</f>
        <v>0.75156250000000002</v>
      </c>
      <c r="H274" s="1">
        <f>100*E274/D274</f>
        <v>21.105748135146996</v>
      </c>
    </row>
    <row r="275" spans="1:8" x14ac:dyDescent="0.2">
      <c r="B275">
        <v>21</v>
      </c>
      <c r="C275">
        <v>3</v>
      </c>
      <c r="D275" s="2">
        <v>2.4860000000000002</v>
      </c>
      <c r="E275" s="2">
        <f>0.561+0.349</f>
        <v>0.91</v>
      </c>
      <c r="F275" s="2">
        <f>(0.5/0.32)*D275</f>
        <v>3.8843750000000004</v>
      </c>
      <c r="G275" s="2">
        <f>(0.5/0.32)*E275</f>
        <v>1.421875</v>
      </c>
      <c r="H275" s="1">
        <f>100*E275/D275</f>
        <v>36.604987932421558</v>
      </c>
    </row>
    <row r="276" spans="1:8" x14ac:dyDescent="0.2">
      <c r="B276">
        <v>22</v>
      </c>
      <c r="C276">
        <v>4</v>
      </c>
      <c r="D276" s="2">
        <v>2.266</v>
      </c>
      <c r="E276" s="2">
        <f>0.225+0.431</f>
        <v>0.65600000000000003</v>
      </c>
      <c r="F276" s="2">
        <f>(0.5/0.32)*D276</f>
        <v>3.5406249999999999</v>
      </c>
      <c r="G276" s="2">
        <f>(0.5/0.32)*E276</f>
        <v>1.0250000000000001</v>
      </c>
      <c r="H276" s="1">
        <f>100*E276/D276</f>
        <v>28.94969108561342</v>
      </c>
    </row>
    <row r="277" spans="1:8" x14ac:dyDescent="0.2">
      <c r="B277">
        <v>23</v>
      </c>
      <c r="C277">
        <v>5</v>
      </c>
      <c r="D277" s="2">
        <v>1.7729999999999999</v>
      </c>
      <c r="E277" s="2">
        <f>0.25+0.235</f>
        <v>0.48499999999999999</v>
      </c>
      <c r="F277" s="2">
        <f>(0.5/0.32)*D277</f>
        <v>2.7703124999999997</v>
      </c>
      <c r="G277" s="2">
        <f>(0.5/0.32)*E277</f>
        <v>0.7578125</v>
      </c>
      <c r="H277" s="1">
        <f>100*E277/D277</f>
        <v>27.354765933446139</v>
      </c>
    </row>
    <row r="278" spans="1:8" x14ac:dyDescent="0.2">
      <c r="B278">
        <v>24</v>
      </c>
      <c r="C278">
        <v>6</v>
      </c>
      <c r="D278" s="2">
        <v>4.5129999999999999</v>
      </c>
      <c r="E278" s="2">
        <v>0.52200000000000002</v>
      </c>
      <c r="F278" s="2">
        <f>(0.5/0.32)*D278</f>
        <v>7.0515625000000002</v>
      </c>
      <c r="G278" s="2">
        <f>(0.5/0.32)*E278</f>
        <v>0.81562500000000004</v>
      </c>
      <c r="H278" s="1">
        <f>100*E278/D278</f>
        <v>11.566585419898074</v>
      </c>
    </row>
    <row r="279" spans="1:8" x14ac:dyDescent="0.2">
      <c r="A279" t="s">
        <v>34</v>
      </c>
      <c r="B279">
        <v>25</v>
      </c>
      <c r="C279">
        <v>1</v>
      </c>
      <c r="D279" s="2">
        <v>2.83</v>
      </c>
      <c r="E279" s="2">
        <f>0.55+0.367+0.233+0.195</f>
        <v>1.3450000000000002</v>
      </c>
      <c r="F279" s="2">
        <f>(0.5/0.32)*D279</f>
        <v>4.421875</v>
      </c>
      <c r="G279" s="2">
        <f>(0.5/0.32)*E279</f>
        <v>2.1015625000000004</v>
      </c>
      <c r="H279" s="1">
        <f>100*E279/D279</f>
        <v>47.526501766784463</v>
      </c>
    </row>
    <row r="280" spans="1:8" x14ac:dyDescent="0.2">
      <c r="B280">
        <v>26</v>
      </c>
      <c r="C280">
        <v>2</v>
      </c>
      <c r="D280" s="2">
        <v>1.24</v>
      </c>
      <c r="E280" s="2">
        <v>0.372</v>
      </c>
      <c r="F280" s="2">
        <f>(0.5/0.32)*D280</f>
        <v>1.9375</v>
      </c>
      <c r="G280" s="2">
        <f>(0.5/0.32)*E280</f>
        <v>0.58125000000000004</v>
      </c>
      <c r="H280" s="1">
        <f>100*E280/D280</f>
        <v>30.000000000000004</v>
      </c>
    </row>
    <row r="281" spans="1:8" x14ac:dyDescent="0.2">
      <c r="B281">
        <v>27</v>
      </c>
      <c r="C281">
        <v>3</v>
      </c>
      <c r="D281" s="2">
        <v>5.1159999999999997</v>
      </c>
      <c r="E281" s="2">
        <f>0.441+0.453+0.146+0.355+0.283</f>
        <v>1.6779999999999999</v>
      </c>
      <c r="F281" s="2">
        <f>(0.5/0.32)*D281</f>
        <v>7.9937499999999995</v>
      </c>
      <c r="G281" s="2">
        <f>(0.5/0.32)*E281</f>
        <v>2.6218749999999997</v>
      </c>
      <c r="H281" s="1">
        <f>100*E281/D281</f>
        <v>32.799061767005469</v>
      </c>
    </row>
    <row r="282" spans="1:8" x14ac:dyDescent="0.2">
      <c r="B282">
        <v>28</v>
      </c>
      <c r="C282">
        <v>4</v>
      </c>
      <c r="D282" s="2">
        <v>2.0960000000000001</v>
      </c>
      <c r="E282" s="2">
        <f>0.219+0.131</f>
        <v>0.35</v>
      </c>
      <c r="F282" s="2">
        <f>(0.5/0.32)*D282</f>
        <v>3.2750000000000004</v>
      </c>
      <c r="G282" s="2">
        <f>(0.5/0.32)*E282</f>
        <v>0.546875</v>
      </c>
      <c r="H282" s="1">
        <f>100*E282/D282</f>
        <v>16.698473282442748</v>
      </c>
    </row>
    <row r="283" spans="1:8" x14ac:dyDescent="0.2">
      <c r="B283">
        <v>29</v>
      </c>
      <c r="C283">
        <v>5</v>
      </c>
      <c r="D283" s="2">
        <v>2.0449999999999999</v>
      </c>
      <c r="E283" s="2">
        <f>0.111+0.289+0.232</f>
        <v>0.63200000000000001</v>
      </c>
      <c r="F283" s="2">
        <f>(0.5/0.32)*D283</f>
        <v>3.1953125</v>
      </c>
      <c r="G283" s="2">
        <f>(0.5/0.32)*E283</f>
        <v>0.98750000000000004</v>
      </c>
      <c r="H283" s="1">
        <f>100*E283/D283</f>
        <v>30.904645476772618</v>
      </c>
    </row>
    <row r="284" spans="1:8" x14ac:dyDescent="0.2">
      <c r="B284">
        <v>30</v>
      </c>
      <c r="C284">
        <v>6</v>
      </c>
      <c r="D284" s="2">
        <v>2.4380000000000002</v>
      </c>
      <c r="E284" s="2">
        <f>0.363+0.317</f>
        <v>0.67999999999999994</v>
      </c>
      <c r="F284" s="2">
        <f>(0.5/0.32)*D284</f>
        <v>3.8093750000000002</v>
      </c>
      <c r="G284" s="2">
        <f>(0.5/0.32)*E284</f>
        <v>1.0625</v>
      </c>
      <c r="H284" s="1">
        <f>100*E284/D284</f>
        <v>27.891714520098439</v>
      </c>
    </row>
    <row r="285" spans="1:8" x14ac:dyDescent="0.2">
      <c r="B285">
        <v>31</v>
      </c>
      <c r="C285">
        <v>7</v>
      </c>
      <c r="D285" s="2">
        <v>2.6930000000000001</v>
      </c>
      <c r="E285" s="2">
        <f>0.198+0.403+0.163</f>
        <v>0.76400000000000001</v>
      </c>
      <c r="F285" s="2">
        <f>(0.5/0.32)*D285</f>
        <v>4.2078125000000002</v>
      </c>
      <c r="G285" s="2">
        <f>(0.5/0.32)*E285</f>
        <v>1.1937500000000001</v>
      </c>
      <c r="H285" s="1">
        <f>100*E285/D285</f>
        <v>28.369847753434833</v>
      </c>
    </row>
    <row r="286" spans="1:8" x14ac:dyDescent="0.2">
      <c r="A286" t="s">
        <v>33</v>
      </c>
      <c r="B286">
        <v>32</v>
      </c>
      <c r="C286">
        <v>1</v>
      </c>
      <c r="D286" s="2">
        <v>2.8330000000000002</v>
      </c>
      <c r="E286" s="2">
        <f>0.357+0.843</f>
        <v>1.2</v>
      </c>
      <c r="F286" s="2">
        <f>(0.5/0.32)*D286</f>
        <v>4.4265625000000002</v>
      </c>
      <c r="G286" s="2">
        <f>(0.5/0.32)*E286</f>
        <v>1.875</v>
      </c>
      <c r="H286" s="1">
        <f>100*E286/D286</f>
        <v>42.357924461701373</v>
      </c>
    </row>
    <row r="287" spans="1:8" x14ac:dyDescent="0.2">
      <c r="B287">
        <v>33</v>
      </c>
      <c r="C287">
        <v>2</v>
      </c>
      <c r="D287" s="2">
        <v>2.9079999999999999</v>
      </c>
      <c r="E287" s="2">
        <f>0.449+0.865</f>
        <v>1.3140000000000001</v>
      </c>
      <c r="F287" s="2">
        <f>(0.5/0.32)*D287</f>
        <v>4.5437500000000002</v>
      </c>
      <c r="G287" s="2">
        <f>(0.5/0.32)*E287</f>
        <v>2.0531250000000001</v>
      </c>
      <c r="H287" s="1">
        <f>100*E287/D287</f>
        <v>45.185694635488311</v>
      </c>
    </row>
    <row r="288" spans="1:8" x14ac:dyDescent="0.2">
      <c r="B288">
        <v>34</v>
      </c>
      <c r="C288">
        <v>3</v>
      </c>
      <c r="D288" s="2">
        <v>3.6509999999999998</v>
      </c>
      <c r="E288" s="2">
        <f>0.799+0.906</f>
        <v>1.7050000000000001</v>
      </c>
      <c r="F288" s="2">
        <f>(0.5/0.32)*D288</f>
        <v>5.7046874999999995</v>
      </c>
      <c r="G288" s="2">
        <f>(0.5/0.32)*E288</f>
        <v>2.6640625</v>
      </c>
      <c r="H288" s="1">
        <f>100*E288/D288</f>
        <v>46.699534374144072</v>
      </c>
    </row>
    <row r="289" spans="1:8" x14ac:dyDescent="0.2">
      <c r="B289">
        <v>35</v>
      </c>
      <c r="C289">
        <v>4</v>
      </c>
      <c r="D289" s="2">
        <v>2.2749999999999999</v>
      </c>
      <c r="E289" s="2">
        <v>0.45600000000000002</v>
      </c>
      <c r="F289" s="2">
        <f>(0.5/0.32)*D289</f>
        <v>3.5546875</v>
      </c>
      <c r="G289" s="2">
        <f>(0.5/0.32)*E289</f>
        <v>0.71250000000000002</v>
      </c>
      <c r="H289" s="1">
        <f>100*E289/D289</f>
        <v>20.043956043956044</v>
      </c>
    </row>
    <row r="290" spans="1:8" x14ac:dyDescent="0.2">
      <c r="B290">
        <v>36</v>
      </c>
      <c r="C290">
        <v>5</v>
      </c>
      <c r="D290" s="2">
        <v>7.1319999999999997</v>
      </c>
      <c r="E290" s="2">
        <f>0.51+0.823+0.879+0.234+1.004</f>
        <v>3.4499999999999997</v>
      </c>
      <c r="F290" s="2">
        <f>(0.5/0.32)*D290</f>
        <v>11.143749999999999</v>
      </c>
      <c r="G290" s="2">
        <f>(0.5/0.32)*E290</f>
        <v>5.390625</v>
      </c>
      <c r="H290" s="1">
        <f>100*E290/D290</f>
        <v>48.373527762198542</v>
      </c>
    </row>
    <row r="291" spans="1:8" x14ac:dyDescent="0.2">
      <c r="B291">
        <v>37</v>
      </c>
      <c r="C291">
        <v>6</v>
      </c>
      <c r="D291" s="2">
        <v>3.1280000000000001</v>
      </c>
      <c r="E291" s="2">
        <f>0.363+0.338+0.37</f>
        <v>1.0710000000000002</v>
      </c>
      <c r="F291" s="2">
        <f>(0.5/0.32)*D291</f>
        <v>4.8875000000000002</v>
      </c>
      <c r="G291" s="2">
        <f>(0.5/0.32)*E291</f>
        <v>1.6734375000000004</v>
      </c>
      <c r="H291" s="1">
        <f>100*E291/D291</f>
        <v>34.239130434782616</v>
      </c>
    </row>
    <row r="292" spans="1:8" x14ac:dyDescent="0.2">
      <c r="B292">
        <v>38</v>
      </c>
      <c r="C292">
        <v>7</v>
      </c>
      <c r="D292" s="2">
        <v>4.4969999999999999</v>
      </c>
      <c r="E292" s="2">
        <f>0.375+0.318+0.691</f>
        <v>1.3839999999999999</v>
      </c>
      <c r="F292" s="2">
        <f>(0.5/0.32)*D292</f>
        <v>7.0265624999999998</v>
      </c>
      <c r="G292" s="2">
        <f>(0.5/0.32)*E292</f>
        <v>2.1624999999999996</v>
      </c>
      <c r="H292" s="1">
        <f>100*E292/D292</f>
        <v>30.776072937513895</v>
      </c>
    </row>
    <row r="293" spans="1:8" x14ac:dyDescent="0.2">
      <c r="A293" t="s">
        <v>32</v>
      </c>
      <c r="B293">
        <v>39</v>
      </c>
      <c r="C293">
        <v>1</v>
      </c>
      <c r="D293" s="2">
        <v>4.0979999999999999</v>
      </c>
      <c r="E293" s="2">
        <f>0.382+0.828</f>
        <v>1.21</v>
      </c>
      <c r="F293" s="2">
        <f>(0.5/0.32)*D293</f>
        <v>6.4031250000000002</v>
      </c>
      <c r="G293" s="2">
        <f>(0.5/0.32)*E293</f>
        <v>1.890625</v>
      </c>
      <c r="H293" s="1">
        <f>100*E293/D293</f>
        <v>29.52659834065398</v>
      </c>
    </row>
    <row r="294" spans="1:8" x14ac:dyDescent="0.2">
      <c r="B294">
        <v>40</v>
      </c>
      <c r="C294">
        <v>2</v>
      </c>
      <c r="D294" s="2">
        <v>3.9630000000000001</v>
      </c>
      <c r="E294" s="2">
        <f>0.238+0.502</f>
        <v>0.74</v>
      </c>
      <c r="F294" s="2">
        <f>(0.5/0.32)*D294</f>
        <v>6.1921875000000002</v>
      </c>
      <c r="G294" s="2">
        <f>(0.5/0.32)*E294</f>
        <v>1.15625</v>
      </c>
      <c r="H294" s="1">
        <f>100*E294/D294</f>
        <v>18.672722684834721</v>
      </c>
    </row>
    <row r="295" spans="1:8" x14ac:dyDescent="0.2">
      <c r="B295">
        <v>41</v>
      </c>
      <c r="C295">
        <v>3</v>
      </c>
      <c r="D295" s="2">
        <v>3.2320000000000002</v>
      </c>
      <c r="E295" s="2">
        <f>0.505+0.267+0.448+0.28</f>
        <v>1.5</v>
      </c>
      <c r="F295" s="2">
        <f>(0.5/0.32)*D295</f>
        <v>5.0500000000000007</v>
      </c>
      <c r="G295" s="2">
        <f>(0.5/0.32)*E295</f>
        <v>2.34375</v>
      </c>
      <c r="H295" s="1">
        <f>100*E295/D295</f>
        <v>46.410891089108908</v>
      </c>
    </row>
    <row r="296" spans="1:8" x14ac:dyDescent="0.2">
      <c r="B296">
        <v>42</v>
      </c>
      <c r="C296">
        <v>4</v>
      </c>
      <c r="D296" s="2">
        <v>2.0070000000000001</v>
      </c>
      <c r="E296" s="2">
        <v>0.434</v>
      </c>
      <c r="F296" s="2">
        <f>(0.5/0.32)*D296</f>
        <v>3.1359375000000003</v>
      </c>
      <c r="G296" s="2">
        <f>(0.5/0.32)*E296</f>
        <v>0.67812499999999998</v>
      </c>
      <c r="H296" s="1">
        <f>100*E296/D296</f>
        <v>21.624314897857495</v>
      </c>
    </row>
    <row r="297" spans="1:8" x14ac:dyDescent="0.2">
      <c r="A297" t="s">
        <v>31</v>
      </c>
      <c r="B297">
        <v>43</v>
      </c>
      <c r="C297">
        <v>1</v>
      </c>
      <c r="D297" s="2">
        <v>2.5219999999999998</v>
      </c>
      <c r="E297" s="2">
        <f>0.255+0.147+0.115+0.249+0.538</f>
        <v>1.304</v>
      </c>
      <c r="F297" s="2">
        <f>(0.5/0.32)*D297</f>
        <v>3.9406249999999998</v>
      </c>
      <c r="G297" s="2">
        <f>(0.5/0.32)*E297</f>
        <v>2.0375000000000001</v>
      </c>
      <c r="H297" s="1">
        <f>100*E297/D297</f>
        <v>51.70499603489295</v>
      </c>
    </row>
    <row r="298" spans="1:8" x14ac:dyDescent="0.2">
      <c r="B298">
        <v>44</v>
      </c>
      <c r="C298">
        <v>2</v>
      </c>
      <c r="D298" s="2">
        <v>2.9950000000000001</v>
      </c>
      <c r="E298" s="2">
        <f>0.414+0.518</f>
        <v>0.93199999999999994</v>
      </c>
      <c r="F298" s="2">
        <f>(0.5/0.32)*D298</f>
        <v>4.6796875</v>
      </c>
      <c r="G298" s="2">
        <f>(0.5/0.32)*E298</f>
        <v>1.4562499999999998</v>
      </c>
      <c r="H298" s="1">
        <f>100*E298/D298</f>
        <v>31.11853088480801</v>
      </c>
    </row>
    <row r="299" spans="1:8" x14ac:dyDescent="0.2">
      <c r="B299">
        <v>45</v>
      </c>
      <c r="C299">
        <v>3</v>
      </c>
      <c r="D299" s="2">
        <v>3.2010000000000001</v>
      </c>
      <c r="E299" s="2">
        <f>0.279+0.339</f>
        <v>0.6180000000000001</v>
      </c>
      <c r="F299" s="2">
        <f>(0.5/0.32)*D299</f>
        <v>5.0015625000000004</v>
      </c>
      <c r="G299" s="2">
        <f>(0.5/0.32)*E299</f>
        <v>0.96562500000000018</v>
      </c>
      <c r="H299" s="1">
        <f>100*E299/D299</f>
        <v>19.306466729147143</v>
      </c>
    </row>
    <row r="300" spans="1:8" x14ac:dyDescent="0.2">
      <c r="B300">
        <v>46</v>
      </c>
      <c r="C300">
        <v>4</v>
      </c>
      <c r="D300" s="2">
        <v>4.9619999999999997</v>
      </c>
      <c r="E300" s="2">
        <f>0.391+1.286+0.488</f>
        <v>2.165</v>
      </c>
      <c r="F300" s="2">
        <f>(0.5/0.32)*D300</f>
        <v>7.7531249999999998</v>
      </c>
      <c r="G300" s="2">
        <f>(0.5/0.32)*E300</f>
        <v>3.3828125</v>
      </c>
      <c r="H300" s="1">
        <f>100*E300/D300</f>
        <v>43.631600161225315</v>
      </c>
    </row>
    <row r="301" spans="1:8" x14ac:dyDescent="0.2">
      <c r="B301">
        <v>47</v>
      </c>
      <c r="C301">
        <v>5</v>
      </c>
      <c r="D301" s="2">
        <v>2.3580000000000001</v>
      </c>
      <c r="E301" s="2">
        <v>0.81699999999999995</v>
      </c>
      <c r="F301" s="2">
        <f>(0.5/0.32)*D301</f>
        <v>3.6843750000000002</v>
      </c>
      <c r="G301" s="2">
        <f>(0.5/0.32)*E301</f>
        <v>1.2765624999999998</v>
      </c>
      <c r="H301" s="1">
        <f>100*E301/D301</f>
        <v>34.648006785411361</v>
      </c>
    </row>
    <row r="302" spans="1:8" x14ac:dyDescent="0.2">
      <c r="B302">
        <v>48</v>
      </c>
      <c r="C302">
        <v>6</v>
      </c>
      <c r="D302" s="2">
        <v>1.77</v>
      </c>
      <c r="E302" s="2">
        <f>0.12+0.646</f>
        <v>0.76600000000000001</v>
      </c>
      <c r="F302" s="2">
        <f>(0.5/0.32)*D302</f>
        <v>2.765625</v>
      </c>
      <c r="G302" s="2">
        <f>(0.5/0.32)*E302</f>
        <v>1.1968749999999999</v>
      </c>
      <c r="H302" s="1">
        <f>100*E302/D302</f>
        <v>43.27683615819209</v>
      </c>
    </row>
    <row r="303" spans="1:8" x14ac:dyDescent="0.2">
      <c r="B303">
        <v>49</v>
      </c>
      <c r="C303">
        <v>7</v>
      </c>
      <c r="D303" s="2">
        <v>2.3010000000000002</v>
      </c>
      <c r="E303" s="2">
        <f>0.401+0.594</f>
        <v>0.995</v>
      </c>
      <c r="F303" s="2">
        <f>(0.5/0.32)*D303</f>
        <v>3.5953125000000004</v>
      </c>
      <c r="G303" s="2">
        <f>(0.5/0.32)*E303</f>
        <v>1.5546875</v>
      </c>
      <c r="H303" s="1">
        <f>100*E303/D303</f>
        <v>43.242068665797476</v>
      </c>
    </row>
    <row r="304" spans="1:8" x14ac:dyDescent="0.2">
      <c r="B304">
        <v>50</v>
      </c>
      <c r="C304">
        <v>8</v>
      </c>
      <c r="D304" s="2">
        <v>2.58</v>
      </c>
      <c r="E304" s="2">
        <f>0.393+0.912</f>
        <v>1.3050000000000002</v>
      </c>
      <c r="F304" s="2">
        <f>(0.5/0.32)*D304</f>
        <v>4.03125</v>
      </c>
      <c r="G304" s="2">
        <f>(0.5/0.32)*E304</f>
        <v>2.0390625000000004</v>
      </c>
      <c r="H304" s="1">
        <f>100*E304/D304</f>
        <v>50.581395348837219</v>
      </c>
    </row>
    <row r="305" spans="1:8" x14ac:dyDescent="0.2">
      <c r="B305">
        <v>51</v>
      </c>
      <c r="C305">
        <v>9</v>
      </c>
      <c r="D305" s="2">
        <v>2.4289999999999998</v>
      </c>
      <c r="E305" s="2">
        <v>1.1220000000000001</v>
      </c>
      <c r="F305" s="2">
        <f>(0.5/0.32)*D305</f>
        <v>3.7953124999999996</v>
      </c>
      <c r="G305" s="2">
        <f>(0.5/0.32)*E305</f>
        <v>1.7531250000000003</v>
      </c>
      <c r="H305" s="1">
        <f>100*E305/D305</f>
        <v>46.19184849732401</v>
      </c>
    </row>
    <row r="306" spans="1:8" x14ac:dyDescent="0.2">
      <c r="B306">
        <v>52</v>
      </c>
      <c r="C306">
        <v>10</v>
      </c>
      <c r="D306" s="2">
        <v>1.7509999999999999</v>
      </c>
      <c r="E306" s="2">
        <f>0.289+0.65</f>
        <v>0.93900000000000006</v>
      </c>
      <c r="F306" s="2">
        <f>(0.5/0.32)*D306</f>
        <v>2.7359374999999999</v>
      </c>
      <c r="G306" s="2">
        <f>(0.5/0.32)*E306</f>
        <v>1.4671875000000001</v>
      </c>
      <c r="H306" s="1">
        <f>100*E306/D306</f>
        <v>53.626499143346663</v>
      </c>
    </row>
    <row r="307" spans="1:8" x14ac:dyDescent="0.2">
      <c r="B307">
        <v>53</v>
      </c>
      <c r="C307">
        <v>11</v>
      </c>
      <c r="D307" s="2">
        <v>2.9140000000000001</v>
      </c>
      <c r="E307" s="2">
        <f>0.127+0.192+0.339</f>
        <v>0.65800000000000003</v>
      </c>
      <c r="F307" s="2">
        <f>(0.5/0.32)*D307</f>
        <v>4.5531250000000005</v>
      </c>
      <c r="G307" s="2">
        <f>(0.5/0.32)*E307</f>
        <v>1.028125</v>
      </c>
      <c r="H307" s="1">
        <f>100*E307/D307</f>
        <v>22.58064516129032</v>
      </c>
    </row>
    <row r="308" spans="1:8" x14ac:dyDescent="0.2">
      <c r="B308">
        <v>54</v>
      </c>
      <c r="C308">
        <v>12</v>
      </c>
      <c r="D308" s="2">
        <v>3.0979999999999999</v>
      </c>
      <c r="E308" s="2">
        <f>0.534+0.613+0.272</f>
        <v>1.419</v>
      </c>
      <c r="F308" s="2">
        <f>(0.5/0.32)*D308</f>
        <v>4.8406250000000002</v>
      </c>
      <c r="G308" s="2">
        <f>(0.5/0.32)*E308</f>
        <v>2.2171875000000001</v>
      </c>
      <c r="H308" s="1">
        <f>100*E308/D308</f>
        <v>45.803744351194325</v>
      </c>
    </row>
    <row r="309" spans="1:8" x14ac:dyDescent="0.2">
      <c r="A309" t="s">
        <v>30</v>
      </c>
      <c r="B309">
        <v>55</v>
      </c>
      <c r="C309">
        <v>1</v>
      </c>
      <c r="D309" s="2">
        <v>3.6440000000000001</v>
      </c>
      <c r="E309" s="2">
        <f>0.259+0.436+0.146+0.968</f>
        <v>1.8090000000000002</v>
      </c>
      <c r="F309" s="2">
        <f>(0.5/0.32)*D309</f>
        <v>5.6937500000000005</v>
      </c>
      <c r="G309" s="2">
        <f>(0.5/0.32)*E309</f>
        <v>2.8265625000000001</v>
      </c>
      <c r="H309" s="1">
        <f>100*E309/D309</f>
        <v>49.643249176728872</v>
      </c>
    </row>
    <row r="310" spans="1:8" x14ac:dyDescent="0.2">
      <c r="B310">
        <v>56</v>
      </c>
      <c r="C310">
        <v>2</v>
      </c>
      <c r="D310" s="2">
        <v>1.97</v>
      </c>
      <c r="E310" s="2">
        <v>0.36399999999999999</v>
      </c>
      <c r="F310" s="2">
        <f>(0.5/0.32)*D310</f>
        <v>3.078125</v>
      </c>
      <c r="G310" s="2">
        <f>(0.5/0.32)*E310</f>
        <v>0.56874999999999998</v>
      </c>
      <c r="H310" s="1">
        <f>100*E310/D310</f>
        <v>18.477157360406093</v>
      </c>
    </row>
    <row r="311" spans="1:8" x14ac:dyDescent="0.2">
      <c r="B311">
        <v>57</v>
      </c>
      <c r="C311">
        <v>3</v>
      </c>
      <c r="D311" s="2">
        <v>2.593</v>
      </c>
      <c r="E311" s="2">
        <f>0.303+0.346</f>
        <v>0.64900000000000002</v>
      </c>
      <c r="F311" s="2">
        <f>(0.5/0.32)*D311</f>
        <v>4.0515625000000002</v>
      </c>
      <c r="G311" s="2">
        <f>(0.5/0.32)*E311</f>
        <v>1.0140625000000001</v>
      </c>
      <c r="H311" s="1">
        <f>100*E311/D311</f>
        <v>25.028924026224452</v>
      </c>
    </row>
    <row r="312" spans="1:8" x14ac:dyDescent="0.2">
      <c r="B312">
        <v>58</v>
      </c>
      <c r="C312">
        <v>4</v>
      </c>
      <c r="D312" s="2">
        <v>2.9510000000000001</v>
      </c>
      <c r="E312" s="2">
        <f>0.301+0.187+0.277</f>
        <v>0.76500000000000001</v>
      </c>
      <c r="F312" s="2">
        <f>(0.5/0.32)*D312</f>
        <v>4.6109375000000004</v>
      </c>
      <c r="G312" s="2">
        <f>(0.5/0.32)*E312</f>
        <v>1.1953125</v>
      </c>
      <c r="H312" s="1">
        <f>100*E312/D312</f>
        <v>25.923415791257199</v>
      </c>
    </row>
    <row r="313" spans="1:8" x14ac:dyDescent="0.2">
      <c r="A313" t="s">
        <v>29</v>
      </c>
      <c r="B313">
        <v>59</v>
      </c>
      <c r="C313">
        <v>1</v>
      </c>
      <c r="D313" s="2">
        <v>2.1339999999999999</v>
      </c>
      <c r="E313" s="2">
        <f>0.493+0.665</f>
        <v>1.1579999999999999</v>
      </c>
      <c r="F313" s="2">
        <f>(0.5/0.32)*D313</f>
        <v>3.3343749999999996</v>
      </c>
      <c r="G313" s="2">
        <f>(0.5/0.32)*E313</f>
        <v>1.809375</v>
      </c>
      <c r="H313" s="1">
        <f>100*E313/D313</f>
        <v>54.264292408622303</v>
      </c>
    </row>
    <row r="314" spans="1:8" x14ac:dyDescent="0.2">
      <c r="B314">
        <v>60</v>
      </c>
      <c r="C314">
        <v>2</v>
      </c>
      <c r="D314" s="2">
        <v>2.859</v>
      </c>
      <c r="E314" s="2">
        <f>0.573+0.364+0.894</f>
        <v>1.831</v>
      </c>
      <c r="F314" s="2">
        <f>(0.5/0.32)*D314</f>
        <v>4.4671874999999996</v>
      </c>
      <c r="G314" s="2">
        <f>(0.5/0.32)*E314</f>
        <v>2.8609374999999999</v>
      </c>
      <c r="H314" s="1">
        <f>100*E314/D314</f>
        <v>64.043371808324594</v>
      </c>
    </row>
    <row r="315" spans="1:8" x14ac:dyDescent="0.2">
      <c r="B315">
        <v>61</v>
      </c>
      <c r="C315">
        <v>3</v>
      </c>
      <c r="D315" s="2">
        <v>4.1079999999999997</v>
      </c>
      <c r="E315" s="2">
        <f>0.258+3.349</f>
        <v>3.6070000000000002</v>
      </c>
      <c r="F315" s="2">
        <f>(0.5/0.32)*D315</f>
        <v>6.4187499999999993</v>
      </c>
      <c r="G315" s="2">
        <f>(0.5/0.32)*E315</f>
        <v>5.6359375000000007</v>
      </c>
      <c r="H315" s="1">
        <f>100*E315/D315</f>
        <v>87.804284323271688</v>
      </c>
    </row>
    <row r="316" spans="1:8" x14ac:dyDescent="0.2">
      <c r="B316">
        <v>62</v>
      </c>
      <c r="C316">
        <v>4</v>
      </c>
      <c r="D316" s="2">
        <v>1.7490000000000001</v>
      </c>
      <c r="E316" s="2">
        <v>0.79600000000000004</v>
      </c>
      <c r="F316" s="2">
        <f>(0.5/0.32)*D316</f>
        <v>2.7328125000000001</v>
      </c>
      <c r="G316" s="2">
        <f>(0.5/0.32)*E316</f>
        <v>1.2437500000000001</v>
      </c>
      <c r="H316" s="1">
        <f>100*E316/D316</f>
        <v>45.511720983419096</v>
      </c>
    </row>
    <row r="317" spans="1:8" x14ac:dyDescent="0.2">
      <c r="B317">
        <v>63</v>
      </c>
      <c r="C317">
        <v>5</v>
      </c>
      <c r="D317" s="2">
        <v>4.2080000000000002</v>
      </c>
      <c r="E317" s="2">
        <f>0.979+0.393</f>
        <v>1.3719999999999999</v>
      </c>
      <c r="F317" s="2">
        <f>(0.5/0.32)*D317</f>
        <v>6.5750000000000002</v>
      </c>
      <c r="G317" s="2">
        <f>(0.5/0.32)*E317</f>
        <v>2.1437499999999998</v>
      </c>
      <c r="H317" s="1">
        <f>100*E317/D317</f>
        <v>32.604562737642581</v>
      </c>
    </row>
    <row r="318" spans="1:8" x14ac:dyDescent="0.2">
      <c r="B318">
        <v>64</v>
      </c>
      <c r="C318">
        <v>6</v>
      </c>
      <c r="D318" s="2">
        <v>1.98</v>
      </c>
      <c r="E318" s="2">
        <f>0.857+0.228</f>
        <v>1.085</v>
      </c>
      <c r="F318" s="2">
        <f>(0.5/0.32)*D318</f>
        <v>3.09375</v>
      </c>
      <c r="G318" s="2">
        <f>(0.5/0.32)*E318</f>
        <v>1.6953125</v>
      </c>
      <c r="H318" s="1">
        <f>100*E318/D318</f>
        <v>54.797979797979799</v>
      </c>
    </row>
    <row r="319" spans="1:8" x14ac:dyDescent="0.2">
      <c r="B319">
        <v>65</v>
      </c>
      <c r="C319">
        <v>7</v>
      </c>
      <c r="D319" s="2">
        <v>1.885</v>
      </c>
      <c r="E319" s="2">
        <v>0.315</v>
      </c>
      <c r="F319" s="2">
        <f>(0.5/0.32)*D319</f>
        <v>2.9453125</v>
      </c>
      <c r="G319" s="2">
        <f>(0.5/0.32)*E319</f>
        <v>0.4921875</v>
      </c>
      <c r="H319" s="1">
        <f>100*E319/D319</f>
        <v>16.710875331564985</v>
      </c>
    </row>
    <row r="320" spans="1:8" x14ac:dyDescent="0.2">
      <c r="A320" t="s">
        <v>28</v>
      </c>
      <c r="B320">
        <v>66</v>
      </c>
      <c r="C320">
        <v>1</v>
      </c>
      <c r="D320" s="2">
        <v>2.1549999999999998</v>
      </c>
      <c r="E320" s="2">
        <f>1.065+0.362</f>
        <v>1.427</v>
      </c>
      <c r="F320" s="2">
        <f>(0.5/0.32)*D320</f>
        <v>3.3671874999999996</v>
      </c>
      <c r="G320" s="2">
        <f>(0.5/0.32)*E320</f>
        <v>2.2296875000000003</v>
      </c>
      <c r="H320" s="1">
        <f>100*E320/D320</f>
        <v>66.218097447795842</v>
      </c>
    </row>
    <row r="321" spans="1:8" x14ac:dyDescent="0.2">
      <c r="B321">
        <v>67</v>
      </c>
      <c r="C321">
        <v>2</v>
      </c>
      <c r="D321" s="2">
        <v>2.0880000000000001</v>
      </c>
      <c r="E321" s="2">
        <v>0.16800000000000001</v>
      </c>
      <c r="F321" s="2">
        <f>(0.5/0.32)*D321</f>
        <v>3.2625000000000002</v>
      </c>
      <c r="G321" s="2">
        <f>(0.5/0.32)*E321</f>
        <v>0.26250000000000001</v>
      </c>
      <c r="H321" s="1">
        <f>100*E321/D321</f>
        <v>8.0459770114942533</v>
      </c>
    </row>
    <row r="322" spans="1:8" x14ac:dyDescent="0.2">
      <c r="B322">
        <v>68</v>
      </c>
      <c r="C322">
        <v>3</v>
      </c>
      <c r="D322" s="2">
        <v>2.6680000000000001</v>
      </c>
      <c r="E322" s="2">
        <f>0.608+0.28</f>
        <v>0.88800000000000001</v>
      </c>
      <c r="F322" s="2">
        <f>(0.5/0.32)*D322</f>
        <v>4.1687500000000002</v>
      </c>
      <c r="G322" s="2">
        <f>(0.5/0.32)*E322</f>
        <v>1.3875</v>
      </c>
      <c r="H322" s="1">
        <f>100*E322/D322</f>
        <v>33.283358320839575</v>
      </c>
    </row>
    <row r="323" spans="1:8" x14ac:dyDescent="0.2">
      <c r="B323">
        <v>69</v>
      </c>
      <c r="C323">
        <v>4</v>
      </c>
      <c r="D323" s="2">
        <v>5.1479999999999997</v>
      </c>
      <c r="E323" s="2">
        <v>0.436</v>
      </c>
      <c r="F323" s="2">
        <f>(0.5/0.32)*D323</f>
        <v>8.0437499999999993</v>
      </c>
      <c r="G323" s="2">
        <f>(0.5/0.32)*E323</f>
        <v>0.68125000000000002</v>
      </c>
      <c r="H323" s="1">
        <f>100*E323/D323</f>
        <v>8.4693084693084693</v>
      </c>
    </row>
    <row r="324" spans="1:8" x14ac:dyDescent="0.2">
      <c r="B324">
        <v>70</v>
      </c>
      <c r="C324">
        <v>5</v>
      </c>
      <c r="D324" s="2">
        <v>6.5010000000000003</v>
      </c>
      <c r="E324" s="2">
        <f>0.936+0.529</f>
        <v>1.4650000000000001</v>
      </c>
      <c r="F324" s="2">
        <f>(0.5/0.32)*D324</f>
        <v>10.1578125</v>
      </c>
      <c r="G324" s="2">
        <f>(0.5/0.32)*E324</f>
        <v>2.2890625</v>
      </c>
      <c r="H324" s="1">
        <f>100*E324/D324</f>
        <v>22.534994616212888</v>
      </c>
    </row>
    <row r="325" spans="1:8" x14ac:dyDescent="0.2">
      <c r="B325">
        <v>71</v>
      </c>
      <c r="C325">
        <v>6</v>
      </c>
      <c r="D325" s="2">
        <v>2.0939999999999999</v>
      </c>
      <c r="E325" s="2">
        <f>0.709+0.117+0.186</f>
        <v>1.012</v>
      </c>
      <c r="F325" s="2">
        <f>(0.5/0.32)*D325</f>
        <v>3.2718749999999996</v>
      </c>
      <c r="G325" s="2">
        <f>(0.5/0.32)*E325</f>
        <v>1.58125</v>
      </c>
      <c r="H325" s="1">
        <f>100*E325/D325</f>
        <v>48.328557784145183</v>
      </c>
    </row>
    <row r="326" spans="1:8" x14ac:dyDescent="0.2">
      <c r="A326" t="s">
        <v>27</v>
      </c>
      <c r="B326">
        <v>72</v>
      </c>
      <c r="C326">
        <v>1</v>
      </c>
      <c r="D326" s="2">
        <v>3.8130000000000002</v>
      </c>
      <c r="E326" s="2">
        <f>0.431+1.137+0.195</f>
        <v>1.7630000000000001</v>
      </c>
      <c r="F326" s="2">
        <f>(0.5/0.32)*D326</f>
        <v>5.9578125000000002</v>
      </c>
      <c r="G326" s="2">
        <f>(0.5/0.32)*E326</f>
        <v>2.7546875000000002</v>
      </c>
      <c r="H326" s="1">
        <f>100*E326/D326</f>
        <v>46.236559139784944</v>
      </c>
    </row>
    <row r="327" spans="1:8" x14ac:dyDescent="0.2">
      <c r="B327">
        <v>73</v>
      </c>
      <c r="C327">
        <v>2</v>
      </c>
      <c r="D327" s="2">
        <v>3.92</v>
      </c>
      <c r="E327" s="2">
        <f>0.294+0.324+0.593</f>
        <v>1.2109999999999999</v>
      </c>
      <c r="F327" s="2">
        <f>(0.5/0.32)*D327</f>
        <v>6.125</v>
      </c>
      <c r="G327" s="2">
        <f>(0.5/0.32)*E327</f>
        <v>1.8921874999999997</v>
      </c>
      <c r="H327" s="1">
        <f>100*E327/D327</f>
        <v>30.892857142857139</v>
      </c>
    </row>
    <row r="328" spans="1:8" x14ac:dyDescent="0.2">
      <c r="B328">
        <v>74</v>
      </c>
      <c r="C328">
        <v>3</v>
      </c>
      <c r="D328" s="2">
        <v>3.5350000000000001</v>
      </c>
      <c r="E328" s="2">
        <f>0.389+1.417</f>
        <v>1.806</v>
      </c>
      <c r="F328" s="2">
        <f>(0.5/0.32)*D328</f>
        <v>5.5234375</v>
      </c>
      <c r="G328" s="2">
        <f>(0.5/0.32)*E328</f>
        <v>2.8218749999999999</v>
      </c>
      <c r="H328" s="1">
        <f>100*E328/D328</f>
        <v>51.089108910891085</v>
      </c>
    </row>
    <row r="329" spans="1:8" x14ac:dyDescent="0.2">
      <c r="B329">
        <v>75</v>
      </c>
      <c r="C329">
        <v>4</v>
      </c>
      <c r="D329" s="2">
        <v>3.3</v>
      </c>
      <c r="E329" s="2">
        <f>0.548+0.286</f>
        <v>0.83400000000000007</v>
      </c>
      <c r="F329" s="2">
        <f>(0.5/0.32)*D329</f>
        <v>5.15625</v>
      </c>
      <c r="G329" s="2">
        <f>(0.5/0.32)*E329</f>
        <v>1.3031250000000001</v>
      </c>
      <c r="H329" s="1">
        <f>100*E329/D329</f>
        <v>25.272727272727277</v>
      </c>
    </row>
    <row r="330" spans="1:8" x14ac:dyDescent="0.2">
      <c r="B330">
        <v>76</v>
      </c>
      <c r="C330">
        <v>5</v>
      </c>
      <c r="D330" s="2">
        <v>3.915</v>
      </c>
      <c r="E330" s="2">
        <v>0.82199999999999995</v>
      </c>
      <c r="F330" s="2">
        <f>(0.5/0.32)*D330</f>
        <v>6.1171875</v>
      </c>
      <c r="G330" s="2">
        <f>(0.5/0.32)*E330</f>
        <v>1.2843749999999998</v>
      </c>
      <c r="H330" s="1">
        <f>100*E330/D330</f>
        <v>20.996168582375475</v>
      </c>
    </row>
    <row r="331" spans="1:8" x14ac:dyDescent="0.2">
      <c r="A331" t="s">
        <v>26</v>
      </c>
      <c r="B331">
        <v>77</v>
      </c>
      <c r="C331">
        <v>1</v>
      </c>
      <c r="D331" s="2">
        <v>4.0410000000000004</v>
      </c>
      <c r="E331" s="2">
        <f>1.352+1.365</f>
        <v>2.7170000000000001</v>
      </c>
      <c r="F331" s="2">
        <f>(0.5/0.32)*D331</f>
        <v>6.3140625000000004</v>
      </c>
      <c r="G331" s="2">
        <f>(0.5/0.32)*E331</f>
        <v>4.2453124999999998</v>
      </c>
      <c r="H331" s="1">
        <f>100*E331/D331</f>
        <v>67.235832714674572</v>
      </c>
    </row>
    <row r="332" spans="1:8" x14ac:dyDescent="0.2">
      <c r="B332">
        <v>78</v>
      </c>
      <c r="C332">
        <v>2</v>
      </c>
      <c r="D332" s="2">
        <v>3.032</v>
      </c>
      <c r="E332" s="2">
        <f>0.652+0.277</f>
        <v>0.92900000000000005</v>
      </c>
      <c r="F332" s="2">
        <f>(0.5/0.32)*D332</f>
        <v>4.7374999999999998</v>
      </c>
      <c r="G332" s="2">
        <f>(0.5/0.32)*E332</f>
        <v>1.4515625000000001</v>
      </c>
      <c r="H332" s="1">
        <f>100*E332/D332</f>
        <v>30.639841688654354</v>
      </c>
    </row>
    <row r="333" spans="1:8" x14ac:dyDescent="0.2">
      <c r="B333">
        <v>79</v>
      </c>
      <c r="C333">
        <v>3</v>
      </c>
      <c r="D333" s="2">
        <v>2.2610000000000001</v>
      </c>
      <c r="E333" s="2">
        <f>1.266+0.21</f>
        <v>1.476</v>
      </c>
      <c r="F333" s="2">
        <f>(0.5/0.32)*D333</f>
        <v>3.5328125000000004</v>
      </c>
      <c r="G333" s="2">
        <f>(0.5/0.32)*E333</f>
        <v>2.3062499999999999</v>
      </c>
      <c r="H333" s="1">
        <f>100*E333/D333</f>
        <v>65.280849181777967</v>
      </c>
    </row>
    <row r="334" spans="1:8" x14ac:dyDescent="0.2">
      <c r="B334">
        <v>80</v>
      </c>
      <c r="C334">
        <v>4</v>
      </c>
      <c r="D334" s="2">
        <v>2.2810000000000001</v>
      </c>
      <c r="E334" s="2">
        <f>0.66+0.836</f>
        <v>1.496</v>
      </c>
      <c r="F334" s="2">
        <f>(0.5/0.32)*D334</f>
        <v>3.5640625000000004</v>
      </c>
      <c r="G334" s="2">
        <f>(0.5/0.32)*E334</f>
        <v>2.3374999999999999</v>
      </c>
      <c r="H334" s="1">
        <f>100*E334/D334</f>
        <v>65.585269618588327</v>
      </c>
    </row>
    <row r="335" spans="1:8" x14ac:dyDescent="0.2">
      <c r="B335">
        <v>81</v>
      </c>
      <c r="C335">
        <v>5</v>
      </c>
      <c r="D335" s="2">
        <v>6.1790000000000003</v>
      </c>
      <c r="E335" s="2">
        <f>0.102+0.512+0.64+0.828</f>
        <v>2.0819999999999999</v>
      </c>
      <c r="F335" s="2">
        <f>(0.5/0.32)*D335</f>
        <v>9.6546874999999996</v>
      </c>
      <c r="G335" s="2">
        <f>(0.5/0.32)*E335</f>
        <v>3.2531249999999998</v>
      </c>
      <c r="H335" s="1">
        <f>100*E335/D335</f>
        <v>33.694772616928304</v>
      </c>
    </row>
    <row r="336" spans="1:8" x14ac:dyDescent="0.2">
      <c r="B336">
        <v>82</v>
      </c>
      <c r="C336">
        <v>6</v>
      </c>
      <c r="D336" s="2">
        <v>2.226</v>
      </c>
      <c r="E336" s="2">
        <f>0.141+0.475</f>
        <v>0.61599999999999999</v>
      </c>
      <c r="F336" s="2">
        <f>(0.5/0.32)*D336</f>
        <v>3.4781249999999999</v>
      </c>
      <c r="G336" s="2">
        <f>(0.5/0.32)*E336</f>
        <v>0.96250000000000002</v>
      </c>
      <c r="H336" s="1">
        <f>100*E336/D336</f>
        <v>27.672955974842768</v>
      </c>
    </row>
    <row r="338" spans="1:8" x14ac:dyDescent="0.2">
      <c r="C338" t="s">
        <v>1</v>
      </c>
      <c r="D338" s="2">
        <f>AVERAGE(D255:D336)</f>
        <v>3.4983048780487809</v>
      </c>
      <c r="E338" s="2">
        <f>AVERAGE(E255:E336)</f>
        <v>1.1709146341463419</v>
      </c>
      <c r="F338" s="2">
        <f>AVERAGE(F255:F336)</f>
        <v>5.4661013719512184</v>
      </c>
      <c r="G338" s="2">
        <f>AVERAGE(G255:G336)</f>
        <v>1.8295541158536586</v>
      </c>
      <c r="H338" s="2">
        <f>AVERAGE(H255:H336)</f>
        <v>35.257548225131515</v>
      </c>
    </row>
    <row r="339" spans="1:8" x14ac:dyDescent="0.2">
      <c r="C339" t="s">
        <v>0</v>
      </c>
      <c r="D339" s="2">
        <f>STDEV(D255:D336)</f>
        <v>2.036336996347107</v>
      </c>
      <c r="E339" s="2">
        <f>STDEV(E255:E336)</f>
        <v>0.7576816198556936</v>
      </c>
      <c r="F339" s="2">
        <f>STDEV(F255:F336)</f>
        <v>3.1817765567923573</v>
      </c>
      <c r="G339" s="2">
        <f>STDEV(G255:G336)</f>
        <v>1.1838775310245215</v>
      </c>
      <c r="H339" s="2">
        <f>STDEV(H255:H336)</f>
        <v>17.113330285983885</v>
      </c>
    </row>
    <row r="341" spans="1:8" x14ac:dyDescent="0.2">
      <c r="A341" t="s">
        <v>25</v>
      </c>
    </row>
    <row r="342" spans="1:8" x14ac:dyDescent="0.2">
      <c r="A342" s="5" t="s">
        <v>24</v>
      </c>
      <c r="B342" s="5" t="s">
        <v>23</v>
      </c>
      <c r="C342" s="5" t="s">
        <v>22</v>
      </c>
      <c r="D342" s="4" t="s">
        <v>21</v>
      </c>
      <c r="E342" s="4" t="s">
        <v>20</v>
      </c>
      <c r="F342" s="4" t="s">
        <v>19</v>
      </c>
      <c r="G342" s="4" t="s">
        <v>18</v>
      </c>
      <c r="H342" s="3" t="s">
        <v>17</v>
      </c>
    </row>
    <row r="343" spans="1:8" x14ac:dyDescent="0.2">
      <c r="A343" t="s">
        <v>16</v>
      </c>
      <c r="B343">
        <v>1</v>
      </c>
      <c r="C343">
        <v>1</v>
      </c>
      <c r="D343" s="2">
        <v>2.8809999999999998</v>
      </c>
      <c r="E343" s="2">
        <f>1.056+1.367</f>
        <v>2.423</v>
      </c>
      <c r="F343" s="2">
        <f>(0.5/0.32)*D343</f>
        <v>4.5015624999999995</v>
      </c>
      <c r="G343" s="2">
        <f>(0.5/0.32)*E343</f>
        <v>3.7859375000000002</v>
      </c>
      <c r="H343" s="1">
        <f>100*E343/D343</f>
        <v>84.102742103436313</v>
      </c>
    </row>
    <row r="344" spans="1:8" x14ac:dyDescent="0.2">
      <c r="B344">
        <v>2</v>
      </c>
      <c r="C344">
        <v>2</v>
      </c>
      <c r="D344" s="2">
        <v>2.1970000000000001</v>
      </c>
      <c r="E344" s="2">
        <v>0.60799999999999998</v>
      </c>
      <c r="F344" s="2">
        <f>(0.5/0.32)*D344</f>
        <v>3.4328125000000003</v>
      </c>
      <c r="G344" s="2">
        <f>(0.5/0.32)*E344</f>
        <v>0.95</v>
      </c>
      <c r="H344" s="1">
        <f>100*E344/D344</f>
        <v>27.674101046882111</v>
      </c>
    </row>
    <row r="345" spans="1:8" x14ac:dyDescent="0.2">
      <c r="B345">
        <v>3</v>
      </c>
      <c r="C345">
        <v>3</v>
      </c>
      <c r="D345" s="2">
        <v>2.1840000000000002</v>
      </c>
      <c r="E345" s="2">
        <v>0.253</v>
      </c>
      <c r="F345" s="2">
        <f>(0.5/0.32)*D345</f>
        <v>3.4125000000000001</v>
      </c>
      <c r="G345" s="2">
        <f>(0.5/0.32)*E345</f>
        <v>0.39531250000000001</v>
      </c>
      <c r="H345" s="1">
        <f>100*E345/D345</f>
        <v>11.584249084249084</v>
      </c>
    </row>
    <row r="346" spans="1:8" x14ac:dyDescent="0.2">
      <c r="B346">
        <v>4</v>
      </c>
      <c r="C346">
        <v>4</v>
      </c>
      <c r="D346" s="2">
        <v>2.7919999999999998</v>
      </c>
      <c r="E346" s="2">
        <v>0.76600000000000001</v>
      </c>
      <c r="F346" s="2">
        <f>(0.5/0.32)*D346</f>
        <v>4.3624999999999998</v>
      </c>
      <c r="G346" s="2">
        <f>(0.5/0.32)*E346</f>
        <v>1.1968749999999999</v>
      </c>
      <c r="H346" s="1">
        <f>100*E346/D346</f>
        <v>27.435530085959886</v>
      </c>
    </row>
    <row r="347" spans="1:8" x14ac:dyDescent="0.2">
      <c r="B347">
        <v>5</v>
      </c>
      <c r="C347">
        <v>5</v>
      </c>
      <c r="D347" s="2">
        <v>1.474</v>
      </c>
      <c r="E347" s="2">
        <v>0.63100000000000001</v>
      </c>
      <c r="F347" s="2">
        <f>(0.5/0.32)*D347</f>
        <v>2.3031250000000001</v>
      </c>
      <c r="G347" s="2">
        <f>(0.5/0.32)*E347</f>
        <v>0.98593750000000002</v>
      </c>
      <c r="H347" s="1">
        <f>100*E347/D347</f>
        <v>42.808683853459975</v>
      </c>
    </row>
    <row r="348" spans="1:8" x14ac:dyDescent="0.2">
      <c r="A348" t="s">
        <v>15</v>
      </c>
      <c r="B348">
        <v>6</v>
      </c>
      <c r="C348">
        <v>1</v>
      </c>
      <c r="D348" s="2">
        <v>2.0270000000000001</v>
      </c>
      <c r="E348" s="2">
        <v>0.75900000000000001</v>
      </c>
      <c r="F348" s="2">
        <f>(0.5/0.32)*D348</f>
        <v>3.1671875000000003</v>
      </c>
      <c r="G348" s="2">
        <f>(0.5/0.32)*E348</f>
        <v>1.1859375000000001</v>
      </c>
      <c r="H348" s="1">
        <f>100*E348/D348</f>
        <v>37.444499259990131</v>
      </c>
    </row>
    <row r="349" spans="1:8" x14ac:dyDescent="0.2">
      <c r="B349">
        <v>7</v>
      </c>
      <c r="C349">
        <v>2</v>
      </c>
      <c r="D349" s="2">
        <v>2.4180000000000001</v>
      </c>
      <c r="E349" s="2">
        <v>0.80900000000000005</v>
      </c>
      <c r="F349" s="2">
        <f>(0.5/0.32)*D349</f>
        <v>3.7781250000000002</v>
      </c>
      <c r="G349" s="2">
        <f>(0.5/0.32)*E349</f>
        <v>1.2640625000000001</v>
      </c>
      <c r="H349" s="1">
        <f>100*E349/D349</f>
        <v>33.457402812241526</v>
      </c>
    </row>
    <row r="350" spans="1:8" x14ac:dyDescent="0.2">
      <c r="B350">
        <v>8</v>
      </c>
      <c r="C350">
        <v>3</v>
      </c>
      <c r="D350" s="2">
        <v>2.5640000000000001</v>
      </c>
      <c r="E350" s="2">
        <f>0.626+0.263</f>
        <v>0.88900000000000001</v>
      </c>
      <c r="F350" s="2">
        <f>(0.5/0.32)*D350</f>
        <v>4.0062499999999996</v>
      </c>
      <c r="G350" s="2">
        <f>(0.5/0.32)*E350</f>
        <v>1.3890625000000001</v>
      </c>
      <c r="H350" s="1">
        <f>100*E350/D350</f>
        <v>34.672386895475817</v>
      </c>
    </row>
    <row r="351" spans="1:8" x14ac:dyDescent="0.2">
      <c r="B351">
        <v>9</v>
      </c>
      <c r="C351">
        <v>4</v>
      </c>
      <c r="D351" s="2">
        <v>2.669</v>
      </c>
      <c r="E351" s="2">
        <f>0.27+0.253+0.57</f>
        <v>1.093</v>
      </c>
      <c r="F351" s="2">
        <f>(0.5/0.32)*D351</f>
        <v>4.1703124999999996</v>
      </c>
      <c r="G351" s="2">
        <f>(0.5/0.32)*E351</f>
        <v>1.7078125</v>
      </c>
      <c r="H351" s="1">
        <f>100*E351/D351</f>
        <v>40.951667291120266</v>
      </c>
    </row>
    <row r="352" spans="1:8" x14ac:dyDescent="0.2">
      <c r="B352">
        <v>10</v>
      </c>
      <c r="C352">
        <v>5</v>
      </c>
      <c r="D352" s="2">
        <v>2.46</v>
      </c>
      <c r="E352" s="2">
        <v>0.66400000000000003</v>
      </c>
      <c r="F352" s="2">
        <f>(0.5/0.32)*D352</f>
        <v>3.84375</v>
      </c>
      <c r="G352" s="2">
        <f>(0.5/0.32)*E352</f>
        <v>1.0375000000000001</v>
      </c>
      <c r="H352" s="1">
        <f>100*E352/D352</f>
        <v>26.991869918699191</v>
      </c>
    </row>
    <row r="353" spans="1:8" x14ac:dyDescent="0.2">
      <c r="B353">
        <v>11</v>
      </c>
      <c r="C353">
        <v>6</v>
      </c>
      <c r="D353" s="2">
        <v>2.0819999999999999</v>
      </c>
      <c r="E353" s="2">
        <v>0</v>
      </c>
      <c r="F353" s="2">
        <f>(0.5/0.32)*D353</f>
        <v>3.2531249999999998</v>
      </c>
      <c r="G353" s="2">
        <f>(0.5/0.32)*E353</f>
        <v>0</v>
      </c>
      <c r="H353" s="1">
        <f>100*E353/D353</f>
        <v>0</v>
      </c>
    </row>
    <row r="354" spans="1:8" x14ac:dyDescent="0.2">
      <c r="A354" t="s">
        <v>14</v>
      </c>
      <c r="B354">
        <v>12</v>
      </c>
      <c r="C354">
        <v>1</v>
      </c>
      <c r="D354" s="2">
        <v>3.9319999999999999</v>
      </c>
      <c r="E354" s="2">
        <v>0.86399999999999999</v>
      </c>
      <c r="F354" s="2">
        <f>(0.5/0.32)*D354</f>
        <v>6.1437499999999998</v>
      </c>
      <c r="G354" s="2">
        <f>(0.5/0.32)*E354</f>
        <v>1.35</v>
      </c>
      <c r="H354" s="1">
        <f>100*E354/D354</f>
        <v>21.9735503560529</v>
      </c>
    </row>
    <row r="355" spans="1:8" x14ac:dyDescent="0.2">
      <c r="B355">
        <v>13</v>
      </c>
      <c r="C355">
        <v>2</v>
      </c>
      <c r="D355" s="2">
        <v>6.2350000000000003</v>
      </c>
      <c r="E355" s="2">
        <f>0.27+1.25</f>
        <v>1.52</v>
      </c>
      <c r="F355" s="2">
        <f>(0.5/0.32)*D355</f>
        <v>9.7421875</v>
      </c>
      <c r="G355" s="2">
        <f>(0.5/0.32)*E355</f>
        <v>2.375</v>
      </c>
      <c r="H355" s="1">
        <f>100*E355/D355</f>
        <v>24.378508420208497</v>
      </c>
    </row>
    <row r="356" spans="1:8" x14ac:dyDescent="0.2">
      <c r="B356">
        <v>14</v>
      </c>
      <c r="C356">
        <v>3</v>
      </c>
      <c r="D356" s="2">
        <v>4.3819999999999997</v>
      </c>
      <c r="E356" s="2">
        <f>0.207+0.484</f>
        <v>0.69099999999999995</v>
      </c>
      <c r="F356" s="2">
        <f>(0.5/0.32)*D356</f>
        <v>6.8468749999999998</v>
      </c>
      <c r="G356" s="2">
        <f>(0.5/0.32)*E356</f>
        <v>1.0796874999999999</v>
      </c>
      <c r="H356" s="1">
        <f>100*E356/D356</f>
        <v>15.769055225924236</v>
      </c>
    </row>
    <row r="357" spans="1:8" x14ac:dyDescent="0.2">
      <c r="B357">
        <v>15</v>
      </c>
      <c r="C357">
        <v>4</v>
      </c>
      <c r="D357" s="2">
        <v>2.294</v>
      </c>
      <c r="E357" s="2">
        <v>0.29299999999999998</v>
      </c>
      <c r="F357" s="2">
        <f>(0.5/0.32)*D357</f>
        <v>3.5843750000000001</v>
      </c>
      <c r="G357" s="2">
        <f>(0.5/0.32)*E357</f>
        <v>0.45781249999999996</v>
      </c>
      <c r="H357" s="1">
        <f>100*E357/D357</f>
        <v>12.772449869224062</v>
      </c>
    </row>
    <row r="358" spans="1:8" x14ac:dyDescent="0.2">
      <c r="B358">
        <v>16</v>
      </c>
      <c r="C358">
        <v>5</v>
      </c>
      <c r="D358" s="2">
        <v>3.3540000000000001</v>
      </c>
      <c r="E358" s="2">
        <f>0.993+0.323+0.56</f>
        <v>1.8760000000000001</v>
      </c>
      <c r="F358" s="2">
        <f>(0.5/0.32)*D358</f>
        <v>5.2406250000000005</v>
      </c>
      <c r="G358" s="2">
        <f>(0.5/0.32)*E358</f>
        <v>2.9312500000000004</v>
      </c>
      <c r="H358" s="1">
        <f>100*E358/D358</f>
        <v>55.93321407274896</v>
      </c>
    </row>
    <row r="359" spans="1:8" x14ac:dyDescent="0.2">
      <c r="B359">
        <v>17</v>
      </c>
      <c r="C359">
        <v>6</v>
      </c>
      <c r="D359" s="2">
        <v>2.661</v>
      </c>
      <c r="E359" s="2">
        <v>0.89100000000000001</v>
      </c>
      <c r="F359" s="2">
        <f>(0.5/0.32)*D359</f>
        <v>4.1578125000000004</v>
      </c>
      <c r="G359" s="2">
        <f>(0.5/0.32)*E359</f>
        <v>1.3921874999999999</v>
      </c>
      <c r="H359" s="1">
        <f>100*E359/D359</f>
        <v>33.483652762119505</v>
      </c>
    </row>
    <row r="360" spans="1:8" x14ac:dyDescent="0.2">
      <c r="B360">
        <v>18</v>
      </c>
      <c r="C360">
        <v>7</v>
      </c>
      <c r="D360" s="2">
        <v>3.2549999999999999</v>
      </c>
      <c r="E360" s="2">
        <v>0.38600000000000001</v>
      </c>
      <c r="F360" s="2">
        <f>(0.5/0.32)*D360</f>
        <v>5.0859375</v>
      </c>
      <c r="G360" s="2">
        <f>(0.5/0.32)*E360</f>
        <v>0.60312500000000002</v>
      </c>
      <c r="H360" s="1">
        <f>100*E360/D360</f>
        <v>11.858678955453151</v>
      </c>
    </row>
    <row r="361" spans="1:8" x14ac:dyDescent="0.2">
      <c r="A361" t="s">
        <v>13</v>
      </c>
      <c r="B361">
        <v>19</v>
      </c>
      <c r="C361">
        <v>1</v>
      </c>
      <c r="D361" s="2">
        <v>5.6779999999999999</v>
      </c>
      <c r="E361" s="2">
        <f>1.274+0.172+2.607</f>
        <v>4.0529999999999999</v>
      </c>
      <c r="F361" s="2">
        <f>(0.5/0.32)*D361</f>
        <v>8.8718749999999993</v>
      </c>
      <c r="G361" s="2">
        <f>(0.5/0.32)*E361</f>
        <v>6.3328125000000002</v>
      </c>
      <c r="H361" s="1">
        <f>100*E361/D361</f>
        <v>71.380767876012683</v>
      </c>
    </row>
    <row r="362" spans="1:8" x14ac:dyDescent="0.2">
      <c r="B362">
        <v>20</v>
      </c>
      <c r="C362">
        <v>2</v>
      </c>
      <c r="D362" s="2">
        <v>3.593</v>
      </c>
      <c r="E362" s="2">
        <f>1+1.652</f>
        <v>2.6520000000000001</v>
      </c>
      <c r="F362" s="2">
        <f>(0.5/0.32)*D362</f>
        <v>5.6140625000000002</v>
      </c>
      <c r="G362" s="2">
        <f>(0.5/0.32)*E362</f>
        <v>4.1437499999999998</v>
      </c>
      <c r="H362" s="1">
        <f>100*E362/D362</f>
        <v>73.810186473698863</v>
      </c>
    </row>
    <row r="363" spans="1:8" x14ac:dyDescent="0.2">
      <c r="B363">
        <v>21</v>
      </c>
      <c r="C363">
        <v>3</v>
      </c>
      <c r="D363" s="2">
        <v>2.4900000000000002</v>
      </c>
      <c r="E363" s="2">
        <f>0.552+1.135</f>
        <v>1.6870000000000001</v>
      </c>
      <c r="F363" s="2">
        <f>(0.5/0.32)*D363</f>
        <v>3.8906250000000004</v>
      </c>
      <c r="G363" s="2">
        <f>(0.5/0.32)*E363</f>
        <v>2.6359375000000003</v>
      </c>
      <c r="H363" s="1">
        <f>100*E363/D363</f>
        <v>67.751004016064257</v>
      </c>
    </row>
    <row r="364" spans="1:8" x14ac:dyDescent="0.2">
      <c r="B364">
        <v>22</v>
      </c>
      <c r="C364">
        <v>4</v>
      </c>
      <c r="D364" s="2">
        <v>1.925</v>
      </c>
      <c r="E364" s="2">
        <v>0.64400000000000002</v>
      </c>
      <c r="F364" s="2">
        <f>(0.5/0.32)*D364</f>
        <v>3.0078125</v>
      </c>
      <c r="G364" s="2">
        <f>(0.5/0.32)*E364</f>
        <v>1.0062500000000001</v>
      </c>
      <c r="H364" s="1">
        <f>100*E364/D364</f>
        <v>33.454545454545453</v>
      </c>
    </row>
    <row r="365" spans="1:8" x14ac:dyDescent="0.2">
      <c r="B365">
        <v>23</v>
      </c>
      <c r="C365">
        <v>5</v>
      </c>
      <c r="D365" s="2">
        <v>5.742</v>
      </c>
      <c r="E365" s="2">
        <v>0.82699999999999996</v>
      </c>
      <c r="F365" s="2">
        <f>(0.5/0.32)*D365</f>
        <v>8.9718750000000007</v>
      </c>
      <c r="G365" s="2">
        <f>(0.5/0.32)*E365</f>
        <v>1.2921874999999998</v>
      </c>
      <c r="H365" s="1">
        <f>100*E365/D365</f>
        <v>14.402647161267849</v>
      </c>
    </row>
    <row r="366" spans="1:8" x14ac:dyDescent="0.2">
      <c r="B366">
        <v>24</v>
      </c>
      <c r="C366">
        <v>6</v>
      </c>
      <c r="D366" s="2">
        <v>2.8380000000000001</v>
      </c>
      <c r="E366" s="2">
        <v>0.86499999999999999</v>
      </c>
      <c r="F366" s="2">
        <f>(0.5/0.32)*D366</f>
        <v>4.4343750000000002</v>
      </c>
      <c r="G366" s="2">
        <f>(0.5/0.32)*E366</f>
        <v>1.3515625</v>
      </c>
      <c r="H366" s="1">
        <f>100*E366/D366</f>
        <v>30.47921071176885</v>
      </c>
    </row>
    <row r="367" spans="1:8" x14ac:dyDescent="0.2">
      <c r="A367" t="s">
        <v>12</v>
      </c>
      <c r="B367">
        <v>25</v>
      </c>
      <c r="C367">
        <v>1</v>
      </c>
      <c r="D367" s="2">
        <v>1.373</v>
      </c>
      <c r="E367" s="2">
        <v>0.17499999999999999</v>
      </c>
      <c r="F367" s="2">
        <f>(0.5/0.32)*D367</f>
        <v>2.1453125000000002</v>
      </c>
      <c r="G367" s="2">
        <f>(0.5/0.32)*E367</f>
        <v>0.2734375</v>
      </c>
      <c r="H367" s="1">
        <f>100*E367/D367</f>
        <v>12.745812090313184</v>
      </c>
    </row>
    <row r="368" spans="1:8" x14ac:dyDescent="0.2">
      <c r="B368">
        <v>26</v>
      </c>
      <c r="C368">
        <v>2</v>
      </c>
      <c r="D368" s="2">
        <v>2.8130000000000002</v>
      </c>
      <c r="E368" s="2">
        <v>0.14799999999999999</v>
      </c>
      <c r="F368" s="2">
        <f>(0.5/0.32)*D368</f>
        <v>4.3953125000000002</v>
      </c>
      <c r="G368" s="2">
        <f>(0.5/0.32)*E368</f>
        <v>0.23124999999999998</v>
      </c>
      <c r="H368" s="1">
        <f>100*E368/D368</f>
        <v>5.2612868823320289</v>
      </c>
    </row>
    <row r="369" spans="1:8" x14ac:dyDescent="0.2">
      <c r="B369">
        <v>27</v>
      </c>
      <c r="C369">
        <v>3</v>
      </c>
      <c r="D369" s="2">
        <v>1.968</v>
      </c>
      <c r="E369" s="2">
        <v>0.28100000000000003</v>
      </c>
      <c r="F369" s="2">
        <f>(0.5/0.32)*D369</f>
        <v>3.0750000000000002</v>
      </c>
      <c r="G369" s="2">
        <f>(0.5/0.32)*E369</f>
        <v>0.43906250000000002</v>
      </c>
      <c r="H369" s="1">
        <f>100*E369/D369</f>
        <v>14.278455284552846</v>
      </c>
    </row>
    <row r="370" spans="1:8" x14ac:dyDescent="0.2">
      <c r="B370">
        <v>28</v>
      </c>
      <c r="C370">
        <v>4</v>
      </c>
      <c r="D370" s="2">
        <v>1.6539999999999999</v>
      </c>
      <c r="E370" s="2">
        <f>0.196+0.497</f>
        <v>0.69300000000000006</v>
      </c>
      <c r="F370" s="2">
        <f>(0.5/0.32)*D370</f>
        <v>2.5843749999999996</v>
      </c>
      <c r="G370" s="2">
        <f>(0.5/0.32)*E370</f>
        <v>1.0828125000000002</v>
      </c>
      <c r="H370" s="1">
        <f>100*E370/D370</f>
        <v>41.898428053204363</v>
      </c>
    </row>
    <row r="371" spans="1:8" x14ac:dyDescent="0.2">
      <c r="B371">
        <v>29</v>
      </c>
      <c r="C371">
        <v>5</v>
      </c>
      <c r="D371" s="2">
        <v>2.9340000000000002</v>
      </c>
      <c r="E371" s="2">
        <v>0.79100000000000004</v>
      </c>
      <c r="F371" s="2">
        <f>(0.5/0.32)*D371</f>
        <v>4.5843750000000005</v>
      </c>
      <c r="G371" s="2">
        <f>(0.5/0.32)*E371</f>
        <v>1.2359375000000001</v>
      </c>
      <c r="H371" s="1">
        <f>100*E371/D371</f>
        <v>26.959781867757329</v>
      </c>
    </row>
    <row r="372" spans="1:8" x14ac:dyDescent="0.2">
      <c r="B372">
        <v>30</v>
      </c>
      <c r="C372">
        <v>6</v>
      </c>
      <c r="D372" s="2">
        <v>2.2890000000000001</v>
      </c>
      <c r="E372" s="2">
        <v>0.68799999999999994</v>
      </c>
      <c r="F372" s="2">
        <f>(0.5/0.32)*D372</f>
        <v>3.5765625000000001</v>
      </c>
      <c r="G372" s="2">
        <f>(0.5/0.32)*E372</f>
        <v>1.075</v>
      </c>
      <c r="H372" s="1">
        <f>100*E372/D372</f>
        <v>30.056793359545651</v>
      </c>
    </row>
    <row r="373" spans="1:8" x14ac:dyDescent="0.2">
      <c r="B373">
        <v>31</v>
      </c>
      <c r="C373">
        <v>7</v>
      </c>
      <c r="D373" s="2">
        <v>1.9750000000000001</v>
      </c>
      <c r="E373" s="2">
        <f>0.319+0.24</f>
        <v>0.55899999999999994</v>
      </c>
      <c r="F373" s="2">
        <f>(0.5/0.32)*D373</f>
        <v>3.0859375</v>
      </c>
      <c r="G373" s="2">
        <f>(0.5/0.32)*E373</f>
        <v>0.87343749999999987</v>
      </c>
      <c r="H373" s="1">
        <f>100*E373/D373</f>
        <v>28.303797468354425</v>
      </c>
    </row>
    <row r="374" spans="1:8" x14ac:dyDescent="0.2">
      <c r="A374" t="s">
        <v>11</v>
      </c>
      <c r="B374">
        <v>32</v>
      </c>
      <c r="C374">
        <v>1</v>
      </c>
      <c r="D374" s="2">
        <v>3.5790000000000002</v>
      </c>
      <c r="E374" s="2">
        <f>0.839+0.722+0.39</f>
        <v>1.9510000000000001</v>
      </c>
      <c r="F374" s="2">
        <f>(0.5/0.32)*D374</f>
        <v>5.5921875000000005</v>
      </c>
      <c r="G374" s="2">
        <f>(0.5/0.32)*E374</f>
        <v>3.0484374999999999</v>
      </c>
      <c r="H374" s="1">
        <f>100*E374/D374</f>
        <v>54.512433640681749</v>
      </c>
    </row>
    <row r="375" spans="1:8" x14ac:dyDescent="0.2">
      <c r="B375">
        <v>33</v>
      </c>
      <c r="C375">
        <v>2</v>
      </c>
      <c r="D375" s="2">
        <v>1.4379999999999999</v>
      </c>
      <c r="E375" s="2">
        <v>1.0109999999999999</v>
      </c>
      <c r="F375" s="2">
        <f>(0.5/0.32)*D375</f>
        <v>2.2468749999999997</v>
      </c>
      <c r="G375" s="2">
        <f>(0.5/0.32)*E375</f>
        <v>1.5796874999999999</v>
      </c>
      <c r="H375" s="1">
        <f>100*E375/D375</f>
        <v>70.305980528511824</v>
      </c>
    </row>
    <row r="376" spans="1:8" x14ac:dyDescent="0.2">
      <c r="B376">
        <v>34</v>
      </c>
      <c r="C376">
        <v>3</v>
      </c>
      <c r="D376" s="2">
        <v>1.9039999999999999</v>
      </c>
      <c r="E376" s="2">
        <f>0.251+0.303</f>
        <v>0.55400000000000005</v>
      </c>
      <c r="F376" s="2">
        <f>(0.5/0.32)*D376</f>
        <v>2.9749999999999996</v>
      </c>
      <c r="G376" s="2">
        <f>(0.5/0.32)*E376</f>
        <v>0.86562500000000009</v>
      </c>
      <c r="H376" s="1">
        <f>100*E376/D376</f>
        <v>29.09663865546219</v>
      </c>
    </row>
    <row r="377" spans="1:8" x14ac:dyDescent="0.2">
      <c r="B377">
        <v>35</v>
      </c>
      <c r="C377">
        <v>4</v>
      </c>
      <c r="D377" s="2">
        <v>1.96</v>
      </c>
      <c r="E377" s="2">
        <f>0.31+0.392</f>
        <v>0.70199999999999996</v>
      </c>
      <c r="F377" s="2">
        <f>(0.5/0.32)*D377</f>
        <v>3.0625</v>
      </c>
      <c r="G377" s="2">
        <f>(0.5/0.32)*E377</f>
        <v>1.0968749999999998</v>
      </c>
      <c r="H377" s="1">
        <f>100*E377/D377</f>
        <v>35.816326530612237</v>
      </c>
    </row>
    <row r="378" spans="1:8" x14ac:dyDescent="0.2">
      <c r="B378">
        <v>36</v>
      </c>
      <c r="C378">
        <v>5</v>
      </c>
      <c r="D378" s="2">
        <v>2.2799999999999998</v>
      </c>
      <c r="E378" s="2">
        <f>0.235+0.437+0.279</f>
        <v>0.95099999999999996</v>
      </c>
      <c r="F378" s="2">
        <f>(0.5/0.32)*D378</f>
        <v>3.5624999999999996</v>
      </c>
      <c r="G378" s="2">
        <f>(0.5/0.32)*E378</f>
        <v>1.4859374999999999</v>
      </c>
      <c r="H378" s="1">
        <f>100*E378/D378</f>
        <v>41.710526315789473</v>
      </c>
    </row>
    <row r="379" spans="1:8" x14ac:dyDescent="0.2">
      <c r="B379">
        <v>37</v>
      </c>
      <c r="C379">
        <v>6</v>
      </c>
      <c r="D379" s="2">
        <v>3.3170000000000002</v>
      </c>
      <c r="E379" s="2">
        <v>0.62</v>
      </c>
      <c r="F379" s="2">
        <f>(0.5/0.32)*D379</f>
        <v>5.1828125000000007</v>
      </c>
      <c r="G379" s="2">
        <f>(0.5/0.32)*E379</f>
        <v>0.96875</v>
      </c>
      <c r="H379" s="1">
        <f>100*E379/D379</f>
        <v>18.691588785046729</v>
      </c>
    </row>
    <row r="380" spans="1:8" x14ac:dyDescent="0.2">
      <c r="B380">
        <v>38</v>
      </c>
      <c r="C380">
        <v>7</v>
      </c>
      <c r="D380" s="2">
        <v>3.3039999999999998</v>
      </c>
      <c r="E380" s="2">
        <f>0.147+0.797+0.353</f>
        <v>1.2970000000000002</v>
      </c>
      <c r="F380" s="2">
        <f>(0.5/0.32)*D380</f>
        <v>5.1624999999999996</v>
      </c>
      <c r="G380" s="2">
        <f>(0.5/0.32)*E380</f>
        <v>2.0265625000000003</v>
      </c>
      <c r="H380" s="1">
        <f>100*E380/D380</f>
        <v>39.255447941888626</v>
      </c>
    </row>
    <row r="381" spans="1:8" x14ac:dyDescent="0.2">
      <c r="B381">
        <v>39</v>
      </c>
      <c r="C381">
        <v>8</v>
      </c>
      <c r="D381" s="2">
        <v>3.5670000000000002</v>
      </c>
      <c r="E381" s="2">
        <f>0.155+0.516+0.125+1.534</f>
        <v>2.33</v>
      </c>
      <c r="F381" s="2">
        <f>(0.5/0.32)*D381</f>
        <v>5.5734375000000007</v>
      </c>
      <c r="G381" s="2">
        <f>(0.5/0.32)*E381</f>
        <v>3.640625</v>
      </c>
      <c r="H381" s="1">
        <f>100*E381/D381</f>
        <v>65.320998037566582</v>
      </c>
    </row>
    <row r="382" spans="1:8" x14ac:dyDescent="0.2">
      <c r="A382" t="s">
        <v>10</v>
      </c>
      <c r="B382">
        <v>40</v>
      </c>
      <c r="C382">
        <v>1</v>
      </c>
      <c r="D382" s="2">
        <v>2.2690000000000001</v>
      </c>
      <c r="E382" s="2">
        <v>0.39400000000000002</v>
      </c>
      <c r="F382" s="2">
        <f>(0.5/0.32)*D382</f>
        <v>3.5453125000000001</v>
      </c>
      <c r="G382" s="2">
        <f>(0.5/0.32)*E382</f>
        <v>0.61562499999999998</v>
      </c>
      <c r="H382" s="1">
        <f>100*E382/D382</f>
        <v>17.364477743499336</v>
      </c>
    </row>
    <row r="383" spans="1:8" x14ac:dyDescent="0.2">
      <c r="B383">
        <v>41</v>
      </c>
      <c r="C383">
        <v>2</v>
      </c>
      <c r="D383" s="2">
        <v>3.5339999999999998</v>
      </c>
      <c r="E383" s="2">
        <f>0.253+0.688</f>
        <v>0.94099999999999995</v>
      </c>
      <c r="F383" s="2">
        <f>(0.5/0.32)*D383</f>
        <v>5.5218749999999996</v>
      </c>
      <c r="G383" s="2">
        <f>(0.5/0.32)*E383</f>
        <v>1.4703124999999999</v>
      </c>
      <c r="H383" s="1">
        <f>100*E383/D383</f>
        <v>26.627051499717034</v>
      </c>
    </row>
    <row r="384" spans="1:8" x14ac:dyDescent="0.2">
      <c r="B384">
        <v>42</v>
      </c>
      <c r="C384">
        <v>3</v>
      </c>
      <c r="D384" s="2">
        <v>1.6619999999999999</v>
      </c>
      <c r="E384" s="2">
        <f>0.371+0.111+0.119</f>
        <v>0.60099999999999998</v>
      </c>
      <c r="F384" s="2">
        <f>(0.5/0.32)*D384</f>
        <v>2.5968749999999998</v>
      </c>
      <c r="G384" s="2">
        <f>(0.5/0.32)*E384</f>
        <v>0.93906249999999991</v>
      </c>
      <c r="H384" s="1">
        <f>100*E384/D384</f>
        <v>36.161251504211791</v>
      </c>
    </row>
    <row r="385" spans="2:8" x14ac:dyDescent="0.2">
      <c r="B385">
        <v>43</v>
      </c>
      <c r="C385">
        <v>4</v>
      </c>
      <c r="D385" s="2">
        <v>3.4780000000000002</v>
      </c>
      <c r="E385" s="2">
        <f>0.438+0.46</f>
        <v>0.89800000000000002</v>
      </c>
      <c r="F385" s="2">
        <f>(0.5/0.32)*D385</f>
        <v>5.4343750000000002</v>
      </c>
      <c r="G385" s="2">
        <f>(0.5/0.32)*E385</f>
        <v>1.403125</v>
      </c>
      <c r="H385" s="1">
        <f>100*E385/D385</f>
        <v>25.819436457734326</v>
      </c>
    </row>
    <row r="386" spans="2:8" x14ac:dyDescent="0.2">
      <c r="B386">
        <v>44</v>
      </c>
      <c r="C386">
        <v>5</v>
      </c>
      <c r="D386" s="2">
        <v>1.77</v>
      </c>
      <c r="E386" s="2">
        <v>0.26300000000000001</v>
      </c>
      <c r="F386" s="2">
        <f>(0.5/0.32)*D386</f>
        <v>2.765625</v>
      </c>
      <c r="G386" s="2">
        <f>(0.5/0.32)*E386</f>
        <v>0.41093750000000001</v>
      </c>
      <c r="H386" s="1">
        <f>100*E386/D386</f>
        <v>14.858757062146893</v>
      </c>
    </row>
    <row r="387" spans="2:8" x14ac:dyDescent="0.2">
      <c r="B387">
        <v>45</v>
      </c>
      <c r="C387">
        <v>6</v>
      </c>
      <c r="D387" s="2">
        <v>2.1440000000000001</v>
      </c>
      <c r="E387" s="2">
        <v>0.35599999999999998</v>
      </c>
      <c r="F387" s="2">
        <f>(0.5/0.32)*D387</f>
        <v>3.35</v>
      </c>
      <c r="G387" s="2">
        <f>(0.5/0.32)*E387</f>
        <v>0.55625000000000002</v>
      </c>
      <c r="H387" s="1">
        <f>100*E387/D387</f>
        <v>16.604477611940297</v>
      </c>
    </row>
    <row r="388" spans="2:8" x14ac:dyDescent="0.2">
      <c r="B388">
        <v>46</v>
      </c>
      <c r="C388">
        <v>7</v>
      </c>
      <c r="D388" s="2">
        <v>0.90600000000000003</v>
      </c>
      <c r="E388" s="2">
        <v>0.125</v>
      </c>
      <c r="F388" s="2">
        <f>(0.5/0.32)*D388</f>
        <v>1.4156250000000001</v>
      </c>
      <c r="G388" s="2">
        <f>(0.5/0.32)*E388</f>
        <v>0.1953125</v>
      </c>
      <c r="H388" s="1">
        <f>100*E388/D388</f>
        <v>13.796909492273731</v>
      </c>
    </row>
    <row r="389" spans="2:8" x14ac:dyDescent="0.2">
      <c r="B389">
        <v>47</v>
      </c>
      <c r="C389">
        <v>8</v>
      </c>
      <c r="D389" s="2">
        <v>1.651</v>
      </c>
      <c r="E389" s="2">
        <v>0.314</v>
      </c>
      <c r="F389" s="2">
        <f>(0.5/0.32)*D389</f>
        <v>2.5796874999999999</v>
      </c>
      <c r="G389" s="2">
        <f>(0.5/0.32)*E389</f>
        <v>0.49062499999999998</v>
      </c>
      <c r="H389" s="1">
        <f>100*E389/D389</f>
        <v>19.018776499091459</v>
      </c>
    </row>
    <row r="390" spans="2:8" x14ac:dyDescent="0.2">
      <c r="B390">
        <v>48</v>
      </c>
      <c r="C390">
        <v>9</v>
      </c>
      <c r="D390" s="2">
        <v>2.278</v>
      </c>
      <c r="E390" s="2">
        <f>0.607+0.223</f>
        <v>0.83</v>
      </c>
      <c r="F390" s="2">
        <f>(0.5/0.32)*D390</f>
        <v>3.5593750000000002</v>
      </c>
      <c r="G390" s="2">
        <f>(0.5/0.32)*E390</f>
        <v>1.296875</v>
      </c>
      <c r="H390" s="1">
        <f>100*E390/D390</f>
        <v>36.435469710272166</v>
      </c>
    </row>
    <row r="391" spans="2:8" x14ac:dyDescent="0.2">
      <c r="B391">
        <v>49</v>
      </c>
      <c r="C391">
        <v>10</v>
      </c>
      <c r="D391" s="2">
        <v>1.4019999999999999</v>
      </c>
      <c r="E391" s="2">
        <f>0.192+0.139</f>
        <v>0.33100000000000002</v>
      </c>
      <c r="F391" s="2">
        <f>(0.5/0.32)*D391</f>
        <v>2.1906249999999998</v>
      </c>
      <c r="G391" s="2">
        <f>(0.5/0.32)*E391</f>
        <v>0.51718750000000002</v>
      </c>
      <c r="H391" s="1">
        <f>100*E391/D391</f>
        <v>23.609129814550645</v>
      </c>
    </row>
    <row r="392" spans="2:8" x14ac:dyDescent="0.2">
      <c r="B392">
        <v>50</v>
      </c>
      <c r="C392">
        <v>11</v>
      </c>
      <c r="D392" s="2">
        <v>1.323</v>
      </c>
      <c r="E392" s="2">
        <v>0.184</v>
      </c>
      <c r="F392" s="2">
        <f>(0.5/0.32)*D392</f>
        <v>2.0671874999999997</v>
      </c>
      <c r="G392" s="2">
        <f>(0.5/0.32)*E392</f>
        <v>0.28749999999999998</v>
      </c>
      <c r="H392" s="1">
        <f>100*E392/D392</f>
        <v>13.907785336356765</v>
      </c>
    </row>
    <row r="393" spans="2:8" x14ac:dyDescent="0.2">
      <c r="B393">
        <v>51</v>
      </c>
      <c r="C393">
        <v>12</v>
      </c>
      <c r="D393" s="2">
        <v>2.1019999999999999</v>
      </c>
      <c r="E393" s="2">
        <f>0.24+0.622</f>
        <v>0.86199999999999999</v>
      </c>
      <c r="F393" s="2">
        <f>(0.5/0.32)*D393</f>
        <v>3.2843749999999998</v>
      </c>
      <c r="G393" s="2">
        <f>(0.5/0.32)*E393</f>
        <v>1.346875</v>
      </c>
      <c r="H393" s="1">
        <f>100*E393/D393</f>
        <v>41.008563273073264</v>
      </c>
    </row>
    <row r="394" spans="2:8" x14ac:dyDescent="0.2">
      <c r="B394">
        <v>52</v>
      </c>
      <c r="C394">
        <v>13</v>
      </c>
      <c r="D394" s="2">
        <v>1.9950000000000001</v>
      </c>
      <c r="E394" s="2">
        <f>0.249+0.173</f>
        <v>0.42199999999999999</v>
      </c>
      <c r="F394" s="2">
        <f>(0.5/0.32)*D394</f>
        <v>3.1171875</v>
      </c>
      <c r="G394" s="2">
        <f>(0.5/0.32)*E394</f>
        <v>0.65937499999999993</v>
      </c>
      <c r="H394" s="1">
        <f>100*E394/D394</f>
        <v>21.15288220551378</v>
      </c>
    </row>
    <row r="395" spans="2:8" x14ac:dyDescent="0.2">
      <c r="B395">
        <v>53</v>
      </c>
      <c r="C395">
        <v>14</v>
      </c>
      <c r="D395" s="2">
        <v>1.671</v>
      </c>
      <c r="E395" s="2">
        <v>0.46899999999999997</v>
      </c>
      <c r="F395" s="2">
        <f>(0.5/0.32)*D395</f>
        <v>2.6109374999999999</v>
      </c>
      <c r="G395" s="2">
        <f>(0.5/0.32)*E395</f>
        <v>0.73281249999999998</v>
      </c>
      <c r="H395" s="1">
        <f>100*E395/D395</f>
        <v>28.067025733093953</v>
      </c>
    </row>
    <row r="396" spans="2:8" x14ac:dyDescent="0.2">
      <c r="B396">
        <v>54</v>
      </c>
      <c r="C396">
        <v>15</v>
      </c>
      <c r="D396" s="2">
        <v>2.7149999999999999</v>
      </c>
      <c r="E396" s="2">
        <v>0.45200000000000001</v>
      </c>
      <c r="F396" s="2">
        <f>(0.5/0.32)*D396</f>
        <v>4.2421875</v>
      </c>
      <c r="G396" s="2">
        <f>(0.5/0.32)*E396</f>
        <v>0.70625000000000004</v>
      </c>
      <c r="H396" s="1">
        <f>100*E396/D396</f>
        <v>16.648250460405158</v>
      </c>
    </row>
    <row r="397" spans="2:8" x14ac:dyDescent="0.2">
      <c r="B397">
        <v>55</v>
      </c>
      <c r="C397">
        <v>16</v>
      </c>
      <c r="D397" s="2">
        <v>1.702</v>
      </c>
      <c r="E397" s="2">
        <v>1.147</v>
      </c>
      <c r="F397" s="2">
        <f>(0.5/0.32)*D397</f>
        <v>2.6593749999999998</v>
      </c>
      <c r="G397" s="2">
        <f>(0.5/0.32)*E397</f>
        <v>1.7921875</v>
      </c>
      <c r="H397" s="1">
        <f>100*E397/D397</f>
        <v>67.391304347826093</v>
      </c>
    </row>
    <row r="398" spans="2:8" x14ac:dyDescent="0.2">
      <c r="B398">
        <v>56</v>
      </c>
      <c r="C398">
        <v>17</v>
      </c>
      <c r="D398" s="2">
        <v>1.482</v>
      </c>
      <c r="E398" s="2">
        <v>0</v>
      </c>
      <c r="F398" s="2">
        <f>(0.5/0.32)*D398</f>
        <v>2.3156249999999998</v>
      </c>
      <c r="G398" s="2">
        <f>(0.5/0.32)*E398</f>
        <v>0</v>
      </c>
      <c r="H398" s="1">
        <f>100*E398/D398</f>
        <v>0</v>
      </c>
    </row>
    <row r="399" spans="2:8" x14ac:dyDescent="0.2">
      <c r="B399">
        <v>57</v>
      </c>
      <c r="C399">
        <v>18</v>
      </c>
      <c r="D399" s="2">
        <v>0.97199999999999998</v>
      </c>
      <c r="E399" s="2">
        <v>0.2</v>
      </c>
      <c r="F399" s="2">
        <f>(0.5/0.32)*D399</f>
        <v>1.51875</v>
      </c>
      <c r="G399" s="2">
        <f>(0.5/0.32)*E399</f>
        <v>0.3125</v>
      </c>
      <c r="H399" s="1">
        <f>100*E399/D399</f>
        <v>20.5761316872428</v>
      </c>
    </row>
    <row r="400" spans="2:8" x14ac:dyDescent="0.2">
      <c r="B400">
        <v>58</v>
      </c>
      <c r="C400">
        <v>19</v>
      </c>
      <c r="D400" s="2">
        <v>1.534</v>
      </c>
      <c r="E400" s="2">
        <f>0.405+0.161+0.11</f>
        <v>0.67600000000000005</v>
      </c>
      <c r="F400" s="2">
        <f>(0.5/0.32)*D400</f>
        <v>2.3968750000000001</v>
      </c>
      <c r="G400" s="2">
        <f>(0.5/0.32)*E400</f>
        <v>1.0562500000000001</v>
      </c>
      <c r="H400" s="1">
        <f>100*E400/D400</f>
        <v>44.067796610169495</v>
      </c>
    </row>
    <row r="401" spans="1:8" x14ac:dyDescent="0.2">
      <c r="B401">
        <v>59</v>
      </c>
      <c r="C401">
        <v>20</v>
      </c>
      <c r="D401" s="2">
        <v>1.2250000000000001</v>
      </c>
      <c r="E401" s="2">
        <f>0.219+0.305</f>
        <v>0.52400000000000002</v>
      </c>
      <c r="F401" s="2">
        <f>(0.5/0.32)*D401</f>
        <v>1.9140625000000002</v>
      </c>
      <c r="G401" s="2">
        <f>(0.5/0.32)*E401</f>
        <v>0.81875000000000009</v>
      </c>
      <c r="H401" s="1">
        <f>100*E401/D401</f>
        <v>42.775510204081634</v>
      </c>
    </row>
    <row r="402" spans="1:8" x14ac:dyDescent="0.2">
      <c r="B402">
        <v>60</v>
      </c>
      <c r="C402">
        <v>21</v>
      </c>
      <c r="D402" s="2">
        <v>1.2150000000000001</v>
      </c>
      <c r="E402" s="2">
        <v>0.66700000000000004</v>
      </c>
      <c r="F402" s="2">
        <f>(0.5/0.32)*D402</f>
        <v>1.8984375000000002</v>
      </c>
      <c r="G402" s="2">
        <f>(0.5/0.32)*E402</f>
        <v>1.0421875</v>
      </c>
      <c r="H402" s="1">
        <f>100*E402/D402</f>
        <v>54.897119341563787</v>
      </c>
    </row>
    <row r="403" spans="1:8" x14ac:dyDescent="0.2">
      <c r="A403" t="s">
        <v>9</v>
      </c>
      <c r="B403">
        <v>61</v>
      </c>
      <c r="C403">
        <v>1</v>
      </c>
      <c r="D403" s="2">
        <v>5.0209999999999999</v>
      </c>
      <c r="E403" s="2">
        <f>0.513+0.508+0.5</f>
        <v>1.5209999999999999</v>
      </c>
      <c r="F403" s="2">
        <f>(0.5/0.32)*D403</f>
        <v>7.8453124999999995</v>
      </c>
      <c r="G403" s="2">
        <f>(0.5/0.32)*E403</f>
        <v>2.3765624999999999</v>
      </c>
      <c r="H403" s="1">
        <f>100*E403/D403</f>
        <v>30.292770364469227</v>
      </c>
    </row>
    <row r="404" spans="1:8" x14ac:dyDescent="0.2">
      <c r="B404">
        <v>62</v>
      </c>
      <c r="C404">
        <v>2</v>
      </c>
      <c r="D404" s="2">
        <v>2.4809999999999999</v>
      </c>
      <c r="E404" s="2">
        <v>0.36599999999999999</v>
      </c>
      <c r="F404" s="2">
        <f>(0.5/0.32)*D404</f>
        <v>3.8765624999999999</v>
      </c>
      <c r="G404" s="2">
        <f>(0.5/0.32)*E404</f>
        <v>0.57187500000000002</v>
      </c>
      <c r="H404" s="1">
        <f>100*E404/D404</f>
        <v>14.75211608222491</v>
      </c>
    </row>
    <row r="405" spans="1:8" x14ac:dyDescent="0.2">
      <c r="B405">
        <v>63</v>
      </c>
      <c r="C405">
        <v>3</v>
      </c>
      <c r="D405" s="2">
        <v>3.14</v>
      </c>
      <c r="E405" s="2">
        <f>0.678+0.777</f>
        <v>1.4550000000000001</v>
      </c>
      <c r="F405" s="2">
        <f>(0.5/0.32)*D405</f>
        <v>4.90625</v>
      </c>
      <c r="G405" s="2">
        <f>(0.5/0.32)*E405</f>
        <v>2.2734375</v>
      </c>
      <c r="H405" s="1">
        <f>100*E405/D405</f>
        <v>46.337579617834393</v>
      </c>
    </row>
    <row r="406" spans="1:8" x14ac:dyDescent="0.2">
      <c r="B406">
        <v>64</v>
      </c>
      <c r="C406">
        <v>4</v>
      </c>
      <c r="D406" s="2">
        <v>4.3319999999999999</v>
      </c>
      <c r="E406" s="2">
        <f>0.246+1.109</f>
        <v>1.355</v>
      </c>
      <c r="F406" s="2">
        <f>(0.5/0.32)*D406</f>
        <v>6.7687499999999998</v>
      </c>
      <c r="G406" s="2">
        <f>(0.5/0.32)*E406</f>
        <v>2.1171875</v>
      </c>
      <c r="H406" s="1">
        <f>100*E406/D406</f>
        <v>31.278855032317637</v>
      </c>
    </row>
    <row r="407" spans="1:8" x14ac:dyDescent="0.2">
      <c r="B407">
        <v>65</v>
      </c>
      <c r="C407">
        <v>5</v>
      </c>
      <c r="D407" s="2">
        <v>2.4780000000000002</v>
      </c>
      <c r="E407" s="2">
        <v>1.1247</v>
      </c>
      <c r="F407" s="2">
        <f>(0.5/0.32)*D407</f>
        <v>3.8718750000000002</v>
      </c>
      <c r="G407" s="2">
        <f>(0.5/0.32)*E407</f>
        <v>1.75734375</v>
      </c>
      <c r="H407" s="1">
        <f>100*E407/D407</f>
        <v>45.38740920096852</v>
      </c>
    </row>
    <row r="408" spans="1:8" x14ac:dyDescent="0.2">
      <c r="B408">
        <v>66</v>
      </c>
      <c r="C408">
        <v>6</v>
      </c>
      <c r="D408" s="2">
        <v>2.3239999999999998</v>
      </c>
      <c r="E408" s="2">
        <v>0.82</v>
      </c>
      <c r="F408" s="2">
        <f>(0.5/0.32)*D408</f>
        <v>3.6312499999999996</v>
      </c>
      <c r="G408" s="2">
        <f>(0.5/0.32)*E408</f>
        <v>1.28125</v>
      </c>
      <c r="H408" s="1">
        <f>100*E408/D408</f>
        <v>35.283993115318417</v>
      </c>
    </row>
    <row r="409" spans="1:8" x14ac:dyDescent="0.2">
      <c r="B409">
        <v>67</v>
      </c>
      <c r="C409">
        <v>7</v>
      </c>
      <c r="D409" s="2">
        <v>3.2320000000000002</v>
      </c>
      <c r="E409" s="2">
        <f>0.625+0.88</f>
        <v>1.5049999999999999</v>
      </c>
      <c r="F409" s="2">
        <f>(0.5/0.32)*D409</f>
        <v>5.0500000000000007</v>
      </c>
      <c r="G409" s="2">
        <f>(0.5/0.32)*E409</f>
        <v>2.3515625</v>
      </c>
      <c r="H409" s="1">
        <f>100*E409/D409</f>
        <v>46.565594059405939</v>
      </c>
    </row>
    <row r="410" spans="1:8" x14ac:dyDescent="0.2">
      <c r="B410">
        <v>68</v>
      </c>
      <c r="C410">
        <v>8</v>
      </c>
      <c r="D410" s="2">
        <v>1.4139999999999999</v>
      </c>
      <c r="E410" s="2">
        <v>0.433</v>
      </c>
      <c r="F410" s="2">
        <f>(0.5/0.32)*D410</f>
        <v>2.2093750000000001</v>
      </c>
      <c r="G410" s="2">
        <f>(0.5/0.32)*E410</f>
        <v>0.67656249999999996</v>
      </c>
      <c r="H410" s="1">
        <f>100*E410/D410</f>
        <v>30.622347949080623</v>
      </c>
    </row>
    <row r="411" spans="1:8" x14ac:dyDescent="0.2">
      <c r="B411">
        <v>69</v>
      </c>
      <c r="C411">
        <v>9</v>
      </c>
      <c r="D411" s="2">
        <v>1.36</v>
      </c>
      <c r="E411" s="2">
        <v>0.57099999999999995</v>
      </c>
      <c r="F411" s="2">
        <f>(0.5/0.32)*D411</f>
        <v>2.125</v>
      </c>
      <c r="G411" s="2">
        <f>(0.5/0.32)*E411</f>
        <v>0.89218749999999991</v>
      </c>
      <c r="H411" s="1">
        <f>100*E411/D411</f>
        <v>41.985294117647051</v>
      </c>
    </row>
    <row r="412" spans="1:8" x14ac:dyDescent="0.2">
      <c r="B412">
        <v>70</v>
      </c>
      <c r="C412">
        <v>10</v>
      </c>
      <c r="D412" s="2">
        <v>2.69</v>
      </c>
      <c r="E412" s="2">
        <v>0.311</v>
      </c>
      <c r="F412" s="2">
        <f>(0.5/0.32)*D412</f>
        <v>4.203125</v>
      </c>
      <c r="G412" s="2">
        <f>(0.5/0.32)*E412</f>
        <v>0.48593750000000002</v>
      </c>
      <c r="H412" s="1">
        <f>100*E412/D412</f>
        <v>11.561338289962826</v>
      </c>
    </row>
    <row r="413" spans="1:8" x14ac:dyDescent="0.2">
      <c r="B413">
        <v>71</v>
      </c>
      <c r="C413">
        <v>11</v>
      </c>
      <c r="D413" s="2">
        <v>2.238</v>
      </c>
      <c r="E413" s="2">
        <v>0.249</v>
      </c>
      <c r="F413" s="2">
        <f>(0.5/0.32)*D413</f>
        <v>3.4968750000000002</v>
      </c>
      <c r="G413" s="2">
        <f>(0.5/0.32)*E413</f>
        <v>0.38906249999999998</v>
      </c>
      <c r="H413" s="1">
        <f>100*E413/D413</f>
        <v>11.126005361930295</v>
      </c>
    </row>
    <row r="414" spans="1:8" x14ac:dyDescent="0.2">
      <c r="B414">
        <v>72</v>
      </c>
      <c r="C414">
        <v>12</v>
      </c>
      <c r="D414" s="2">
        <v>2.6949999999999998</v>
      </c>
      <c r="E414" s="2">
        <v>0.53200000000000003</v>
      </c>
      <c r="F414" s="2">
        <f>(0.5/0.32)*D414</f>
        <v>4.2109375</v>
      </c>
      <c r="G414" s="2">
        <f>(0.5/0.32)*E414</f>
        <v>0.83125000000000004</v>
      </c>
      <c r="H414" s="1">
        <f>100*E414/D414</f>
        <v>19.740259740259742</v>
      </c>
    </row>
    <row r="415" spans="1:8" x14ac:dyDescent="0.2">
      <c r="A415" t="s">
        <v>8</v>
      </c>
      <c r="B415">
        <v>73</v>
      </c>
      <c r="C415">
        <v>1</v>
      </c>
      <c r="D415" s="2">
        <v>2.6829999999999998</v>
      </c>
      <c r="E415" s="2">
        <f>0.15+0.358+0.284</f>
        <v>0.79200000000000004</v>
      </c>
      <c r="F415" s="2">
        <f>(0.5/0.32)*D415</f>
        <v>4.1921874999999993</v>
      </c>
      <c r="G415" s="2">
        <f>(0.5/0.32)*E415</f>
        <v>1.2375</v>
      </c>
      <c r="H415" s="1">
        <f>100*E415/D415</f>
        <v>29.519194931047338</v>
      </c>
    </row>
    <row r="416" spans="1:8" x14ac:dyDescent="0.2">
      <c r="B416">
        <v>74</v>
      </c>
      <c r="C416">
        <v>2</v>
      </c>
      <c r="D416" s="2">
        <v>3.3159999999999998</v>
      </c>
      <c r="E416" s="2">
        <f>0.384+0.499+0.302</f>
        <v>1.1850000000000001</v>
      </c>
      <c r="F416" s="2">
        <f>(0.5/0.32)*D416</f>
        <v>5.1812499999999995</v>
      </c>
      <c r="G416" s="2">
        <f>(0.5/0.32)*E416</f>
        <v>1.8515625</v>
      </c>
      <c r="H416" s="1">
        <f>100*E416/D416</f>
        <v>35.735826296743063</v>
      </c>
    </row>
    <row r="417" spans="1:8" x14ac:dyDescent="0.2">
      <c r="B417">
        <v>75</v>
      </c>
      <c r="C417">
        <v>3</v>
      </c>
      <c r="D417" s="2">
        <v>3.1850000000000001</v>
      </c>
      <c r="E417" s="2">
        <v>0.40699999999999997</v>
      </c>
      <c r="F417" s="2">
        <f>(0.5/0.32)*D417</f>
        <v>4.9765625</v>
      </c>
      <c r="G417" s="2">
        <f>(0.5/0.32)*E417</f>
        <v>0.63593749999999993</v>
      </c>
      <c r="H417" s="1">
        <f>100*E417/D417</f>
        <v>12.778649921507062</v>
      </c>
    </row>
    <row r="418" spans="1:8" x14ac:dyDescent="0.2">
      <c r="B418">
        <v>76</v>
      </c>
      <c r="C418">
        <v>4</v>
      </c>
      <c r="D418" s="2">
        <v>2.1339999999999999</v>
      </c>
      <c r="E418" s="2">
        <f>0.414+0.183</f>
        <v>0.59699999999999998</v>
      </c>
      <c r="F418" s="2">
        <f>(0.5/0.32)*D418</f>
        <v>3.3343749999999996</v>
      </c>
      <c r="G418" s="2">
        <f>(0.5/0.32)*E418</f>
        <v>0.93281249999999993</v>
      </c>
      <c r="H418" s="1">
        <f>100*E418/D418</f>
        <v>27.975632614807871</v>
      </c>
    </row>
    <row r="419" spans="1:8" x14ac:dyDescent="0.2">
      <c r="B419">
        <v>77</v>
      </c>
      <c r="C419">
        <v>5</v>
      </c>
      <c r="D419" s="2">
        <v>3.26</v>
      </c>
      <c r="E419" s="2">
        <v>2.544</v>
      </c>
      <c r="F419" s="2">
        <f>(0.5/0.32)*D419</f>
        <v>5.09375</v>
      </c>
      <c r="G419" s="2">
        <f>(0.5/0.32)*E419</f>
        <v>3.9750000000000001</v>
      </c>
      <c r="H419" s="1">
        <f>100*E419/D419</f>
        <v>78.036809815950932</v>
      </c>
    </row>
    <row r="420" spans="1:8" x14ac:dyDescent="0.2">
      <c r="B420">
        <v>78</v>
      </c>
      <c r="C420">
        <v>6</v>
      </c>
      <c r="D420" s="2">
        <v>2.2370000000000001</v>
      </c>
      <c r="E420" s="2">
        <f>1.198+0.445</f>
        <v>1.643</v>
      </c>
      <c r="F420" s="2">
        <f>(0.5/0.32)*D420</f>
        <v>3.4953125000000003</v>
      </c>
      <c r="G420" s="2">
        <f>(0.5/0.32)*E420</f>
        <v>2.5671875000000002</v>
      </c>
      <c r="H420" s="1">
        <f>100*E420/D420</f>
        <v>73.446580241394727</v>
      </c>
    </row>
    <row r="421" spans="1:8" x14ac:dyDescent="0.2">
      <c r="B421">
        <v>79</v>
      </c>
      <c r="C421">
        <v>7</v>
      </c>
      <c r="D421" s="2">
        <v>1.67</v>
      </c>
      <c r="E421" s="2">
        <v>0.55600000000000005</v>
      </c>
      <c r="F421" s="2">
        <f>(0.5/0.32)*D421</f>
        <v>2.609375</v>
      </c>
      <c r="G421" s="2">
        <f>(0.5/0.32)*E421</f>
        <v>0.86875000000000013</v>
      </c>
      <c r="H421" s="1">
        <f>100*E421/D421</f>
        <v>33.293413173652702</v>
      </c>
    </row>
    <row r="422" spans="1:8" x14ac:dyDescent="0.2">
      <c r="B422">
        <v>80</v>
      </c>
      <c r="C422">
        <v>8</v>
      </c>
      <c r="D422" s="2">
        <v>3.7290000000000001</v>
      </c>
      <c r="E422" s="2">
        <f>0.986+0.402</f>
        <v>1.3879999999999999</v>
      </c>
      <c r="F422" s="2">
        <f>(0.5/0.32)*D422</f>
        <v>5.8265625000000005</v>
      </c>
      <c r="G422" s="2">
        <f>(0.5/0.32)*E422</f>
        <v>2.1687499999999997</v>
      </c>
      <c r="H422" s="1">
        <f>100*E422/D422</f>
        <v>37.221775274872613</v>
      </c>
    </row>
    <row r="423" spans="1:8" x14ac:dyDescent="0.2">
      <c r="B423">
        <v>81</v>
      </c>
      <c r="C423">
        <v>9</v>
      </c>
      <c r="D423" s="2">
        <v>1.3959999999999999</v>
      </c>
      <c r="E423" s="2">
        <v>0</v>
      </c>
      <c r="F423" s="2">
        <f>(0.5/0.32)*D423</f>
        <v>2.1812499999999999</v>
      </c>
      <c r="G423" s="2">
        <f>(0.5/0.32)*E423</f>
        <v>0</v>
      </c>
      <c r="H423" s="1">
        <f>100*E423/D423</f>
        <v>0</v>
      </c>
    </row>
    <row r="424" spans="1:8" x14ac:dyDescent="0.2">
      <c r="B424">
        <v>82</v>
      </c>
      <c r="C424">
        <v>10</v>
      </c>
      <c r="D424" s="2">
        <v>2.9369999999999998</v>
      </c>
      <c r="E424" s="2">
        <v>0.52600000000000002</v>
      </c>
      <c r="F424" s="2">
        <f>(0.5/0.32)*D424</f>
        <v>4.5890624999999998</v>
      </c>
      <c r="G424" s="2">
        <f>(0.5/0.32)*E424</f>
        <v>0.82187500000000002</v>
      </c>
      <c r="H424" s="1">
        <f>100*E424/D424</f>
        <v>17.90943139257746</v>
      </c>
    </row>
    <row r="425" spans="1:8" x14ac:dyDescent="0.2">
      <c r="B425">
        <v>83</v>
      </c>
      <c r="C425">
        <v>11</v>
      </c>
      <c r="D425" s="2">
        <v>1.589</v>
      </c>
      <c r="E425" s="2">
        <f>0.342+0.241</f>
        <v>0.58299999999999996</v>
      </c>
      <c r="F425" s="2">
        <f>(0.5/0.32)*D425</f>
        <v>2.4828125000000001</v>
      </c>
      <c r="G425" s="2">
        <f>(0.5/0.32)*E425</f>
        <v>0.91093749999999996</v>
      </c>
      <c r="H425" s="1">
        <f>100*E425/D425</f>
        <v>36.689741976085585</v>
      </c>
    </row>
    <row r="426" spans="1:8" x14ac:dyDescent="0.2">
      <c r="B426">
        <v>84</v>
      </c>
      <c r="C426">
        <v>12</v>
      </c>
      <c r="D426" s="2">
        <v>1.9610000000000001</v>
      </c>
      <c r="E426" s="2">
        <f>0.183+0.347</f>
        <v>0.53</v>
      </c>
      <c r="F426" s="2">
        <f>(0.5/0.32)*D426</f>
        <v>3.0640624999999999</v>
      </c>
      <c r="G426" s="2">
        <f>(0.5/0.32)*E426</f>
        <v>0.828125</v>
      </c>
      <c r="H426" s="1">
        <f>100*E426/D426</f>
        <v>27.027027027027025</v>
      </c>
    </row>
    <row r="427" spans="1:8" x14ac:dyDescent="0.2">
      <c r="B427">
        <v>85</v>
      </c>
      <c r="C427">
        <v>13</v>
      </c>
      <c r="D427" s="2">
        <v>1.9830000000000001</v>
      </c>
      <c r="E427" s="2">
        <f>1.549</f>
        <v>1.5489999999999999</v>
      </c>
      <c r="F427" s="2">
        <f>(0.5/0.32)*D427</f>
        <v>3.0984375000000002</v>
      </c>
      <c r="G427" s="2">
        <f>(0.5/0.32)*E427</f>
        <v>2.4203125000000001</v>
      </c>
      <c r="H427" s="1">
        <f>100*E427/D427</f>
        <v>78.113968734241041</v>
      </c>
    </row>
    <row r="428" spans="1:8" x14ac:dyDescent="0.2">
      <c r="A428" t="s">
        <v>7</v>
      </c>
      <c r="B428">
        <v>86</v>
      </c>
      <c r="C428">
        <v>1</v>
      </c>
      <c r="D428" s="2">
        <v>1.159</v>
      </c>
      <c r="E428" s="2">
        <v>0.96899999999999997</v>
      </c>
      <c r="F428" s="2">
        <f>(0.5/0.32)*D428</f>
        <v>1.8109375000000001</v>
      </c>
      <c r="G428" s="2">
        <f>(0.5/0.32)*E428</f>
        <v>1.5140624999999999</v>
      </c>
      <c r="H428" s="1">
        <f>100*E428/D428</f>
        <v>83.606557377049171</v>
      </c>
    </row>
    <row r="429" spans="1:8" x14ac:dyDescent="0.2">
      <c r="B429">
        <v>87</v>
      </c>
      <c r="C429">
        <v>2</v>
      </c>
      <c r="D429" s="2">
        <v>3.0190000000000001</v>
      </c>
      <c r="E429" s="2">
        <f>1.264+0.12</f>
        <v>1.3839999999999999</v>
      </c>
      <c r="F429" s="2">
        <f>(0.5/0.32)*D429</f>
        <v>4.7171875000000005</v>
      </c>
      <c r="G429" s="2">
        <f>(0.5/0.32)*E429</f>
        <v>2.1624999999999996</v>
      </c>
      <c r="H429" s="1">
        <f>100*E429/D429</f>
        <v>45.842994368996344</v>
      </c>
    </row>
    <row r="430" spans="1:8" x14ac:dyDescent="0.2">
      <c r="B430">
        <v>88</v>
      </c>
      <c r="C430">
        <v>3</v>
      </c>
      <c r="D430" s="2">
        <v>2.9980000000000002</v>
      </c>
      <c r="E430" s="2">
        <f>0.144+0.371</f>
        <v>0.51500000000000001</v>
      </c>
      <c r="F430" s="2">
        <f>(0.5/0.32)*D430</f>
        <v>4.6843750000000002</v>
      </c>
      <c r="G430" s="2">
        <f>(0.5/0.32)*E430</f>
        <v>0.8046875</v>
      </c>
      <c r="H430" s="1">
        <f>100*E430/D430</f>
        <v>17.178118745830552</v>
      </c>
    </row>
    <row r="431" spans="1:8" x14ac:dyDescent="0.2">
      <c r="B431">
        <v>89</v>
      </c>
      <c r="C431">
        <v>4</v>
      </c>
      <c r="D431" s="2">
        <v>2.4980000000000002</v>
      </c>
      <c r="E431" s="2">
        <f>1.196+0.434</f>
        <v>1.63</v>
      </c>
      <c r="F431" s="2">
        <f>(0.5/0.32)*D431</f>
        <v>3.9031250000000002</v>
      </c>
      <c r="G431" s="2">
        <f>(0.5/0.32)*E431</f>
        <v>2.546875</v>
      </c>
      <c r="H431" s="1">
        <f>100*E431/D431</f>
        <v>65.252201761409125</v>
      </c>
    </row>
    <row r="432" spans="1:8" x14ac:dyDescent="0.2">
      <c r="B432">
        <v>90</v>
      </c>
      <c r="C432">
        <v>5</v>
      </c>
      <c r="D432" s="2">
        <v>2.4609999999999999</v>
      </c>
      <c r="E432" s="2">
        <v>1.43</v>
      </c>
      <c r="F432" s="2">
        <f>(0.5/0.32)*D432</f>
        <v>3.8453124999999999</v>
      </c>
      <c r="G432" s="2">
        <f>(0.5/0.32)*E432</f>
        <v>2.234375</v>
      </c>
      <c r="H432" s="1">
        <f>100*E432/D432</f>
        <v>58.10646078829744</v>
      </c>
    </row>
    <row r="433" spans="1:8" x14ac:dyDescent="0.2">
      <c r="B433">
        <v>91</v>
      </c>
      <c r="C433">
        <v>6</v>
      </c>
      <c r="D433" s="2">
        <v>2.8119999999999998</v>
      </c>
      <c r="E433" s="2">
        <v>0.81100000000000005</v>
      </c>
      <c r="F433" s="2">
        <f>(0.5/0.32)*D433</f>
        <v>4.3937499999999998</v>
      </c>
      <c r="G433" s="2">
        <f>(0.5/0.32)*E433</f>
        <v>1.2671875000000001</v>
      </c>
      <c r="H433" s="1">
        <f>100*E433/D433</f>
        <v>28.840682788051215</v>
      </c>
    </row>
    <row r="434" spans="1:8" x14ac:dyDescent="0.2">
      <c r="B434">
        <v>92</v>
      </c>
      <c r="C434">
        <v>7</v>
      </c>
      <c r="D434" s="2">
        <v>5.74</v>
      </c>
      <c r="E434" s="2">
        <f>0.548+0.66+0.654</f>
        <v>1.8620000000000001</v>
      </c>
      <c r="F434" s="2">
        <f>(0.5/0.32)*D434</f>
        <v>8.96875</v>
      </c>
      <c r="G434" s="2">
        <f>(0.5/0.32)*E434</f>
        <v>2.9093750000000003</v>
      </c>
      <c r="H434" s="1">
        <f>100*E434/D434</f>
        <v>32.439024390243901</v>
      </c>
    </row>
    <row r="435" spans="1:8" x14ac:dyDescent="0.2">
      <c r="A435" t="s">
        <v>6</v>
      </c>
      <c r="B435">
        <v>93</v>
      </c>
      <c r="C435">
        <v>1</v>
      </c>
      <c r="D435" s="2">
        <v>2.8860000000000001</v>
      </c>
      <c r="E435" s="2">
        <v>0.41399999999999998</v>
      </c>
      <c r="F435" s="2">
        <f>(0.5/0.32)*D435</f>
        <v>4.5093750000000004</v>
      </c>
      <c r="G435" s="2">
        <f>(0.5/0.32)*E435</f>
        <v>0.64687499999999998</v>
      </c>
      <c r="H435" s="1">
        <f>100*E435/D435</f>
        <v>14.345114345114345</v>
      </c>
    </row>
    <row r="436" spans="1:8" x14ac:dyDescent="0.2">
      <c r="B436">
        <v>94</v>
      </c>
      <c r="C436">
        <v>2</v>
      </c>
      <c r="D436" s="2">
        <v>2.62</v>
      </c>
      <c r="E436" s="2">
        <v>1.1551</v>
      </c>
      <c r="F436" s="2">
        <f>(0.5/0.32)*D436</f>
        <v>4.09375</v>
      </c>
      <c r="G436" s="2">
        <f>(0.5/0.32)*E436</f>
        <v>1.8048437500000001</v>
      </c>
      <c r="H436" s="1">
        <f>100*E436/D436</f>
        <v>44.087786259541986</v>
      </c>
    </row>
    <row r="437" spans="1:8" x14ac:dyDescent="0.2">
      <c r="B437">
        <v>95</v>
      </c>
      <c r="C437">
        <v>3</v>
      </c>
      <c r="D437" s="2">
        <v>2.7549999999999999</v>
      </c>
      <c r="E437" s="2">
        <v>0.96</v>
      </c>
      <c r="F437" s="2">
        <f>(0.5/0.32)*D437</f>
        <v>4.3046875</v>
      </c>
      <c r="G437" s="2">
        <f>(0.5/0.32)*E437</f>
        <v>1.5</v>
      </c>
      <c r="H437" s="1">
        <f>100*E437/D437</f>
        <v>34.845735027223235</v>
      </c>
    </row>
    <row r="438" spans="1:8" x14ac:dyDescent="0.2">
      <c r="B438">
        <v>96</v>
      </c>
      <c r="C438">
        <v>4</v>
      </c>
      <c r="D438" s="2">
        <v>1.635</v>
      </c>
      <c r="E438" s="2">
        <f>0.222+0.539</f>
        <v>0.76100000000000001</v>
      </c>
      <c r="F438" s="2">
        <f>(0.5/0.32)*D438</f>
        <v>2.5546875</v>
      </c>
      <c r="G438" s="2">
        <f>(0.5/0.32)*E438</f>
        <v>1.1890624999999999</v>
      </c>
      <c r="H438" s="1">
        <f>100*E438/D438</f>
        <v>46.544342507645254</v>
      </c>
    </row>
    <row r="439" spans="1:8" x14ac:dyDescent="0.2">
      <c r="B439">
        <v>97</v>
      </c>
      <c r="C439">
        <v>5</v>
      </c>
      <c r="D439" s="2">
        <v>2.9990000000000001</v>
      </c>
      <c r="E439" s="2">
        <v>0.60299999999999998</v>
      </c>
      <c r="F439" s="2">
        <f>(0.5/0.32)*D439</f>
        <v>4.6859375000000005</v>
      </c>
      <c r="G439" s="2">
        <f>(0.5/0.32)*E439</f>
        <v>0.94218749999999996</v>
      </c>
      <c r="H439" s="1">
        <f>100*E439/D439</f>
        <v>20.106702234078025</v>
      </c>
    </row>
    <row r="440" spans="1:8" x14ac:dyDescent="0.2">
      <c r="B440">
        <v>98</v>
      </c>
      <c r="C440">
        <v>6</v>
      </c>
      <c r="D440" s="2">
        <v>3.4430000000000001</v>
      </c>
      <c r="E440" s="2">
        <f>0.371+1.09</f>
        <v>1.4610000000000001</v>
      </c>
      <c r="F440" s="2">
        <f>(0.5/0.32)*D440</f>
        <v>5.3796875000000002</v>
      </c>
      <c r="G440" s="2">
        <f>(0.5/0.32)*E440</f>
        <v>2.2828124999999999</v>
      </c>
      <c r="H440" s="1">
        <f>100*E440/D440</f>
        <v>42.433923903572463</v>
      </c>
    </row>
    <row r="441" spans="1:8" x14ac:dyDescent="0.2">
      <c r="A441" t="s">
        <v>5</v>
      </c>
      <c r="B441">
        <v>99</v>
      </c>
      <c r="C441">
        <v>1</v>
      </c>
      <c r="D441" s="2">
        <v>4.0919999999999996</v>
      </c>
      <c r="E441" s="2">
        <f>1.18+0.439+0.39+0.375</f>
        <v>2.3839999999999999</v>
      </c>
      <c r="F441" s="2">
        <f>(0.5/0.32)*D441</f>
        <v>6.3937499999999998</v>
      </c>
      <c r="G441" s="2">
        <f>(0.5/0.32)*E441</f>
        <v>3.7249999999999996</v>
      </c>
      <c r="H441" s="1">
        <f>100*E441/D441</f>
        <v>58.260019550342129</v>
      </c>
    </row>
    <row r="442" spans="1:8" x14ac:dyDescent="0.2">
      <c r="B442">
        <v>100</v>
      </c>
      <c r="C442">
        <v>2</v>
      </c>
      <c r="D442" s="2">
        <v>1.427</v>
      </c>
      <c r="E442" s="2">
        <f>0.262+0.401</f>
        <v>0.66300000000000003</v>
      </c>
      <c r="F442" s="2">
        <f>(0.5/0.32)*D442</f>
        <v>2.2296875000000003</v>
      </c>
      <c r="G442" s="2">
        <f>(0.5/0.32)*E442</f>
        <v>1.0359375</v>
      </c>
      <c r="H442" s="1">
        <f>100*E442/D442</f>
        <v>46.461107217939727</v>
      </c>
    </row>
    <row r="443" spans="1:8" x14ac:dyDescent="0.2">
      <c r="B443">
        <v>101</v>
      </c>
      <c r="C443">
        <v>3</v>
      </c>
      <c r="D443" s="2">
        <v>2.7109999999999999</v>
      </c>
      <c r="E443" s="2">
        <f>0.288+0.304+0.981</f>
        <v>1.573</v>
      </c>
      <c r="F443" s="2">
        <f>(0.5/0.32)*D443</f>
        <v>4.2359374999999995</v>
      </c>
      <c r="G443" s="2">
        <f>(0.5/0.32)*E443</f>
        <v>2.4578124999999997</v>
      </c>
      <c r="H443" s="1">
        <f>100*E443/D443</f>
        <v>58.022869789745478</v>
      </c>
    </row>
    <row r="444" spans="1:8" x14ac:dyDescent="0.2">
      <c r="B444">
        <v>102</v>
      </c>
      <c r="C444">
        <v>4</v>
      </c>
      <c r="D444" s="2">
        <v>3.2210000000000001</v>
      </c>
      <c r="E444" s="2">
        <v>1.6970000000000001</v>
      </c>
      <c r="F444" s="2">
        <f>(0.5/0.32)*D444</f>
        <v>5.0328125000000004</v>
      </c>
      <c r="G444" s="2">
        <f>(0.5/0.32)*E444</f>
        <v>2.6515625000000003</v>
      </c>
      <c r="H444" s="1">
        <f>100*E444/D444</f>
        <v>52.685501397081659</v>
      </c>
    </row>
    <row r="445" spans="1:8" x14ac:dyDescent="0.2">
      <c r="A445" t="s">
        <v>4</v>
      </c>
      <c r="B445">
        <v>103</v>
      </c>
      <c r="C445">
        <v>1</v>
      </c>
      <c r="D445" s="2">
        <v>4.4340000000000002</v>
      </c>
      <c r="E445" s="2">
        <f>0.332+0.494</f>
        <v>0.82600000000000007</v>
      </c>
      <c r="F445" s="2">
        <f>(0.5/0.32)*D445</f>
        <v>6.9281250000000005</v>
      </c>
      <c r="G445" s="2">
        <f>(0.5/0.32)*E445</f>
        <v>1.2906250000000001</v>
      </c>
      <c r="H445" s="1">
        <f>100*E445/D445</f>
        <v>18.628777627424448</v>
      </c>
    </row>
    <row r="446" spans="1:8" x14ac:dyDescent="0.2">
      <c r="B446">
        <v>104</v>
      </c>
      <c r="C446">
        <v>2</v>
      </c>
      <c r="D446" s="2">
        <v>2.6309999999999998</v>
      </c>
      <c r="E446" s="2">
        <f>0.835+0.49</f>
        <v>1.325</v>
      </c>
      <c r="F446" s="2">
        <f>(0.5/0.32)*D446</f>
        <v>4.1109374999999995</v>
      </c>
      <c r="G446" s="2">
        <f>(0.5/0.32)*E446</f>
        <v>2.0703125</v>
      </c>
      <c r="H446" s="1">
        <f>100*E446/D446</f>
        <v>50.361079437476249</v>
      </c>
    </row>
    <row r="447" spans="1:8" x14ac:dyDescent="0.2">
      <c r="B447">
        <v>105</v>
      </c>
      <c r="C447">
        <v>3</v>
      </c>
      <c r="D447" s="2">
        <v>5.4960000000000004</v>
      </c>
      <c r="E447" s="2">
        <v>1.67</v>
      </c>
      <c r="F447" s="2">
        <f>(0.5/0.32)*D447</f>
        <v>8.5875000000000004</v>
      </c>
      <c r="G447" s="2">
        <f>(0.5/0.32)*E447</f>
        <v>2.609375</v>
      </c>
      <c r="H447" s="1">
        <f>100*E447/D447</f>
        <v>30.385735080058222</v>
      </c>
    </row>
    <row r="448" spans="1:8" x14ac:dyDescent="0.2">
      <c r="B448">
        <v>106</v>
      </c>
      <c r="C448">
        <v>4</v>
      </c>
      <c r="D448" s="2">
        <v>4.5659999999999998</v>
      </c>
      <c r="E448" s="2">
        <f>0.622+0.902</f>
        <v>1.524</v>
      </c>
      <c r="F448" s="2">
        <f>(0.5/0.32)*D448</f>
        <v>7.1343749999999995</v>
      </c>
      <c r="G448" s="2">
        <f>(0.5/0.32)*E448</f>
        <v>2.3812500000000001</v>
      </c>
      <c r="H448" s="1">
        <f>100*E448/D448</f>
        <v>33.37713534822602</v>
      </c>
    </row>
    <row r="449" spans="1:8" x14ac:dyDescent="0.2">
      <c r="B449">
        <v>107</v>
      </c>
      <c r="C449">
        <v>5</v>
      </c>
      <c r="D449" s="2">
        <v>7.2670000000000003</v>
      </c>
      <c r="E449" s="2">
        <f>0.448+0.538</f>
        <v>0.98599999999999999</v>
      </c>
      <c r="F449" s="2">
        <f>(0.5/0.32)*D449</f>
        <v>11.354687500000001</v>
      </c>
      <c r="G449" s="2">
        <f>(0.5/0.32)*E449</f>
        <v>1.5406249999999999</v>
      </c>
      <c r="H449" s="1">
        <f>100*E449/D449</f>
        <v>13.568184945644694</v>
      </c>
    </row>
    <row r="450" spans="1:8" x14ac:dyDescent="0.2">
      <c r="A450" t="s">
        <v>3</v>
      </c>
      <c r="B450">
        <v>108</v>
      </c>
      <c r="C450">
        <v>1</v>
      </c>
      <c r="D450" s="2">
        <v>5.5339999999999998</v>
      </c>
      <c r="E450" s="2">
        <v>1.129</v>
      </c>
      <c r="F450" s="2">
        <f>(0.5/0.32)*D450</f>
        <v>8.6468749999999996</v>
      </c>
      <c r="G450" s="2">
        <f>(0.5/0.32)*E450</f>
        <v>1.7640625000000001</v>
      </c>
      <c r="H450" s="1">
        <f>100*E450/D450</f>
        <v>20.401156487170223</v>
      </c>
    </row>
    <row r="451" spans="1:8" x14ac:dyDescent="0.2">
      <c r="B451">
        <v>109</v>
      </c>
      <c r="C451">
        <v>2</v>
      </c>
      <c r="D451" s="2">
        <v>4.085</v>
      </c>
      <c r="E451" s="2">
        <v>0.73199999999999998</v>
      </c>
      <c r="F451" s="2">
        <f>(0.5/0.32)*D451</f>
        <v>6.3828125</v>
      </c>
      <c r="G451" s="2">
        <f>(0.5/0.32)*E451</f>
        <v>1.14375</v>
      </c>
      <c r="H451" s="1">
        <f>100*E451/D451</f>
        <v>17.919216646266829</v>
      </c>
    </row>
    <row r="452" spans="1:8" x14ac:dyDescent="0.2">
      <c r="B452">
        <v>110</v>
      </c>
      <c r="C452">
        <v>3</v>
      </c>
      <c r="D452" s="2">
        <v>2.9380000000000002</v>
      </c>
      <c r="E452" s="2">
        <f>0.856+0.184</f>
        <v>1.04</v>
      </c>
      <c r="F452" s="2">
        <f>(0.5/0.32)*D452</f>
        <v>4.5906250000000002</v>
      </c>
      <c r="G452" s="2">
        <f>(0.5/0.32)*E452</f>
        <v>1.625</v>
      </c>
      <c r="H452" s="1">
        <f>100*E452/D452</f>
        <v>35.398230088495573</v>
      </c>
    </row>
    <row r="453" spans="1:8" x14ac:dyDescent="0.2">
      <c r="B453">
        <v>111</v>
      </c>
      <c r="C453">
        <v>4</v>
      </c>
      <c r="D453" s="2">
        <v>5.5919999999999996</v>
      </c>
      <c r="E453" s="2">
        <f>0.76+0.177+0.756</f>
        <v>1.6930000000000001</v>
      </c>
      <c r="F453" s="2">
        <f>(0.5/0.32)*D453</f>
        <v>8.7374999999999989</v>
      </c>
      <c r="G453" s="2">
        <f>(0.5/0.32)*E453</f>
        <v>2.6453125000000002</v>
      </c>
      <c r="H453" s="1">
        <f>100*E453/D453</f>
        <v>30.275393419170246</v>
      </c>
    </row>
    <row r="454" spans="1:8" x14ac:dyDescent="0.2">
      <c r="B454">
        <v>112</v>
      </c>
      <c r="C454">
        <v>5</v>
      </c>
      <c r="D454" s="2">
        <v>2.5840000000000001</v>
      </c>
      <c r="E454" s="2">
        <v>0.92500000000000004</v>
      </c>
      <c r="F454" s="2">
        <f>(0.5/0.32)*D454</f>
        <v>4.0375000000000005</v>
      </c>
      <c r="G454" s="2">
        <f>(0.5/0.32)*E454</f>
        <v>1.4453125</v>
      </c>
      <c r="H454" s="1">
        <f>100*E454/D454</f>
        <v>35.797213622291018</v>
      </c>
    </row>
    <row r="455" spans="1:8" x14ac:dyDescent="0.2">
      <c r="B455">
        <v>113</v>
      </c>
      <c r="C455">
        <v>6</v>
      </c>
      <c r="D455" s="2">
        <v>1.607</v>
      </c>
      <c r="E455" s="2">
        <v>0.16300000000000001</v>
      </c>
      <c r="F455" s="2">
        <f>(0.5/0.32)*D455</f>
        <v>2.5109374999999998</v>
      </c>
      <c r="G455" s="2">
        <f>(0.5/0.32)*E455</f>
        <v>0.25468750000000001</v>
      </c>
      <c r="H455" s="1">
        <f>100*E455/D455</f>
        <v>10.143123833229621</v>
      </c>
    </row>
    <row r="456" spans="1:8" x14ac:dyDescent="0.2">
      <c r="B456">
        <v>114</v>
      </c>
      <c r="C456">
        <v>7</v>
      </c>
      <c r="D456" s="2">
        <v>2.1480000000000001</v>
      </c>
      <c r="E456" s="2">
        <v>0.18</v>
      </c>
      <c r="F456" s="2">
        <f>(0.5/0.32)*D456</f>
        <v>3.3562500000000002</v>
      </c>
      <c r="G456" s="2">
        <f>(0.5/0.32)*E456</f>
        <v>0.28125</v>
      </c>
      <c r="H456" s="1">
        <f>100*E456/D456</f>
        <v>8.3798882681564244</v>
      </c>
    </row>
    <row r="457" spans="1:8" x14ac:dyDescent="0.2">
      <c r="B457">
        <v>115</v>
      </c>
      <c r="C457">
        <v>8</v>
      </c>
      <c r="D457" s="2">
        <v>1.6930000000000001</v>
      </c>
      <c r="E457" s="2">
        <v>0.27600000000000002</v>
      </c>
      <c r="F457" s="2">
        <f>(0.5/0.32)*D457</f>
        <v>2.6453125000000002</v>
      </c>
      <c r="G457" s="2">
        <f>(0.5/0.32)*E457</f>
        <v>0.43125000000000002</v>
      </c>
      <c r="H457" s="1">
        <f>100*E457/D457</f>
        <v>16.302421736562316</v>
      </c>
    </row>
    <row r="458" spans="1:8" x14ac:dyDescent="0.2">
      <c r="B458">
        <v>116</v>
      </c>
      <c r="C458">
        <v>9</v>
      </c>
      <c r="D458" s="2">
        <v>1.4330000000000001</v>
      </c>
      <c r="E458" s="2">
        <v>0.55200000000000005</v>
      </c>
      <c r="F458" s="2">
        <f>(0.5/0.32)*D458</f>
        <v>2.2390625000000002</v>
      </c>
      <c r="G458" s="2">
        <f>(0.5/0.32)*E458</f>
        <v>0.86250000000000004</v>
      </c>
      <c r="H458" s="1">
        <f>100*E458/D458</f>
        <v>38.52058618283322</v>
      </c>
    </row>
    <row r="459" spans="1:8" x14ac:dyDescent="0.2">
      <c r="B459">
        <v>117</v>
      </c>
      <c r="C459">
        <v>10</v>
      </c>
      <c r="D459" s="2">
        <v>3.649</v>
      </c>
      <c r="E459" s="2">
        <f>0.459+0.183</f>
        <v>0.64200000000000002</v>
      </c>
      <c r="F459" s="2">
        <f>(0.5/0.32)*D459</f>
        <v>5.7015624999999996</v>
      </c>
      <c r="G459" s="2">
        <f>(0.5/0.32)*E459</f>
        <v>1.003125</v>
      </c>
      <c r="H459" s="1">
        <f>100*E459/D459</f>
        <v>17.593861331871747</v>
      </c>
    </row>
    <row r="460" spans="1:8" x14ac:dyDescent="0.2">
      <c r="B460">
        <v>118</v>
      </c>
      <c r="C460">
        <v>11</v>
      </c>
      <c r="D460" s="2">
        <v>2.3069999999999999</v>
      </c>
      <c r="E460" s="2">
        <v>0.316</v>
      </c>
      <c r="F460" s="2">
        <f>(0.5/0.32)*D460</f>
        <v>3.6046874999999998</v>
      </c>
      <c r="G460" s="2">
        <f>(0.5/0.32)*E460</f>
        <v>0.49375000000000002</v>
      </c>
      <c r="H460" s="1">
        <f>100*E460/D460</f>
        <v>13.697442566103165</v>
      </c>
    </row>
    <row r="461" spans="1:8" x14ac:dyDescent="0.2">
      <c r="B461">
        <v>119</v>
      </c>
      <c r="C461">
        <v>12</v>
      </c>
      <c r="D461" s="2">
        <v>4.2670000000000003</v>
      </c>
      <c r="E461" s="2">
        <f>0.525+0.529</f>
        <v>1.054</v>
      </c>
      <c r="F461" s="2">
        <f>(0.5/0.32)*D461</f>
        <v>6.6671875000000007</v>
      </c>
      <c r="G461" s="2">
        <f>(0.5/0.32)*E461</f>
        <v>1.6468750000000001</v>
      </c>
      <c r="H461" s="1">
        <f>100*E461/D461</f>
        <v>24.701195219123505</v>
      </c>
    </row>
    <row r="462" spans="1:8" x14ac:dyDescent="0.2">
      <c r="A462" t="s">
        <v>2</v>
      </c>
      <c r="B462">
        <v>120</v>
      </c>
      <c r="C462">
        <v>1</v>
      </c>
      <c r="D462" s="2">
        <v>3.2149999999999999</v>
      </c>
      <c r="E462" s="2">
        <f>0.508+0.512</f>
        <v>1.02</v>
      </c>
      <c r="F462" s="2">
        <f>(0.5/0.32)*D462</f>
        <v>5.0234375</v>
      </c>
      <c r="G462" s="2">
        <f>(0.5/0.32)*E462</f>
        <v>1.59375</v>
      </c>
      <c r="H462" s="1">
        <f>100*E462/D462</f>
        <v>31.72628304821151</v>
      </c>
    </row>
    <row r="463" spans="1:8" x14ac:dyDescent="0.2">
      <c r="B463">
        <v>121</v>
      </c>
      <c r="C463">
        <v>2</v>
      </c>
      <c r="D463" s="2">
        <v>2.2410000000000001</v>
      </c>
      <c r="E463" s="2">
        <f>0.334+0.412</f>
        <v>0.746</v>
      </c>
      <c r="F463" s="2">
        <f>(0.5/0.32)*D463</f>
        <v>3.5015625000000004</v>
      </c>
      <c r="G463" s="2">
        <f>(0.5/0.32)*E463</f>
        <v>1.1656249999999999</v>
      </c>
      <c r="H463" s="1">
        <f>100*E463/D463</f>
        <v>33.288710397144129</v>
      </c>
    </row>
    <row r="464" spans="1:8" x14ac:dyDescent="0.2">
      <c r="B464">
        <v>122</v>
      </c>
      <c r="C464">
        <v>3</v>
      </c>
      <c r="D464" s="2">
        <v>3.153</v>
      </c>
      <c r="E464" s="2">
        <v>0</v>
      </c>
      <c r="F464" s="2">
        <f>(0.5/0.32)*D464</f>
        <v>4.9265625000000002</v>
      </c>
      <c r="G464" s="2">
        <f>(0.5/0.32)*E464</f>
        <v>0</v>
      </c>
      <c r="H464" s="1">
        <f>100*E464/D464</f>
        <v>0</v>
      </c>
    </row>
    <row r="465" spans="2:8" x14ac:dyDescent="0.2">
      <c r="B465">
        <v>123</v>
      </c>
      <c r="C465">
        <v>4</v>
      </c>
      <c r="D465" s="2">
        <v>2.06</v>
      </c>
      <c r="E465" s="2">
        <v>0.23300000000000001</v>
      </c>
      <c r="F465" s="2">
        <f>(0.5/0.32)*D465</f>
        <v>3.21875</v>
      </c>
      <c r="G465" s="2">
        <f>(0.5/0.32)*E465</f>
        <v>0.36406250000000001</v>
      </c>
      <c r="H465" s="1">
        <f>100*E465/D465</f>
        <v>11.310679611650485</v>
      </c>
    </row>
    <row r="466" spans="2:8" x14ac:dyDescent="0.2">
      <c r="B466">
        <v>124</v>
      </c>
      <c r="C466">
        <v>5</v>
      </c>
      <c r="D466" s="2">
        <v>3.371</v>
      </c>
      <c r="E466" s="2">
        <f>1.138+0.769</f>
        <v>1.907</v>
      </c>
      <c r="F466" s="2">
        <f>(0.5/0.32)*D466</f>
        <v>5.2671875000000004</v>
      </c>
      <c r="G466" s="2">
        <f>(0.5/0.32)*E466</f>
        <v>2.9796874999999998</v>
      </c>
      <c r="H466" s="1">
        <f>100*E466/D466</f>
        <v>56.570750519133782</v>
      </c>
    </row>
    <row r="467" spans="2:8" x14ac:dyDescent="0.2">
      <c r="B467">
        <v>125</v>
      </c>
      <c r="C467">
        <v>6</v>
      </c>
      <c r="D467" s="2">
        <v>2.3639999999999999</v>
      </c>
      <c r="E467" s="2">
        <v>0.24</v>
      </c>
      <c r="F467" s="2">
        <f>(0.5/0.32)*D467</f>
        <v>3.6937499999999996</v>
      </c>
      <c r="G467" s="2">
        <f>(0.5/0.32)*E467</f>
        <v>0.375</v>
      </c>
      <c r="H467" s="1">
        <f>100*E467/D467</f>
        <v>10.152284263959391</v>
      </c>
    </row>
    <row r="468" spans="2:8" x14ac:dyDescent="0.2">
      <c r="B468">
        <v>126</v>
      </c>
      <c r="C468">
        <v>7</v>
      </c>
      <c r="D468" s="2">
        <v>2.1749999999999998</v>
      </c>
      <c r="E468" s="2">
        <v>0.27200000000000002</v>
      </c>
      <c r="F468" s="2">
        <f>(0.5/0.32)*D468</f>
        <v>3.3984374999999996</v>
      </c>
      <c r="G468" s="2">
        <f>(0.5/0.32)*E468</f>
        <v>0.42500000000000004</v>
      </c>
      <c r="H468" s="1">
        <f>100*E468/D468</f>
        <v>12.505747126436784</v>
      </c>
    </row>
    <row r="469" spans="2:8" x14ac:dyDescent="0.2">
      <c r="B469">
        <v>127</v>
      </c>
      <c r="C469">
        <v>8</v>
      </c>
      <c r="D469" s="2">
        <v>2.2250000000000001</v>
      </c>
      <c r="E469" s="2">
        <v>0</v>
      </c>
      <c r="F469" s="2">
        <f>(0.5/0.32)*D469</f>
        <v>3.4765625</v>
      </c>
      <c r="G469" s="2">
        <f>(0.5/0.32)*E469</f>
        <v>0</v>
      </c>
      <c r="H469" s="1">
        <f>100*E469/D469</f>
        <v>0</v>
      </c>
    </row>
    <row r="470" spans="2:8" x14ac:dyDescent="0.2">
      <c r="B470">
        <v>128</v>
      </c>
      <c r="C470">
        <v>9</v>
      </c>
      <c r="D470" s="2">
        <v>2.5510000000000002</v>
      </c>
      <c r="E470" s="2">
        <v>0.49099999999999999</v>
      </c>
      <c r="F470" s="2">
        <f>(0.5/0.32)*D470</f>
        <v>3.9859375000000004</v>
      </c>
      <c r="G470" s="2">
        <f>(0.5/0.32)*E470</f>
        <v>0.76718750000000002</v>
      </c>
      <c r="H470" s="1">
        <f>100*E470/D470</f>
        <v>19.247353978831828</v>
      </c>
    </row>
    <row r="471" spans="2:8" x14ac:dyDescent="0.2">
      <c r="B471">
        <v>129</v>
      </c>
      <c r="C471">
        <v>10</v>
      </c>
      <c r="D471" s="2">
        <v>3.137</v>
      </c>
      <c r="E471" s="2">
        <v>0.20799999999999999</v>
      </c>
      <c r="F471" s="2">
        <f>(0.5/0.32)*D471</f>
        <v>4.9015624999999998</v>
      </c>
      <c r="G471" s="2">
        <f>(0.5/0.32)*E471</f>
        <v>0.32500000000000001</v>
      </c>
      <c r="H471" s="1">
        <f>100*E471/D471</f>
        <v>6.6305387312719164</v>
      </c>
    </row>
    <row r="473" spans="2:8" x14ac:dyDescent="0.2">
      <c r="C473" t="s">
        <v>1</v>
      </c>
      <c r="D473" s="2">
        <f>AVERAGE(D343:D471)</f>
        <v>2.730201550387596</v>
      </c>
      <c r="E473" s="2">
        <f>AVERAGE(E343:E471)</f>
        <v>0.87221550387596902</v>
      </c>
      <c r="F473" s="2">
        <f>AVERAGE(F343:F471)</f>
        <v>4.2659399224806211</v>
      </c>
      <c r="G473" s="2">
        <f>AVERAGE(G343:G471)</f>
        <v>1.3628367248062012</v>
      </c>
      <c r="H473" s="2">
        <f>AVERAGE(H343:H471)</f>
        <v>32.001525209637364</v>
      </c>
    </row>
    <row r="474" spans="2:8" x14ac:dyDescent="0.2">
      <c r="C474" t="s">
        <v>0</v>
      </c>
      <c r="D474" s="2">
        <f>STDEV(D343:D471)</f>
        <v>1.1717837389787749</v>
      </c>
      <c r="E474" s="2">
        <f>STDEV(E343:E471)</f>
        <v>0.64328446097080705</v>
      </c>
      <c r="F474" s="2">
        <f>STDEV(F343:F471)</f>
        <v>1.8309120921543367</v>
      </c>
      <c r="G474" s="2">
        <f>STDEV(G343:G471)</f>
        <v>1.0051319702668859</v>
      </c>
      <c r="H474" s="2">
        <f>STDEV(H343:H471)</f>
        <v>19.132342689887899</v>
      </c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baseColWidth="10" defaultRowHeight="16" x14ac:dyDescent="0.2"/>
  <cols>
    <col min="1" max="1" width="23.1640625" customWidth="1"/>
    <col min="2" max="2" width="11" style="1" customWidth="1"/>
    <col min="3" max="3" width="5" customWidth="1"/>
    <col min="4" max="4" width="23.1640625" customWidth="1"/>
    <col min="5" max="5" width="11" style="1" customWidth="1"/>
    <col min="6" max="6" width="4.6640625" customWidth="1"/>
    <col min="7" max="7" width="23.1640625" customWidth="1"/>
    <col min="8" max="8" width="11" style="1" customWidth="1"/>
    <col min="9" max="9" width="4.1640625" customWidth="1"/>
    <col min="10" max="10" width="23.1640625" customWidth="1"/>
    <col min="11" max="11" width="11" style="1" customWidth="1"/>
  </cols>
  <sheetData>
    <row r="1" spans="1:11" x14ac:dyDescent="0.2">
      <c r="A1" t="s">
        <v>189</v>
      </c>
    </row>
    <row r="3" spans="1:11" x14ac:dyDescent="0.2">
      <c r="A3" t="s">
        <v>90</v>
      </c>
      <c r="C3" t="s">
        <v>88</v>
      </c>
      <c r="G3" t="s">
        <v>89</v>
      </c>
      <c r="J3" t="s">
        <v>88</v>
      </c>
    </row>
    <row r="4" spans="1:11" x14ac:dyDescent="0.2">
      <c r="A4" s="5" t="s">
        <v>24</v>
      </c>
      <c r="B4" s="3" t="s">
        <v>87</v>
      </c>
      <c r="D4" s="5" t="s">
        <v>24</v>
      </c>
      <c r="E4" s="3" t="s">
        <v>87</v>
      </c>
      <c r="G4" s="5" t="s">
        <v>24</v>
      </c>
      <c r="H4" s="3" t="s">
        <v>87</v>
      </c>
      <c r="J4" s="5" t="s">
        <v>24</v>
      </c>
      <c r="K4" s="3" t="s">
        <v>87</v>
      </c>
    </row>
    <row r="5" spans="1:11" x14ac:dyDescent="0.2">
      <c r="A5" t="s">
        <v>84</v>
      </c>
      <c r="B5" s="1">
        <v>100</v>
      </c>
      <c r="D5" t="s">
        <v>63</v>
      </c>
      <c r="E5" s="1">
        <f>100*6/7</f>
        <v>85.714285714285708</v>
      </c>
      <c r="G5" t="s">
        <v>43</v>
      </c>
      <c r="H5" s="1">
        <v>100</v>
      </c>
      <c r="J5" t="s">
        <v>16</v>
      </c>
      <c r="K5" s="1">
        <v>100</v>
      </c>
    </row>
    <row r="6" spans="1:11" x14ac:dyDescent="0.2">
      <c r="A6" t="s">
        <v>83</v>
      </c>
      <c r="B6" s="1">
        <v>100</v>
      </c>
      <c r="D6" t="s">
        <v>62</v>
      </c>
      <c r="E6" s="1">
        <v>40</v>
      </c>
      <c r="G6" t="s">
        <v>41</v>
      </c>
      <c r="H6" s="1">
        <v>100</v>
      </c>
      <c r="J6" t="s">
        <v>15</v>
      </c>
      <c r="K6" s="1">
        <f>100*5/6</f>
        <v>83.333333333333329</v>
      </c>
    </row>
    <row r="7" spans="1:11" x14ac:dyDescent="0.2">
      <c r="A7" t="s">
        <v>82</v>
      </c>
      <c r="B7" s="1">
        <v>100</v>
      </c>
      <c r="D7" t="s">
        <v>61</v>
      </c>
      <c r="E7" s="1">
        <f>100*3/14</f>
        <v>21.428571428571427</v>
      </c>
      <c r="G7" t="s">
        <v>40</v>
      </c>
      <c r="H7" s="1">
        <v>100</v>
      </c>
      <c r="J7" t="s">
        <v>14</v>
      </c>
      <c r="K7" s="1">
        <v>100</v>
      </c>
    </row>
    <row r="8" spans="1:11" x14ac:dyDescent="0.2">
      <c r="A8" t="s">
        <v>81</v>
      </c>
      <c r="B8" s="1">
        <v>100</v>
      </c>
      <c r="D8" t="s">
        <v>60</v>
      </c>
      <c r="E8" s="1">
        <v>50</v>
      </c>
      <c r="G8" t="s">
        <v>37</v>
      </c>
      <c r="H8" s="1">
        <v>100</v>
      </c>
      <c r="J8" t="s">
        <v>13</v>
      </c>
      <c r="K8" s="1">
        <v>100</v>
      </c>
    </row>
    <row r="9" spans="1:11" x14ac:dyDescent="0.2">
      <c r="A9" t="s">
        <v>80</v>
      </c>
      <c r="B9" s="1">
        <v>100</v>
      </c>
      <c r="D9" t="s">
        <v>59</v>
      </c>
      <c r="E9" s="1">
        <f>100*2/7</f>
        <v>28.571428571428573</v>
      </c>
      <c r="G9" t="s">
        <v>36</v>
      </c>
      <c r="H9" s="1">
        <v>60</v>
      </c>
      <c r="J9" t="s">
        <v>12</v>
      </c>
      <c r="K9" s="1">
        <v>100</v>
      </c>
    </row>
    <row r="10" spans="1:11" x14ac:dyDescent="0.2">
      <c r="A10" t="s">
        <v>79</v>
      </c>
      <c r="B10" s="1">
        <v>100</v>
      </c>
      <c r="D10" t="s">
        <v>58</v>
      </c>
      <c r="E10" s="1">
        <f>100*1/11</f>
        <v>9.0909090909090917</v>
      </c>
      <c r="G10" t="s">
        <v>35</v>
      </c>
      <c r="H10" s="1">
        <v>100</v>
      </c>
      <c r="J10" t="s">
        <v>11</v>
      </c>
      <c r="K10" s="1">
        <v>100</v>
      </c>
    </row>
    <row r="11" spans="1:11" x14ac:dyDescent="0.2">
      <c r="A11" t="s">
        <v>78</v>
      </c>
      <c r="B11" s="1">
        <v>100</v>
      </c>
      <c r="D11" t="s">
        <v>57</v>
      </c>
      <c r="E11" s="1">
        <v>33.33</v>
      </c>
      <c r="G11" t="s">
        <v>34</v>
      </c>
      <c r="H11" s="1">
        <v>100</v>
      </c>
      <c r="J11" t="s">
        <v>10</v>
      </c>
      <c r="K11" s="1">
        <f>100*20/21</f>
        <v>95.238095238095241</v>
      </c>
    </row>
    <row r="12" spans="1:11" x14ac:dyDescent="0.2">
      <c r="A12" t="s">
        <v>77</v>
      </c>
      <c r="B12" s="1">
        <v>66.67</v>
      </c>
      <c r="D12" t="s">
        <v>56</v>
      </c>
      <c r="E12" s="1">
        <f>100*5/12</f>
        <v>41.666666666666664</v>
      </c>
      <c r="G12" t="s">
        <v>33</v>
      </c>
      <c r="H12" s="1">
        <v>100</v>
      </c>
      <c r="J12" t="s">
        <v>9</v>
      </c>
      <c r="K12" s="1">
        <v>100</v>
      </c>
    </row>
    <row r="13" spans="1:11" x14ac:dyDescent="0.2">
      <c r="A13" t="s">
        <v>75</v>
      </c>
      <c r="B13" s="1">
        <v>100</v>
      </c>
      <c r="D13" t="s">
        <v>55</v>
      </c>
      <c r="E13" s="1">
        <f>75</f>
        <v>75</v>
      </c>
      <c r="G13" t="s">
        <v>32</v>
      </c>
      <c r="H13" s="1">
        <v>100</v>
      </c>
      <c r="J13" t="s">
        <v>8</v>
      </c>
      <c r="K13" s="1">
        <f>100*12/13</f>
        <v>92.307692307692307</v>
      </c>
    </row>
    <row r="14" spans="1:11" x14ac:dyDescent="0.2">
      <c r="A14" t="s">
        <v>74</v>
      </c>
      <c r="B14" s="1">
        <v>66.67</v>
      </c>
      <c r="D14" t="s">
        <v>54</v>
      </c>
      <c r="E14" s="1">
        <v>50</v>
      </c>
      <c r="G14" t="s">
        <v>31</v>
      </c>
      <c r="H14" s="1">
        <v>100</v>
      </c>
      <c r="J14" t="s">
        <v>7</v>
      </c>
      <c r="K14" s="1">
        <v>100</v>
      </c>
    </row>
    <row r="15" spans="1:11" x14ac:dyDescent="0.2">
      <c r="A15" t="s">
        <v>73</v>
      </c>
      <c r="B15" s="1">
        <v>100</v>
      </c>
      <c r="D15" t="s">
        <v>53</v>
      </c>
      <c r="E15" s="1">
        <v>50</v>
      </c>
      <c r="G15" t="s">
        <v>30</v>
      </c>
      <c r="H15" s="1">
        <v>100</v>
      </c>
      <c r="J15" t="s">
        <v>6</v>
      </c>
      <c r="K15" s="1">
        <v>100</v>
      </c>
    </row>
    <row r="16" spans="1:11" x14ac:dyDescent="0.2">
      <c r="A16" t="s">
        <v>72</v>
      </c>
      <c r="B16" s="1">
        <v>100</v>
      </c>
      <c r="D16" t="s">
        <v>52</v>
      </c>
      <c r="E16" s="1">
        <f>100*9/20</f>
        <v>45</v>
      </c>
      <c r="G16" t="s">
        <v>29</v>
      </c>
      <c r="H16" s="1">
        <v>100</v>
      </c>
      <c r="J16" t="s">
        <v>5</v>
      </c>
      <c r="K16" s="1">
        <v>100</v>
      </c>
    </row>
    <row r="17" spans="1:11" x14ac:dyDescent="0.2">
      <c r="A17" t="s">
        <v>71</v>
      </c>
      <c r="B17" s="1">
        <v>100</v>
      </c>
      <c r="D17" t="s">
        <v>51</v>
      </c>
      <c r="E17" s="1">
        <v>0</v>
      </c>
      <c r="G17" t="s">
        <v>28</v>
      </c>
      <c r="H17" s="1">
        <v>100</v>
      </c>
      <c r="J17" t="s">
        <v>4</v>
      </c>
      <c r="K17" s="1">
        <v>100</v>
      </c>
    </row>
    <row r="18" spans="1:11" x14ac:dyDescent="0.2">
      <c r="A18" t="s">
        <v>70</v>
      </c>
      <c r="B18" s="1">
        <v>100</v>
      </c>
      <c r="D18" t="s">
        <v>48</v>
      </c>
      <c r="E18" s="1">
        <v>0</v>
      </c>
      <c r="G18" t="s">
        <v>27</v>
      </c>
      <c r="H18" s="1">
        <v>100</v>
      </c>
      <c r="J18" t="s">
        <v>3</v>
      </c>
      <c r="K18" s="1">
        <v>100</v>
      </c>
    </row>
    <row r="19" spans="1:11" x14ac:dyDescent="0.2">
      <c r="A19" t="s">
        <v>69</v>
      </c>
      <c r="B19" s="1">
        <v>100</v>
      </c>
      <c r="D19" t="s">
        <v>47</v>
      </c>
      <c r="E19" s="1">
        <v>80</v>
      </c>
      <c r="G19" t="s">
        <v>26</v>
      </c>
      <c r="H19" s="1">
        <v>100</v>
      </c>
      <c r="J19" t="s">
        <v>2</v>
      </c>
      <c r="K19" s="1">
        <v>80</v>
      </c>
    </row>
    <row r="20" spans="1:11" x14ac:dyDescent="0.2">
      <c r="A20" t="s">
        <v>68</v>
      </c>
      <c r="B20" s="1">
        <v>100</v>
      </c>
      <c r="D20" t="s">
        <v>46</v>
      </c>
      <c r="E20" s="1">
        <f>100*10/16</f>
        <v>62.5</v>
      </c>
    </row>
    <row r="21" spans="1:11" x14ac:dyDescent="0.2">
      <c r="A21" t="s">
        <v>67</v>
      </c>
      <c r="B21" s="1">
        <v>100</v>
      </c>
      <c r="D21" t="s">
        <v>45</v>
      </c>
      <c r="E21" s="1">
        <v>75</v>
      </c>
    </row>
    <row r="22" spans="1:11" x14ac:dyDescent="0.2">
      <c r="A22" t="s">
        <v>66</v>
      </c>
      <c r="B22" s="1">
        <v>100</v>
      </c>
    </row>
    <row r="23" spans="1:11" x14ac:dyDescent="0.2">
      <c r="A23" t="s">
        <v>65</v>
      </c>
      <c r="B23" s="1">
        <v>100</v>
      </c>
    </row>
    <row r="25" spans="1:11" x14ac:dyDescent="0.2">
      <c r="A25" t="s">
        <v>1</v>
      </c>
      <c r="B25" s="1">
        <f>AVERAGE(B5:B23)</f>
        <v>96.49157894736841</v>
      </c>
      <c r="D25" t="s">
        <v>1</v>
      </c>
      <c r="E25" s="1">
        <f>AVERAGE(E5:E21)</f>
        <v>43.958933027756558</v>
      </c>
      <c r="G25" t="s">
        <v>1</v>
      </c>
      <c r="H25" s="1">
        <f>AVERAGE(H5:H19)</f>
        <v>97.333333333333329</v>
      </c>
      <c r="J25" t="s">
        <v>1</v>
      </c>
      <c r="K25" s="1">
        <f>AVERAGE(K5:K20)</f>
        <v>96.725274725274716</v>
      </c>
    </row>
    <row r="26" spans="1:11" x14ac:dyDescent="0.2">
      <c r="A26" t="s">
        <v>0</v>
      </c>
      <c r="B26" s="1">
        <f>STDEV(B5:B23)</f>
        <v>10.509007915518126</v>
      </c>
      <c r="D26" t="s">
        <v>0</v>
      </c>
      <c r="E26" s="1">
        <f>STDEV(E5:E21)</f>
        <v>26.672494187414728</v>
      </c>
      <c r="G26" t="s">
        <v>0</v>
      </c>
      <c r="H26" s="1">
        <f>STDEV(H5:H19)</f>
        <v>10.327955589886479</v>
      </c>
      <c r="J26" t="s">
        <v>0</v>
      </c>
      <c r="K26" s="1">
        <f>STDEV(K5:K19)</f>
        <v>6.5398106569276218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7"/>
  <sheetViews>
    <sheetView workbookViewId="0"/>
  </sheetViews>
  <sheetFormatPr baseColWidth="10" defaultRowHeight="16" x14ac:dyDescent="0.2"/>
  <cols>
    <col min="1" max="1" width="20.83203125" customWidth="1"/>
    <col min="2" max="3" width="9" customWidth="1"/>
    <col min="4" max="5" width="9" style="2" customWidth="1"/>
    <col min="6" max="6" width="12.5" style="2" customWidth="1"/>
    <col min="7" max="7" width="9" style="2" customWidth="1"/>
  </cols>
  <sheetData>
    <row r="1" spans="1:10" x14ac:dyDescent="0.2">
      <c r="A1" t="s">
        <v>190</v>
      </c>
    </row>
    <row r="3" spans="1:10" x14ac:dyDescent="0.2">
      <c r="A3" t="s">
        <v>167</v>
      </c>
      <c r="F3" s="2" t="s">
        <v>169</v>
      </c>
    </row>
    <row r="4" spans="1:10" x14ac:dyDescent="0.2">
      <c r="A4" s="5" t="s">
        <v>95</v>
      </c>
      <c r="B4" s="5" t="s">
        <v>23</v>
      </c>
      <c r="C4" s="5" t="s">
        <v>22</v>
      </c>
      <c r="D4" s="4" t="s">
        <v>94</v>
      </c>
      <c r="E4" s="4" t="s">
        <v>93</v>
      </c>
      <c r="F4" s="4" t="s">
        <v>92</v>
      </c>
      <c r="G4" s="4" t="s">
        <v>91</v>
      </c>
    </row>
    <row r="5" spans="1:10" x14ac:dyDescent="0.2">
      <c r="A5" t="s">
        <v>168</v>
      </c>
      <c r="B5">
        <v>1</v>
      </c>
      <c r="C5">
        <v>1</v>
      </c>
      <c r="D5" s="2">
        <v>1.802</v>
      </c>
      <c r="E5" s="2">
        <f>0.804+0.264</f>
        <v>1.0680000000000001</v>
      </c>
      <c r="F5" s="2">
        <f>(0.5/0.45)*D5</f>
        <v>2.0022222222222226</v>
      </c>
      <c r="G5" s="2">
        <f>100*E5/D5</f>
        <v>59.267480577136517</v>
      </c>
      <c r="I5" t="s">
        <v>167</v>
      </c>
      <c r="J5" t="s">
        <v>166</v>
      </c>
    </row>
    <row r="6" spans="1:10" x14ac:dyDescent="0.2">
      <c r="B6">
        <v>2</v>
      </c>
      <c r="C6">
        <v>2</v>
      </c>
      <c r="D6" s="2">
        <v>2.2570000000000001</v>
      </c>
      <c r="E6" s="2">
        <f>0.476+0.892</f>
        <v>1.3679999999999999</v>
      </c>
      <c r="F6" s="2">
        <f>(0.5/0.45)*D6</f>
        <v>2.5077777777777781</v>
      </c>
      <c r="G6" s="2">
        <f>100*E6/D6</f>
        <v>60.611431103234374</v>
      </c>
      <c r="I6" t="s">
        <v>146</v>
      </c>
      <c r="J6" t="s">
        <v>165</v>
      </c>
    </row>
    <row r="7" spans="1:10" x14ac:dyDescent="0.2">
      <c r="B7">
        <v>3</v>
      </c>
      <c r="C7">
        <v>3</v>
      </c>
      <c r="D7" s="2">
        <v>2.7719999999999998</v>
      </c>
      <c r="E7" s="2">
        <f>0.714+0.638</f>
        <v>1.3519999999999999</v>
      </c>
      <c r="F7" s="2">
        <f>(0.5/0.45)*D7</f>
        <v>3.08</v>
      </c>
      <c r="G7" s="2">
        <f>100*E7/D7</f>
        <v>48.77344877344877</v>
      </c>
      <c r="I7" t="s">
        <v>129</v>
      </c>
      <c r="J7" t="s">
        <v>164</v>
      </c>
    </row>
    <row r="8" spans="1:10" x14ac:dyDescent="0.2">
      <c r="B8">
        <v>4</v>
      </c>
      <c r="C8">
        <v>4</v>
      </c>
      <c r="D8" s="2">
        <v>1.7729999999999999</v>
      </c>
      <c r="E8" s="2">
        <v>0.33800000000000002</v>
      </c>
      <c r="F8" s="2">
        <f>(0.5/0.45)*D8</f>
        <v>1.97</v>
      </c>
      <c r="G8" s="2">
        <f>100*E8/D8</f>
        <v>19.06373378454597</v>
      </c>
      <c r="I8" t="s">
        <v>128</v>
      </c>
      <c r="J8" t="s">
        <v>163</v>
      </c>
    </row>
    <row r="9" spans="1:10" x14ac:dyDescent="0.2">
      <c r="B9">
        <v>5</v>
      </c>
      <c r="C9">
        <v>5</v>
      </c>
      <c r="D9" s="2">
        <v>1.8440000000000001</v>
      </c>
      <c r="E9" s="2">
        <f>0.33+0.401</f>
        <v>0.73100000000000009</v>
      </c>
      <c r="F9" s="2">
        <f>(0.5/0.45)*D9</f>
        <v>2.048888888888889</v>
      </c>
      <c r="G9" s="2">
        <f>100*E9/D9</f>
        <v>39.642082429501087</v>
      </c>
      <c r="I9" t="s">
        <v>113</v>
      </c>
      <c r="J9" t="s">
        <v>162</v>
      </c>
    </row>
    <row r="10" spans="1:10" x14ac:dyDescent="0.2">
      <c r="A10" t="s">
        <v>161</v>
      </c>
      <c r="B10">
        <v>6</v>
      </c>
      <c r="C10">
        <v>1</v>
      </c>
      <c r="D10" s="2">
        <v>3.2829999999999999</v>
      </c>
      <c r="E10" s="2">
        <f>1.561+0.628</f>
        <v>2.1890000000000001</v>
      </c>
      <c r="F10" s="2">
        <f>(0.5/0.45)*D10</f>
        <v>3.6477777777777778</v>
      </c>
      <c r="G10" s="2">
        <f>100*E10/D10</f>
        <v>66.676819981724037</v>
      </c>
      <c r="I10" t="s">
        <v>96</v>
      </c>
      <c r="J10" t="s">
        <v>160</v>
      </c>
    </row>
    <row r="11" spans="1:10" x14ac:dyDescent="0.2">
      <c r="B11">
        <v>7</v>
      </c>
      <c r="C11">
        <v>2</v>
      </c>
      <c r="D11" s="2">
        <v>2.11</v>
      </c>
      <c r="E11" s="2">
        <v>0.54100000000000004</v>
      </c>
      <c r="F11" s="2">
        <f>(0.5/0.45)*D11</f>
        <v>2.3444444444444446</v>
      </c>
      <c r="G11" s="2">
        <f>100*E11/D11</f>
        <v>25.639810426540286</v>
      </c>
    </row>
    <row r="12" spans="1:10" x14ac:dyDescent="0.2">
      <c r="B12">
        <v>8</v>
      </c>
      <c r="C12">
        <v>3</v>
      </c>
      <c r="D12" s="2">
        <v>2.7</v>
      </c>
      <c r="E12" s="2">
        <f>0.781+0.54</f>
        <v>1.3210000000000002</v>
      </c>
      <c r="F12" s="2">
        <f>(0.5/0.45)*D12</f>
        <v>3.0000000000000004</v>
      </c>
      <c r="G12" s="2">
        <f>100*E12/D12</f>
        <v>48.925925925925931</v>
      </c>
    </row>
    <row r="13" spans="1:10" x14ac:dyDescent="0.2">
      <c r="B13">
        <v>9</v>
      </c>
      <c r="C13">
        <v>4</v>
      </c>
      <c r="D13" s="2">
        <v>4.4749999999999996</v>
      </c>
      <c r="E13" s="2">
        <f>0.664+1.389</f>
        <v>2.0529999999999999</v>
      </c>
      <c r="F13" s="2">
        <f>(0.5/0.45)*D13</f>
        <v>4.9722222222222223</v>
      </c>
      <c r="G13" s="2">
        <f>100*E13/D13</f>
        <v>45.877094972067042</v>
      </c>
    </row>
    <row r="14" spans="1:10" x14ac:dyDescent="0.2">
      <c r="B14">
        <v>10</v>
      </c>
      <c r="C14">
        <v>5</v>
      </c>
      <c r="D14" s="2">
        <v>2.0630000000000002</v>
      </c>
      <c r="E14" s="2">
        <v>0.40500000000000003</v>
      </c>
      <c r="F14" s="2">
        <f>(0.5/0.45)*D14</f>
        <v>2.2922222222222226</v>
      </c>
      <c r="G14" s="2">
        <f>100*E14/D14</f>
        <v>19.631604459524961</v>
      </c>
    </row>
    <row r="15" spans="1:10" x14ac:dyDescent="0.2">
      <c r="B15">
        <v>11</v>
      </c>
      <c r="C15">
        <v>6</v>
      </c>
      <c r="D15" s="2">
        <v>1.952</v>
      </c>
      <c r="E15" s="2">
        <f>0.601+0.167</f>
        <v>0.76800000000000002</v>
      </c>
      <c r="F15" s="2">
        <f>(0.5/0.45)*D15</f>
        <v>2.1688888888888891</v>
      </c>
      <c r="G15" s="2">
        <f>100*E15/D15</f>
        <v>39.344262295081968</v>
      </c>
    </row>
    <row r="16" spans="1:10" x14ac:dyDescent="0.2">
      <c r="B16">
        <v>12</v>
      </c>
      <c r="C16">
        <v>7</v>
      </c>
      <c r="D16" s="2">
        <v>1.97</v>
      </c>
      <c r="E16" s="2">
        <v>0.32</v>
      </c>
      <c r="F16" s="2">
        <f>(0.5/0.45)*D16</f>
        <v>2.1888888888888891</v>
      </c>
      <c r="G16" s="2">
        <f>100*E16/D16</f>
        <v>16.243654822335024</v>
      </c>
    </row>
    <row r="17" spans="1:7" x14ac:dyDescent="0.2">
      <c r="B17">
        <v>13</v>
      </c>
      <c r="C17">
        <v>8</v>
      </c>
      <c r="D17" s="2">
        <v>2.88</v>
      </c>
      <c r="E17" s="2">
        <f>1.699+0.207</f>
        <v>1.9060000000000001</v>
      </c>
      <c r="F17" s="2">
        <f>(0.5/0.45)*D17</f>
        <v>3.2</v>
      </c>
      <c r="G17" s="2">
        <f>100*E17/D17</f>
        <v>66.180555555555571</v>
      </c>
    </row>
    <row r="18" spans="1:7" x14ac:dyDescent="0.2">
      <c r="B18">
        <v>14</v>
      </c>
      <c r="C18">
        <v>9</v>
      </c>
      <c r="D18" s="2">
        <v>1.8959999999999999</v>
      </c>
      <c r="E18" s="2">
        <f>0.508+0.331+0.452</f>
        <v>1.2909999999999999</v>
      </c>
      <c r="F18" s="2">
        <f>(0.5/0.45)*D18</f>
        <v>2.1066666666666665</v>
      </c>
      <c r="G18" s="2">
        <f>100*E18/D18</f>
        <v>68.09071729957806</v>
      </c>
    </row>
    <row r="19" spans="1:7" x14ac:dyDescent="0.2">
      <c r="B19">
        <v>15</v>
      </c>
      <c r="C19">
        <v>10</v>
      </c>
      <c r="D19" s="2">
        <v>1.3029999999999999</v>
      </c>
      <c r="E19" s="2">
        <v>0.221</v>
      </c>
      <c r="F19" s="2">
        <f>(0.5/0.45)*D19</f>
        <v>1.4477777777777778</v>
      </c>
      <c r="G19" s="2">
        <f>100*E19/D19</f>
        <v>16.96085955487337</v>
      </c>
    </row>
    <row r="20" spans="1:7" x14ac:dyDescent="0.2">
      <c r="A20" t="s">
        <v>159</v>
      </c>
      <c r="B20">
        <v>16</v>
      </c>
      <c r="C20">
        <v>1</v>
      </c>
      <c r="D20" s="2">
        <v>3.125</v>
      </c>
      <c r="E20" s="2">
        <f>0.435+0.133</f>
        <v>0.56800000000000006</v>
      </c>
      <c r="F20" s="2">
        <f>(0.5/0.45)*D20</f>
        <v>3.4722222222222223</v>
      </c>
      <c r="G20" s="2">
        <f>100*E20/D20</f>
        <v>18.176000000000002</v>
      </c>
    </row>
    <row r="21" spans="1:7" x14ac:dyDescent="0.2">
      <c r="B21">
        <v>17</v>
      </c>
      <c r="C21">
        <v>2</v>
      </c>
      <c r="D21" s="2">
        <v>3.3780000000000001</v>
      </c>
      <c r="E21" s="2">
        <f>1.115+0.612+0.109</f>
        <v>1.8359999999999999</v>
      </c>
      <c r="F21" s="2">
        <f>(0.5/0.45)*D21</f>
        <v>3.7533333333333334</v>
      </c>
      <c r="G21" s="2">
        <f>100*E21/D21</f>
        <v>54.351687388987564</v>
      </c>
    </row>
    <row r="22" spans="1:7" x14ac:dyDescent="0.2">
      <c r="B22">
        <v>18</v>
      </c>
      <c r="C22">
        <v>3</v>
      </c>
      <c r="D22" s="2">
        <v>5.7210000000000001</v>
      </c>
      <c r="E22" s="2">
        <f>0.221+0.387+0.221+0.252+0.494</f>
        <v>1.575</v>
      </c>
      <c r="F22" s="2">
        <f>(0.5/0.45)*D22</f>
        <v>6.3566666666666674</v>
      </c>
      <c r="G22" s="2">
        <f>100*E22/D22</f>
        <v>27.530152071316202</v>
      </c>
    </row>
    <row r="23" spans="1:7" x14ac:dyDescent="0.2">
      <c r="B23">
        <v>19</v>
      </c>
      <c r="C23">
        <v>4</v>
      </c>
      <c r="D23" s="2">
        <v>1.2130000000000001</v>
      </c>
      <c r="E23" s="2">
        <f>0.152+0.622</f>
        <v>0.77400000000000002</v>
      </c>
      <c r="F23" s="2">
        <f>(0.5/0.45)*D23</f>
        <v>1.347777777777778</v>
      </c>
      <c r="G23" s="2">
        <f>100*E23/D23</f>
        <v>63.808738664468258</v>
      </c>
    </row>
    <row r="24" spans="1:7" x14ac:dyDescent="0.2">
      <c r="B24">
        <v>20</v>
      </c>
      <c r="C24">
        <v>5</v>
      </c>
      <c r="D24" s="2">
        <v>3.0449999999999999</v>
      </c>
      <c r="E24" s="2">
        <f>0.198+0.669+0.263</f>
        <v>1.1299999999999999</v>
      </c>
      <c r="F24" s="2">
        <f>(0.5/0.45)*D24</f>
        <v>3.3833333333333333</v>
      </c>
      <c r="G24" s="2">
        <f>100*E24/D24</f>
        <v>37.110016420361241</v>
      </c>
    </row>
    <row r="25" spans="1:7" x14ac:dyDescent="0.2">
      <c r="B25">
        <v>21</v>
      </c>
      <c r="C25">
        <v>6</v>
      </c>
      <c r="D25" s="2">
        <v>3.23</v>
      </c>
      <c r="E25" s="2">
        <f>0.402+0.131</f>
        <v>0.53300000000000003</v>
      </c>
      <c r="F25" s="2">
        <f>(0.5/0.45)*D25</f>
        <v>3.588888888888889</v>
      </c>
      <c r="G25" s="2">
        <f>100*E25/D25</f>
        <v>16.5015479876161</v>
      </c>
    </row>
    <row r="26" spans="1:7" x14ac:dyDescent="0.2">
      <c r="A26" t="s">
        <v>158</v>
      </c>
      <c r="B26">
        <v>22</v>
      </c>
      <c r="C26">
        <v>1</v>
      </c>
      <c r="D26" s="2">
        <v>11.920999999999999</v>
      </c>
      <c r="E26" s="2">
        <f>1.912+0.471+1.053+0.992+2.364</f>
        <v>6.7919999999999998</v>
      </c>
      <c r="F26" s="2">
        <f>(0.5/0.45)*D26</f>
        <v>13.245555555555555</v>
      </c>
      <c r="G26" s="2">
        <f>100*E26/D26</f>
        <v>56.97508598271957</v>
      </c>
    </row>
    <row r="27" spans="1:7" x14ac:dyDescent="0.2">
      <c r="B27">
        <v>23</v>
      </c>
      <c r="C27">
        <v>2</v>
      </c>
      <c r="D27" s="2">
        <v>3.2679999999999998</v>
      </c>
      <c r="E27" s="2">
        <f>0.387+0.877+0.495</f>
        <v>1.7589999999999999</v>
      </c>
      <c r="F27" s="2">
        <f>(0.5/0.45)*D27</f>
        <v>3.6311111111111112</v>
      </c>
      <c r="G27" s="2">
        <f>100*E27/D27</f>
        <v>53.824969400244797</v>
      </c>
    </row>
    <row r="28" spans="1:7" x14ac:dyDescent="0.2">
      <c r="B28">
        <v>24</v>
      </c>
      <c r="C28">
        <v>3</v>
      </c>
      <c r="D28" s="2">
        <v>3.7589999999999999</v>
      </c>
      <c r="E28" s="2">
        <f>0.637+0.819</f>
        <v>1.456</v>
      </c>
      <c r="F28" s="2">
        <f>(0.5/0.45)*D28</f>
        <v>4.1766666666666667</v>
      </c>
      <c r="G28" s="2">
        <f>100*E28/D28</f>
        <v>38.733705772811916</v>
      </c>
    </row>
    <row r="29" spans="1:7" x14ac:dyDescent="0.2">
      <c r="A29" t="s">
        <v>157</v>
      </c>
      <c r="B29">
        <v>25</v>
      </c>
      <c r="C29">
        <v>1</v>
      </c>
      <c r="D29" s="2">
        <v>3.3650000000000002</v>
      </c>
      <c r="E29" s="2">
        <f>1.582+0.122</f>
        <v>1.7040000000000002</v>
      </c>
      <c r="F29" s="2">
        <f>(0.5/0.45)*D29</f>
        <v>3.7388888888888894</v>
      </c>
      <c r="G29" s="2">
        <f>100*E29/D29</f>
        <v>50.638930163447249</v>
      </c>
    </row>
    <row r="30" spans="1:7" x14ac:dyDescent="0.2">
      <c r="B30">
        <v>26</v>
      </c>
      <c r="C30">
        <v>2</v>
      </c>
      <c r="D30" s="2">
        <v>3.1880000000000002</v>
      </c>
      <c r="E30" s="2">
        <f>0.895+0.286</f>
        <v>1.181</v>
      </c>
      <c r="F30" s="2">
        <f>(0.5/0.45)*D30</f>
        <v>3.5422222222222226</v>
      </c>
      <c r="G30" s="2">
        <f>100*E30/D30</f>
        <v>37.045169385194477</v>
      </c>
    </row>
    <row r="31" spans="1:7" x14ac:dyDescent="0.2">
      <c r="B31">
        <v>27</v>
      </c>
      <c r="C31">
        <v>3</v>
      </c>
      <c r="D31" s="2">
        <v>1.6180000000000001</v>
      </c>
      <c r="E31" s="2">
        <f>0.209+0.131</f>
        <v>0.33999999999999997</v>
      </c>
      <c r="F31" s="2">
        <f>(0.5/0.45)*D31</f>
        <v>1.7977777777777779</v>
      </c>
      <c r="G31" s="2">
        <f>100*E31/D31</f>
        <v>21.013597033374534</v>
      </c>
    </row>
    <row r="32" spans="1:7" x14ac:dyDescent="0.2">
      <c r="B32">
        <v>28</v>
      </c>
      <c r="C32">
        <v>4</v>
      </c>
      <c r="D32" s="2">
        <v>1.53</v>
      </c>
      <c r="E32" s="2">
        <f>0.23+0.093+0.246</f>
        <v>0.56899999999999995</v>
      </c>
      <c r="F32" s="2">
        <f>(0.5/0.45)*D32</f>
        <v>1.7000000000000002</v>
      </c>
      <c r="G32" s="2">
        <f>100*E32/D32</f>
        <v>37.189542483660126</v>
      </c>
    </row>
    <row r="33" spans="1:7" x14ac:dyDescent="0.2">
      <c r="B33">
        <v>29</v>
      </c>
      <c r="C33">
        <v>5</v>
      </c>
      <c r="D33" s="2">
        <v>3.9209999999999998</v>
      </c>
      <c r="E33" s="2">
        <f>0.133+0.567+0.553</f>
        <v>1.2530000000000001</v>
      </c>
      <c r="F33" s="2">
        <f>(0.5/0.45)*D33</f>
        <v>4.3566666666666665</v>
      </c>
      <c r="G33" s="2">
        <f>100*E33/D33</f>
        <v>31.956133639377715</v>
      </c>
    </row>
    <row r="34" spans="1:7" x14ac:dyDescent="0.2">
      <c r="B34">
        <v>30</v>
      </c>
      <c r="C34">
        <v>6</v>
      </c>
      <c r="D34" s="2">
        <v>1.2190000000000001</v>
      </c>
      <c r="E34" s="2">
        <v>0.747</v>
      </c>
      <c r="F34" s="2">
        <f>(0.5/0.45)*D34</f>
        <v>1.3544444444444446</v>
      </c>
      <c r="G34" s="2">
        <f>100*E34/D34</f>
        <v>61.279737489745692</v>
      </c>
    </row>
    <row r="35" spans="1:7" x14ac:dyDescent="0.2">
      <c r="B35">
        <v>31</v>
      </c>
      <c r="C35">
        <v>7</v>
      </c>
      <c r="D35" s="2">
        <v>1.772</v>
      </c>
      <c r="E35" s="2">
        <f>0.769+0.422</f>
        <v>1.1910000000000001</v>
      </c>
      <c r="F35" s="2">
        <f>(0.5/0.45)*D35</f>
        <v>1.9688888888888889</v>
      </c>
      <c r="G35" s="2">
        <f>100*E35/D35</f>
        <v>67.212189616252829</v>
      </c>
    </row>
    <row r="36" spans="1:7" x14ac:dyDescent="0.2">
      <c r="B36">
        <v>32</v>
      </c>
      <c r="C36">
        <v>8</v>
      </c>
      <c r="D36" s="2">
        <v>2.0329999999999999</v>
      </c>
      <c r="E36" s="2">
        <f>0.665+0.142</f>
        <v>0.80700000000000005</v>
      </c>
      <c r="F36" s="2">
        <f>(0.5/0.45)*D36</f>
        <v>2.2588888888888889</v>
      </c>
      <c r="G36" s="2">
        <f>100*E36/D36</f>
        <v>39.695031972454501</v>
      </c>
    </row>
    <row r="37" spans="1:7" x14ac:dyDescent="0.2">
      <c r="B37">
        <v>33</v>
      </c>
      <c r="C37">
        <v>9</v>
      </c>
      <c r="D37" s="2">
        <v>2.0489999999999999</v>
      </c>
      <c r="E37" s="2">
        <f>0.861+0.579</f>
        <v>1.44</v>
      </c>
      <c r="F37" s="2">
        <f>(0.5/0.45)*D37</f>
        <v>2.2766666666666668</v>
      </c>
      <c r="G37" s="2">
        <f>100*E37/D37</f>
        <v>70.278184480234259</v>
      </c>
    </row>
    <row r="38" spans="1:7" x14ac:dyDescent="0.2">
      <c r="B38">
        <v>34</v>
      </c>
      <c r="C38">
        <v>10</v>
      </c>
      <c r="D38" s="2">
        <v>3.1110000000000002</v>
      </c>
      <c r="E38" s="2">
        <f>1.162+0.576+0.473</f>
        <v>2.2109999999999999</v>
      </c>
      <c r="F38" s="2">
        <f>(0.5/0.45)*D38</f>
        <v>3.456666666666667</v>
      </c>
      <c r="G38" s="2">
        <f>100*E38/D38</f>
        <v>71.07039537126326</v>
      </c>
    </row>
    <row r="39" spans="1:7" x14ac:dyDescent="0.2">
      <c r="B39">
        <v>35</v>
      </c>
      <c r="C39">
        <v>11</v>
      </c>
      <c r="D39" s="2">
        <v>3.9430000000000001</v>
      </c>
      <c r="E39" s="2">
        <v>0.33300000000000002</v>
      </c>
      <c r="F39" s="2">
        <f>(0.5/0.45)*D39</f>
        <v>4.3811111111111112</v>
      </c>
      <c r="G39" s="2">
        <f>100*E39/D39</f>
        <v>8.445346183109308</v>
      </c>
    </row>
    <row r="40" spans="1:7" x14ac:dyDescent="0.2">
      <c r="B40">
        <v>36</v>
      </c>
      <c r="C40">
        <v>12</v>
      </c>
      <c r="D40" s="2">
        <v>2.008</v>
      </c>
      <c r="E40" s="2">
        <f>0.246+0.125</f>
        <v>0.371</v>
      </c>
      <c r="F40" s="2">
        <f>(0.5/0.45)*D40</f>
        <v>2.2311111111111113</v>
      </c>
      <c r="G40" s="2">
        <f>100*E40/D40</f>
        <v>18.476095617529882</v>
      </c>
    </row>
    <row r="41" spans="1:7" x14ac:dyDescent="0.2">
      <c r="A41" t="s">
        <v>156</v>
      </c>
      <c r="B41">
        <v>37</v>
      </c>
      <c r="C41">
        <v>1</v>
      </c>
      <c r="D41" s="2">
        <v>2.1760000000000002</v>
      </c>
      <c r="E41" s="2">
        <f>0.159+0.207</f>
        <v>0.36599999999999999</v>
      </c>
      <c r="F41" s="2">
        <f>(0.5/0.45)*D41</f>
        <v>2.4177777777777782</v>
      </c>
      <c r="G41" s="2">
        <f>100*E41/D41</f>
        <v>16.819852941176471</v>
      </c>
    </row>
    <row r="42" spans="1:7" x14ac:dyDescent="0.2">
      <c r="B42">
        <v>38</v>
      </c>
      <c r="C42">
        <v>2</v>
      </c>
      <c r="D42" s="2">
        <v>2.806</v>
      </c>
      <c r="E42" s="2">
        <f>0.153+0.877</f>
        <v>1.03</v>
      </c>
      <c r="F42" s="2">
        <f>(0.5/0.45)*D42</f>
        <v>3.117777777777778</v>
      </c>
      <c r="G42" s="2">
        <f>100*E42/D42</f>
        <v>36.707056307911614</v>
      </c>
    </row>
    <row r="43" spans="1:7" x14ac:dyDescent="0.2">
      <c r="B43">
        <v>39</v>
      </c>
      <c r="C43">
        <v>3</v>
      </c>
      <c r="D43" s="2">
        <v>2.5019999999999998</v>
      </c>
      <c r="E43" s="2">
        <f>0.764+0.1333</f>
        <v>0.89729999999999999</v>
      </c>
      <c r="F43" s="2">
        <f>(0.5/0.45)*D43</f>
        <v>2.78</v>
      </c>
      <c r="G43" s="2">
        <f>100*E43/D43</f>
        <v>35.863309352517987</v>
      </c>
    </row>
    <row r="44" spans="1:7" x14ac:dyDescent="0.2">
      <c r="B44">
        <v>40</v>
      </c>
      <c r="C44">
        <v>4</v>
      </c>
      <c r="D44" s="2">
        <v>0.93</v>
      </c>
      <c r="E44" s="2">
        <v>0.44900000000000001</v>
      </c>
      <c r="F44" s="2">
        <f>(0.5/0.45)*D44</f>
        <v>1.0333333333333334</v>
      </c>
      <c r="G44" s="2">
        <f>100*E44/D44</f>
        <v>48.279569892473113</v>
      </c>
    </row>
    <row r="45" spans="1:7" x14ac:dyDescent="0.2">
      <c r="B45">
        <v>41</v>
      </c>
      <c r="C45">
        <v>5</v>
      </c>
      <c r="D45" s="2">
        <v>2.4729999999999999</v>
      </c>
      <c r="E45" s="2">
        <v>0.56899999999999995</v>
      </c>
      <c r="F45" s="2">
        <f>(0.5/0.45)*D45</f>
        <v>2.7477777777777779</v>
      </c>
      <c r="G45" s="2">
        <f>100*E45/D45</f>
        <v>23.008491710473109</v>
      </c>
    </row>
    <row r="46" spans="1:7" x14ac:dyDescent="0.2">
      <c r="B46">
        <v>42</v>
      </c>
      <c r="C46">
        <v>6</v>
      </c>
      <c r="D46" s="2">
        <v>2.5430000000000001</v>
      </c>
      <c r="E46" s="2">
        <f>0.725+0.564</f>
        <v>1.2889999999999999</v>
      </c>
      <c r="F46" s="2">
        <f>(0.5/0.45)*D46</f>
        <v>2.8255555555555558</v>
      </c>
      <c r="G46" s="2">
        <f>100*E46/D46</f>
        <v>50.688163586315376</v>
      </c>
    </row>
    <row r="47" spans="1:7" x14ac:dyDescent="0.2">
      <c r="B47">
        <v>43</v>
      </c>
      <c r="C47">
        <v>7</v>
      </c>
      <c r="D47" s="2">
        <v>2.1480000000000001</v>
      </c>
      <c r="E47" s="2">
        <f>0.194+0.92</f>
        <v>1.1140000000000001</v>
      </c>
      <c r="F47" s="2">
        <f>(0.5/0.45)*D47</f>
        <v>2.3866666666666667</v>
      </c>
      <c r="G47" s="2">
        <f>100*E47/D47</f>
        <v>51.862197392923647</v>
      </c>
    </row>
    <row r="48" spans="1:7" x14ac:dyDescent="0.2">
      <c r="B48">
        <v>44</v>
      </c>
      <c r="C48">
        <v>8</v>
      </c>
      <c r="D48" s="2">
        <v>2.3980000000000001</v>
      </c>
      <c r="E48" s="2">
        <f>0.624+0.564</f>
        <v>1.1879999999999999</v>
      </c>
      <c r="F48" s="2">
        <f>(0.5/0.45)*D48</f>
        <v>2.6644444444444448</v>
      </c>
      <c r="G48" s="2">
        <f>100*E48/D48</f>
        <v>49.541284403669721</v>
      </c>
    </row>
    <row r="49" spans="1:7" x14ac:dyDescent="0.2">
      <c r="B49">
        <v>45</v>
      </c>
      <c r="C49">
        <v>9</v>
      </c>
      <c r="D49" s="2">
        <v>1.9390000000000001</v>
      </c>
      <c r="E49" s="2">
        <v>0.73099999999999998</v>
      </c>
      <c r="F49" s="2">
        <f>(0.5/0.45)*D49</f>
        <v>2.1544444444444446</v>
      </c>
      <c r="G49" s="2">
        <f>100*E49/D49</f>
        <v>37.699845281072712</v>
      </c>
    </row>
    <row r="50" spans="1:7" x14ac:dyDescent="0.2">
      <c r="B50">
        <v>46</v>
      </c>
      <c r="C50">
        <v>10</v>
      </c>
      <c r="D50" s="2">
        <v>2.4350000000000001</v>
      </c>
      <c r="E50" s="2">
        <v>0</v>
      </c>
      <c r="F50" s="2">
        <f>(0.5/0.45)*D50</f>
        <v>2.7055555555555557</v>
      </c>
      <c r="G50" s="2">
        <f>100*E50/D50</f>
        <v>0</v>
      </c>
    </row>
    <row r="51" spans="1:7" x14ac:dyDescent="0.2">
      <c r="B51">
        <v>47</v>
      </c>
      <c r="C51">
        <v>11</v>
      </c>
      <c r="D51" s="2">
        <v>2.6480000000000001</v>
      </c>
      <c r="E51" s="2">
        <v>1.4279999999999999</v>
      </c>
      <c r="F51" s="2">
        <f>(0.5/0.45)*D51</f>
        <v>2.9422222222222225</v>
      </c>
      <c r="G51" s="2">
        <f>100*E51/D51</f>
        <v>53.9274924471299</v>
      </c>
    </row>
    <row r="52" spans="1:7" x14ac:dyDescent="0.2">
      <c r="B52">
        <v>48</v>
      </c>
      <c r="C52">
        <v>12</v>
      </c>
      <c r="D52" s="2">
        <v>2.847</v>
      </c>
      <c r="E52" s="2">
        <f>1.183+0.178</f>
        <v>1.361</v>
      </c>
      <c r="F52" s="2">
        <f>(0.5/0.45)*D52</f>
        <v>3.1633333333333336</v>
      </c>
      <c r="G52" s="2">
        <f>100*E52/D52</f>
        <v>47.804706708816298</v>
      </c>
    </row>
    <row r="53" spans="1:7" x14ac:dyDescent="0.2">
      <c r="B53">
        <v>49</v>
      </c>
      <c r="C53">
        <v>13</v>
      </c>
      <c r="D53" s="2">
        <v>0.99399999999999999</v>
      </c>
      <c r="E53" s="2">
        <v>0.14000000000000001</v>
      </c>
      <c r="F53" s="2">
        <f>(0.5/0.45)*D53</f>
        <v>1.1044444444444446</v>
      </c>
      <c r="G53" s="2">
        <f>100*E53/D53</f>
        <v>14.084507042253524</v>
      </c>
    </row>
    <row r="54" spans="1:7" x14ac:dyDescent="0.2">
      <c r="B54">
        <v>50</v>
      </c>
      <c r="C54">
        <v>14</v>
      </c>
      <c r="D54" s="2">
        <v>2.08</v>
      </c>
      <c r="E54" s="2">
        <f>0.323+0.132</f>
        <v>0.45500000000000002</v>
      </c>
      <c r="F54" s="2">
        <f>(0.5/0.45)*D54</f>
        <v>2.3111111111111113</v>
      </c>
      <c r="G54" s="2">
        <f>100*E54/D54</f>
        <v>21.875</v>
      </c>
    </row>
    <row r="55" spans="1:7" x14ac:dyDescent="0.2">
      <c r="B55">
        <v>51</v>
      </c>
      <c r="C55">
        <v>15</v>
      </c>
      <c r="D55" s="2">
        <v>1.2190000000000001</v>
      </c>
      <c r="E55" s="2">
        <v>0.21</v>
      </c>
      <c r="F55" s="2">
        <f>(0.5/0.45)*D55</f>
        <v>1.3544444444444446</v>
      </c>
      <c r="G55" s="2">
        <f>100*E55/D55</f>
        <v>17.227235438884332</v>
      </c>
    </row>
    <row r="56" spans="1:7" x14ac:dyDescent="0.2">
      <c r="A56" t="s">
        <v>155</v>
      </c>
      <c r="B56">
        <v>52</v>
      </c>
      <c r="C56">
        <v>1</v>
      </c>
      <c r="D56" s="2">
        <v>2.5910000000000002</v>
      </c>
      <c r="E56" s="2">
        <f>0.784+0.31</f>
        <v>1.0940000000000001</v>
      </c>
      <c r="F56" s="2">
        <f>(0.5/0.45)*D56</f>
        <v>2.8788888888888891</v>
      </c>
      <c r="G56" s="2">
        <f>100*E56/D56</f>
        <v>42.223079891933615</v>
      </c>
    </row>
    <row r="57" spans="1:7" x14ac:dyDescent="0.2">
      <c r="B57">
        <v>53</v>
      </c>
      <c r="C57">
        <v>2</v>
      </c>
      <c r="D57" s="2">
        <v>2.016</v>
      </c>
      <c r="E57" s="2">
        <v>0.44600000000000001</v>
      </c>
      <c r="F57" s="2">
        <f>(0.5/0.45)*D57</f>
        <v>2.2400000000000002</v>
      </c>
      <c r="G57" s="2">
        <f>100*E57/D57</f>
        <v>22.123015873015873</v>
      </c>
    </row>
    <row r="58" spans="1:7" x14ac:dyDescent="0.2">
      <c r="B58">
        <v>54</v>
      </c>
      <c r="C58">
        <v>3</v>
      </c>
      <c r="D58" s="2">
        <v>6.5110000000000001</v>
      </c>
      <c r="E58" s="2">
        <f>0.27+0.142+0.928+0.152</f>
        <v>1.492</v>
      </c>
      <c r="F58" s="2">
        <f>(0.5/0.45)*D58</f>
        <v>7.2344444444444447</v>
      </c>
      <c r="G58" s="2">
        <f>100*E58/D58</f>
        <v>22.915066810013819</v>
      </c>
    </row>
    <row r="59" spans="1:7" x14ac:dyDescent="0.2">
      <c r="B59">
        <v>55</v>
      </c>
      <c r="C59">
        <v>4</v>
      </c>
      <c r="D59" s="2">
        <v>2.2269999999999999</v>
      </c>
      <c r="E59" s="2">
        <f>0.093+0.207</f>
        <v>0.3</v>
      </c>
      <c r="F59" s="2">
        <f>(0.5/0.45)*D59</f>
        <v>2.4744444444444444</v>
      </c>
      <c r="G59" s="2">
        <f>100*E59/D59</f>
        <v>13.471037269869781</v>
      </c>
    </row>
    <row r="60" spans="1:7" x14ac:dyDescent="0.2">
      <c r="B60">
        <v>56</v>
      </c>
      <c r="C60">
        <v>5</v>
      </c>
      <c r="D60" s="2">
        <v>2.282</v>
      </c>
      <c r="E60" s="2">
        <v>2.246</v>
      </c>
      <c r="F60" s="2">
        <f>(0.5/0.45)*D60</f>
        <v>2.5355555555555558</v>
      </c>
      <c r="G60" s="2">
        <f>100*E60/D60</f>
        <v>98.422436459246271</v>
      </c>
    </row>
    <row r="61" spans="1:7" x14ac:dyDescent="0.2">
      <c r="B61">
        <v>57</v>
      </c>
      <c r="C61">
        <v>6</v>
      </c>
      <c r="D61" s="2">
        <v>3.1360000000000001</v>
      </c>
      <c r="E61" s="2">
        <f>0.15+0.223+0.948</f>
        <v>1.321</v>
      </c>
      <c r="F61" s="2">
        <f>(0.5/0.45)*D61</f>
        <v>3.4844444444444447</v>
      </c>
      <c r="G61" s="2">
        <f>100*E61/D61</f>
        <v>42.123724489795912</v>
      </c>
    </row>
    <row r="62" spans="1:7" x14ac:dyDescent="0.2">
      <c r="B62">
        <v>58</v>
      </c>
      <c r="C62">
        <v>7</v>
      </c>
      <c r="D62" s="2">
        <v>2.2130000000000001</v>
      </c>
      <c r="E62" s="2">
        <f>0.634+0.136</f>
        <v>0.77</v>
      </c>
      <c r="F62" s="2">
        <f>(0.5/0.45)*D62</f>
        <v>2.4588888888888891</v>
      </c>
      <c r="G62" s="2">
        <f>100*E62/D62</f>
        <v>34.794396746497966</v>
      </c>
    </row>
    <row r="63" spans="1:7" x14ac:dyDescent="0.2">
      <c r="B63">
        <v>59</v>
      </c>
      <c r="C63">
        <v>8</v>
      </c>
      <c r="D63" s="2">
        <v>1.8939999999999999</v>
      </c>
      <c r="E63" s="2">
        <v>0.92300000000000004</v>
      </c>
      <c r="F63" s="2">
        <f>(0.5/0.45)*D63</f>
        <v>2.1044444444444443</v>
      </c>
      <c r="G63" s="2">
        <f>100*E63/D63</f>
        <v>48.732840549102434</v>
      </c>
    </row>
    <row r="64" spans="1:7" x14ac:dyDescent="0.2">
      <c r="B64">
        <v>60</v>
      </c>
      <c r="C64">
        <v>9</v>
      </c>
      <c r="D64" s="2">
        <v>2.8940000000000001</v>
      </c>
      <c r="E64" s="2">
        <f>0.073+0.987+0.129</f>
        <v>1.1890000000000001</v>
      </c>
      <c r="F64" s="2">
        <f>(0.5/0.45)*D64</f>
        <v>3.2155555555555559</v>
      </c>
      <c r="G64" s="2">
        <f>100*E64/D64</f>
        <v>41.085003455425017</v>
      </c>
    </row>
    <row r="65" spans="1:7" x14ac:dyDescent="0.2">
      <c r="A65" t="s">
        <v>154</v>
      </c>
      <c r="B65">
        <v>61</v>
      </c>
      <c r="C65">
        <v>1</v>
      </c>
      <c r="D65" s="2">
        <v>2.5609999999999999</v>
      </c>
      <c r="E65" s="2">
        <f>0.209+0.257+0.143</f>
        <v>0.60899999999999999</v>
      </c>
      <c r="F65" s="2">
        <f>(0.5/0.45)*D65</f>
        <v>2.8455555555555558</v>
      </c>
      <c r="G65" s="2">
        <f>100*E65/D65</f>
        <v>23.779773525966419</v>
      </c>
    </row>
    <row r="66" spans="1:7" x14ac:dyDescent="0.2">
      <c r="B66">
        <v>62</v>
      </c>
      <c r="C66">
        <v>2</v>
      </c>
      <c r="D66" s="2">
        <v>2.3719999999999999</v>
      </c>
      <c r="E66" s="2">
        <v>1.105</v>
      </c>
      <c r="F66" s="2">
        <f>(0.5/0.45)*D66</f>
        <v>2.6355555555555554</v>
      </c>
      <c r="G66" s="2">
        <f>100*E66/D66</f>
        <v>46.585160202360882</v>
      </c>
    </row>
    <row r="67" spans="1:7" x14ac:dyDescent="0.2">
      <c r="B67">
        <v>63</v>
      </c>
      <c r="C67">
        <v>3</v>
      </c>
      <c r="D67" s="2">
        <v>1.9530000000000001</v>
      </c>
      <c r="E67" s="2">
        <v>0.61499999999999999</v>
      </c>
      <c r="F67" s="2">
        <f>(0.5/0.45)*D67</f>
        <v>2.1700000000000004</v>
      </c>
      <c r="G67" s="2">
        <f>100*E67/D67</f>
        <v>31.490015360983101</v>
      </c>
    </row>
    <row r="68" spans="1:7" x14ac:dyDescent="0.2">
      <c r="B68">
        <v>64</v>
      </c>
      <c r="C68">
        <v>4</v>
      </c>
      <c r="D68" s="2">
        <v>2.7949999999999999</v>
      </c>
      <c r="E68" s="2">
        <v>0.42399999999999999</v>
      </c>
      <c r="F68" s="2">
        <f>(0.5/0.45)*D68</f>
        <v>3.1055555555555556</v>
      </c>
      <c r="G68" s="2">
        <f>100*E68/D68</f>
        <v>15.16994633273703</v>
      </c>
    </row>
    <row r="69" spans="1:7" x14ac:dyDescent="0.2">
      <c r="B69">
        <v>65</v>
      </c>
      <c r="C69">
        <v>5</v>
      </c>
      <c r="D69" s="2">
        <v>1.9650000000000001</v>
      </c>
      <c r="E69" s="2">
        <f>0.445+0.477</f>
        <v>0.92199999999999993</v>
      </c>
      <c r="F69" s="2">
        <f>(0.5/0.45)*D69</f>
        <v>2.1833333333333336</v>
      </c>
      <c r="G69" s="2">
        <f>100*E69/D69</f>
        <v>46.921119592875307</v>
      </c>
    </row>
    <row r="70" spans="1:7" x14ac:dyDescent="0.2">
      <c r="A70" t="s">
        <v>153</v>
      </c>
      <c r="B70">
        <v>66</v>
      </c>
      <c r="C70">
        <v>1</v>
      </c>
      <c r="D70" s="2">
        <v>1.68</v>
      </c>
      <c r="E70" s="2">
        <v>0.69</v>
      </c>
      <c r="F70" s="2">
        <f>(0.5/0.45)*D70</f>
        <v>1.8666666666666667</v>
      </c>
      <c r="G70" s="2">
        <f>100*E70/D70</f>
        <v>41.071428571428569</v>
      </c>
    </row>
    <row r="71" spans="1:7" x14ac:dyDescent="0.2">
      <c r="B71">
        <v>67</v>
      </c>
      <c r="C71">
        <v>2</v>
      </c>
      <c r="D71" s="2">
        <v>2.0659999999999998</v>
      </c>
      <c r="E71" s="2">
        <f>1.069+0.241</f>
        <v>1.31</v>
      </c>
      <c r="F71" s="2">
        <f>(0.5/0.45)*D71</f>
        <v>2.2955555555555556</v>
      </c>
      <c r="G71" s="2">
        <f>100*E71/D71</f>
        <v>63.407550822846083</v>
      </c>
    </row>
    <row r="72" spans="1:7" x14ac:dyDescent="0.2">
      <c r="B72">
        <v>68</v>
      </c>
      <c r="C72">
        <v>3</v>
      </c>
      <c r="D72" s="2">
        <v>2.7730000000000001</v>
      </c>
      <c r="E72" s="2">
        <v>0.83899999999999997</v>
      </c>
      <c r="F72" s="2">
        <f>(0.5/0.45)*D72</f>
        <v>3.0811111111111114</v>
      </c>
      <c r="G72" s="2">
        <f>100*E72/D72</f>
        <v>30.256040389469884</v>
      </c>
    </row>
    <row r="73" spans="1:7" x14ac:dyDescent="0.2">
      <c r="B73">
        <v>69</v>
      </c>
      <c r="C73">
        <v>4</v>
      </c>
      <c r="D73" s="2">
        <v>2.2349999999999999</v>
      </c>
      <c r="E73" s="2">
        <v>0.193</v>
      </c>
      <c r="F73" s="2">
        <f>(0.5/0.45)*D73</f>
        <v>2.4833333333333334</v>
      </c>
      <c r="G73" s="2">
        <f>100*E73/D73</f>
        <v>8.635346756152126</v>
      </c>
    </row>
    <row r="74" spans="1:7" x14ac:dyDescent="0.2">
      <c r="B74">
        <v>70</v>
      </c>
      <c r="C74">
        <v>5</v>
      </c>
      <c r="D74" s="2">
        <v>1.2629999999999999</v>
      </c>
      <c r="E74" s="2">
        <v>0.56799999999999995</v>
      </c>
      <c r="F74" s="2">
        <f>(0.5/0.45)*D74</f>
        <v>1.4033333333333333</v>
      </c>
      <c r="G74" s="2">
        <f>100*E74/D74</f>
        <v>44.972288202692006</v>
      </c>
    </row>
    <row r="75" spans="1:7" x14ac:dyDescent="0.2">
      <c r="B75">
        <v>71</v>
      </c>
      <c r="C75">
        <v>6</v>
      </c>
      <c r="D75" s="2">
        <v>3.4649999999999999</v>
      </c>
      <c r="E75" s="2">
        <f>0.934+0.269+0.311</f>
        <v>1.514</v>
      </c>
      <c r="F75" s="2">
        <f>(0.5/0.45)*D75</f>
        <v>3.85</v>
      </c>
      <c r="G75" s="2">
        <f>100*E75/D75</f>
        <v>43.694083694083695</v>
      </c>
    </row>
    <row r="76" spans="1:7" x14ac:dyDescent="0.2">
      <c r="B76">
        <v>72</v>
      </c>
      <c r="C76">
        <v>7</v>
      </c>
      <c r="D76" s="2">
        <v>3.23</v>
      </c>
      <c r="E76" s="2">
        <f>0.152+0.348+0.417</f>
        <v>0.91700000000000004</v>
      </c>
      <c r="F76" s="2">
        <f>(0.5/0.45)*D76</f>
        <v>3.588888888888889</v>
      </c>
      <c r="G76" s="2">
        <f>100*E76/D76</f>
        <v>28.390092879256969</v>
      </c>
    </row>
    <row r="77" spans="1:7" x14ac:dyDescent="0.2">
      <c r="A77" t="s">
        <v>152</v>
      </c>
      <c r="B77">
        <v>73</v>
      </c>
      <c r="C77">
        <v>1</v>
      </c>
      <c r="D77" s="2">
        <v>3.0979999999999999</v>
      </c>
      <c r="E77" s="2">
        <f>1.109+0.234</f>
        <v>1.343</v>
      </c>
      <c r="F77" s="2">
        <f>(0.5/0.45)*D77</f>
        <v>3.4422222222222221</v>
      </c>
      <c r="G77" s="2">
        <f>100*E77/D77</f>
        <v>43.350548741123312</v>
      </c>
    </row>
    <row r="78" spans="1:7" x14ac:dyDescent="0.2">
      <c r="B78">
        <v>74</v>
      </c>
      <c r="C78">
        <v>2</v>
      </c>
      <c r="D78" s="2">
        <v>4.7489999999999997</v>
      </c>
      <c r="E78" s="2">
        <f>0.897+1.484</f>
        <v>2.3810000000000002</v>
      </c>
      <c r="F78" s="2">
        <f>(0.5/0.45)*D78</f>
        <v>5.2766666666666664</v>
      </c>
      <c r="G78" s="2">
        <f>100*E78/D78</f>
        <v>50.136870920193736</v>
      </c>
    </row>
    <row r="79" spans="1:7" x14ac:dyDescent="0.2">
      <c r="B79">
        <v>75</v>
      </c>
      <c r="C79">
        <v>3</v>
      </c>
      <c r="D79" s="2">
        <v>6.3010000000000002</v>
      </c>
      <c r="E79" s="2">
        <v>2.1850000000000001</v>
      </c>
      <c r="F79" s="2">
        <f>(0.5/0.45)*D79</f>
        <v>7.0011111111111113</v>
      </c>
      <c r="G79" s="2">
        <f>100*E79/D79</f>
        <v>34.677035391207745</v>
      </c>
    </row>
    <row r="80" spans="1:7" x14ac:dyDescent="0.2">
      <c r="B80">
        <v>76</v>
      </c>
      <c r="C80">
        <v>4</v>
      </c>
      <c r="D80" s="2">
        <v>5.7779999999999996</v>
      </c>
      <c r="E80" s="2">
        <f>0.698+0.098</f>
        <v>0.79599999999999993</v>
      </c>
      <c r="F80" s="2">
        <f>(0.5/0.45)*D80</f>
        <v>6.42</v>
      </c>
      <c r="G80" s="2">
        <f>100*E80/D80</f>
        <v>13.776393215645552</v>
      </c>
    </row>
    <row r="81" spans="1:7" x14ac:dyDescent="0.2">
      <c r="B81">
        <v>77</v>
      </c>
      <c r="C81">
        <v>5</v>
      </c>
      <c r="D81" s="2">
        <v>3.1589999999999998</v>
      </c>
      <c r="E81" s="2">
        <v>0.29399999999999998</v>
      </c>
      <c r="F81" s="2">
        <f>(0.5/0.45)*D81</f>
        <v>3.51</v>
      </c>
      <c r="G81" s="2">
        <f>100*E81/D81</f>
        <v>9.3067426400759743</v>
      </c>
    </row>
    <row r="82" spans="1:7" x14ac:dyDescent="0.2">
      <c r="B82">
        <v>78</v>
      </c>
      <c r="C82">
        <v>6</v>
      </c>
      <c r="D82" s="2">
        <v>1.766</v>
      </c>
      <c r="E82" s="2">
        <v>0.38900000000000001</v>
      </c>
      <c r="F82" s="2">
        <f>(0.5/0.45)*D82</f>
        <v>1.9622222222222223</v>
      </c>
      <c r="G82" s="2">
        <f>100*E82/D82</f>
        <v>22.027180067950169</v>
      </c>
    </row>
    <row r="83" spans="1:7" x14ac:dyDescent="0.2">
      <c r="B83">
        <v>79</v>
      </c>
      <c r="C83">
        <v>7</v>
      </c>
      <c r="D83" s="2">
        <v>1.8740000000000001</v>
      </c>
      <c r="E83" s="2">
        <f>0.303+0.158</f>
        <v>0.46099999999999997</v>
      </c>
      <c r="F83" s="2">
        <f>(0.5/0.45)*D83</f>
        <v>2.0822222222222226</v>
      </c>
      <c r="G83" s="2">
        <f>100*E83/D83</f>
        <v>24.599786552828171</v>
      </c>
    </row>
    <row r="84" spans="1:7" x14ac:dyDescent="0.2">
      <c r="B84">
        <v>80</v>
      </c>
      <c r="C84">
        <v>8</v>
      </c>
      <c r="D84" s="2">
        <v>2.8010000000000002</v>
      </c>
      <c r="E84" s="2">
        <f>0.324+0.417</f>
        <v>0.74099999999999999</v>
      </c>
      <c r="F84" s="2">
        <f>(0.5/0.45)*D84</f>
        <v>3.1122222222222224</v>
      </c>
      <c r="G84" s="2">
        <f>100*E84/D84</f>
        <v>26.45483755801499</v>
      </c>
    </row>
    <row r="85" spans="1:7" x14ac:dyDescent="0.2">
      <c r="B85">
        <v>81</v>
      </c>
      <c r="C85">
        <v>9</v>
      </c>
      <c r="D85" s="2">
        <v>13.406000000000001</v>
      </c>
      <c r="E85" s="2">
        <f>1.216+0.171+0.196+1.026+0.769+1.538+0.495</f>
        <v>5.4110000000000005</v>
      </c>
      <c r="F85" s="2">
        <f>(0.5/0.45)*D85</f>
        <v>14.895555555555557</v>
      </c>
      <c r="G85" s="2">
        <f>100*E85/D85</f>
        <v>40.362524242876326</v>
      </c>
    </row>
    <row r="86" spans="1:7" x14ac:dyDescent="0.2">
      <c r="B86">
        <v>82</v>
      </c>
      <c r="C86">
        <v>10</v>
      </c>
      <c r="D86" s="2">
        <v>4.492</v>
      </c>
      <c r="E86" s="2">
        <f>0.366+0.834+0.324</f>
        <v>1.524</v>
      </c>
      <c r="F86" s="2">
        <f>(0.5/0.45)*D86</f>
        <v>4.9911111111111115</v>
      </c>
      <c r="G86" s="2">
        <f>100*E86/D86</f>
        <v>33.926981300089047</v>
      </c>
    </row>
    <row r="87" spans="1:7" x14ac:dyDescent="0.2">
      <c r="A87" t="s">
        <v>151</v>
      </c>
      <c r="B87">
        <v>83</v>
      </c>
      <c r="C87">
        <v>1</v>
      </c>
      <c r="D87" s="2">
        <v>2.8109999999999999</v>
      </c>
      <c r="E87" s="2">
        <f>1.486+0.676</f>
        <v>2.1619999999999999</v>
      </c>
      <c r="F87" s="2">
        <f>(0.5/0.45)*D87</f>
        <v>3.1233333333333335</v>
      </c>
      <c r="G87" s="2">
        <f>100*E87/D87</f>
        <v>76.91213091426539</v>
      </c>
    </row>
    <row r="88" spans="1:7" x14ac:dyDescent="0.2">
      <c r="B88">
        <v>84</v>
      </c>
      <c r="C88">
        <v>2</v>
      </c>
      <c r="D88" s="2">
        <v>1.573</v>
      </c>
      <c r="E88" s="2">
        <v>0.50900000000000001</v>
      </c>
      <c r="F88" s="2">
        <f>(0.5/0.45)*D88</f>
        <v>1.7477777777777779</v>
      </c>
      <c r="G88" s="2">
        <f>100*E88/D88</f>
        <v>32.358550540368725</v>
      </c>
    </row>
    <row r="89" spans="1:7" x14ac:dyDescent="0.2">
      <c r="B89">
        <v>85</v>
      </c>
      <c r="C89">
        <v>3</v>
      </c>
      <c r="D89" s="2">
        <v>2.383</v>
      </c>
      <c r="E89" s="2">
        <f>0.321+0.145</f>
        <v>0.46599999999999997</v>
      </c>
      <c r="F89" s="2">
        <f>(0.5/0.45)*D89</f>
        <v>2.6477777777777778</v>
      </c>
      <c r="G89" s="2">
        <f>100*E89/D89</f>
        <v>19.555182543013007</v>
      </c>
    </row>
    <row r="90" spans="1:7" x14ac:dyDescent="0.2">
      <c r="B90">
        <v>86</v>
      </c>
      <c r="C90">
        <v>4</v>
      </c>
      <c r="D90" s="2">
        <v>4.1420000000000003</v>
      </c>
      <c r="E90" s="2">
        <f>1.687+1.824</f>
        <v>3.5110000000000001</v>
      </c>
      <c r="F90" s="2">
        <f>(0.5/0.45)*D90</f>
        <v>4.6022222222222231</v>
      </c>
      <c r="G90" s="2">
        <f>100*E90/D90</f>
        <v>84.76581361661033</v>
      </c>
    </row>
    <row r="91" spans="1:7" x14ac:dyDescent="0.2">
      <c r="B91">
        <v>87</v>
      </c>
      <c r="C91">
        <v>5</v>
      </c>
      <c r="D91" s="2">
        <v>1.494</v>
      </c>
      <c r="E91" s="2">
        <v>0.63200000000000001</v>
      </c>
      <c r="F91" s="2">
        <f>(0.5/0.45)*D91</f>
        <v>1.6600000000000001</v>
      </c>
      <c r="G91" s="2">
        <f>100*E91/D91</f>
        <v>42.302543507362785</v>
      </c>
    </row>
    <row r="92" spans="1:7" x14ac:dyDescent="0.2">
      <c r="B92">
        <v>88</v>
      </c>
      <c r="C92">
        <v>6</v>
      </c>
      <c r="D92" s="2">
        <v>1.6080000000000001</v>
      </c>
      <c r="E92" s="2">
        <v>0.439</v>
      </c>
      <c r="F92" s="2">
        <f>(0.5/0.45)*D92</f>
        <v>1.7866666666666668</v>
      </c>
      <c r="G92" s="2">
        <f>100*E92/D92</f>
        <v>27.300995024875618</v>
      </c>
    </row>
    <row r="93" spans="1:7" x14ac:dyDescent="0.2">
      <c r="B93">
        <v>89</v>
      </c>
      <c r="C93">
        <v>7</v>
      </c>
      <c r="D93" s="2">
        <v>1.8180000000000001</v>
      </c>
      <c r="E93" s="2">
        <f>0.887+0.502</f>
        <v>1.389</v>
      </c>
      <c r="F93" s="2">
        <f>(0.5/0.45)*D93</f>
        <v>2.02</v>
      </c>
      <c r="G93" s="2">
        <f>100*E93/D93</f>
        <v>76.402640264026402</v>
      </c>
    </row>
    <row r="94" spans="1:7" x14ac:dyDescent="0.2">
      <c r="B94">
        <v>90</v>
      </c>
      <c r="C94">
        <v>8</v>
      </c>
      <c r="D94" s="2">
        <v>5.6289999999999996</v>
      </c>
      <c r="E94" s="2">
        <f>0.598+0.995+0.457+1.161+0.77</f>
        <v>3.9809999999999999</v>
      </c>
      <c r="F94" s="2">
        <f>(0.5/0.45)*D94</f>
        <v>6.2544444444444443</v>
      </c>
      <c r="G94" s="2">
        <f>100*E94/D94</f>
        <v>70.723041392787351</v>
      </c>
    </row>
    <row r="95" spans="1:7" x14ac:dyDescent="0.2">
      <c r="B95">
        <v>91</v>
      </c>
      <c r="C95">
        <v>9</v>
      </c>
      <c r="D95" s="2">
        <v>2.4449999999999998</v>
      </c>
      <c r="E95" s="2">
        <f>1.196+0.727</f>
        <v>1.923</v>
      </c>
      <c r="F95" s="2">
        <f>(0.5/0.45)*D95</f>
        <v>2.7166666666666668</v>
      </c>
      <c r="G95" s="2">
        <f>100*E95/D95</f>
        <v>78.650306748466264</v>
      </c>
    </row>
    <row r="96" spans="1:7" x14ac:dyDescent="0.2">
      <c r="A96" t="s">
        <v>150</v>
      </c>
      <c r="B96">
        <v>92</v>
      </c>
      <c r="C96">
        <v>1</v>
      </c>
      <c r="D96" s="2">
        <v>2.5840000000000001</v>
      </c>
      <c r="E96" s="2">
        <v>0.30499999999999999</v>
      </c>
      <c r="F96" s="2">
        <f>(0.5/0.45)*D96</f>
        <v>2.8711111111111114</v>
      </c>
      <c r="G96" s="2">
        <f>100*E96/D96</f>
        <v>11.803405572755418</v>
      </c>
    </row>
    <row r="97" spans="1:7" x14ac:dyDescent="0.2">
      <c r="B97">
        <v>93</v>
      </c>
      <c r="C97">
        <v>2</v>
      </c>
      <c r="D97" s="2">
        <v>4.0190000000000001</v>
      </c>
      <c r="E97" s="2">
        <f>0.202+0.33</f>
        <v>0.53200000000000003</v>
      </c>
      <c r="F97" s="2">
        <f>(0.5/0.45)*D97</f>
        <v>4.4655555555555555</v>
      </c>
      <c r="G97" s="2">
        <f>100*E97/D97</f>
        <v>13.237123662602638</v>
      </c>
    </row>
    <row r="98" spans="1:7" x14ac:dyDescent="0.2">
      <c r="B98">
        <v>94</v>
      </c>
      <c r="C98">
        <v>3</v>
      </c>
      <c r="D98" s="2">
        <v>4.7110000000000003</v>
      </c>
      <c r="E98" s="2">
        <f>0.182+0.105+1.184</f>
        <v>1.4709999999999999</v>
      </c>
      <c r="F98" s="2">
        <f>(0.5/0.45)*D98</f>
        <v>5.2344444444444447</v>
      </c>
      <c r="G98" s="2">
        <f>100*E98/D98</f>
        <v>31.224793037571636</v>
      </c>
    </row>
    <row r="99" spans="1:7" x14ac:dyDescent="0.2">
      <c r="B99">
        <v>95</v>
      </c>
      <c r="C99">
        <v>4</v>
      </c>
      <c r="D99" s="2">
        <v>2.375</v>
      </c>
      <c r="E99" s="2">
        <f>0.663+0.212</f>
        <v>0.875</v>
      </c>
      <c r="F99" s="2">
        <f>(0.5/0.45)*D99</f>
        <v>2.6388888888888888</v>
      </c>
      <c r="G99" s="2">
        <f>100*E99/D99</f>
        <v>36.842105263157897</v>
      </c>
    </row>
    <row r="100" spans="1:7" x14ac:dyDescent="0.2">
      <c r="B100">
        <v>96</v>
      </c>
      <c r="C100">
        <v>5</v>
      </c>
      <c r="D100" s="2">
        <v>1.978</v>
      </c>
      <c r="E100" s="2">
        <v>1.534</v>
      </c>
      <c r="F100" s="2">
        <f>(0.5/0.45)*D100</f>
        <v>2.1977777777777781</v>
      </c>
      <c r="G100" s="2">
        <f>100*E100/D100</f>
        <v>77.553083923154702</v>
      </c>
    </row>
    <row r="101" spans="1:7" x14ac:dyDescent="0.2">
      <c r="B101">
        <v>97</v>
      </c>
      <c r="C101">
        <v>6</v>
      </c>
      <c r="D101" s="2">
        <v>1.0569999999999999</v>
      </c>
      <c r="E101" s="2">
        <v>0.40300000000000002</v>
      </c>
      <c r="F101" s="2">
        <f>(0.5/0.45)*D101</f>
        <v>1.1744444444444444</v>
      </c>
      <c r="G101" s="2">
        <f>100*E101/D101</f>
        <v>38.126773888363296</v>
      </c>
    </row>
    <row r="102" spans="1:7" x14ac:dyDescent="0.2">
      <c r="B102">
        <v>98</v>
      </c>
      <c r="C102">
        <v>7</v>
      </c>
      <c r="D102" s="2">
        <v>3.081</v>
      </c>
      <c r="E102" s="2">
        <f>0.146+0.636+1.308</f>
        <v>2.09</v>
      </c>
      <c r="F102" s="2">
        <f>(0.5/0.45)*D102</f>
        <v>3.4233333333333333</v>
      </c>
      <c r="G102" s="2">
        <f>100*E102/D102</f>
        <v>67.835118468029862</v>
      </c>
    </row>
    <row r="103" spans="1:7" x14ac:dyDescent="0.2">
      <c r="B103">
        <v>99</v>
      </c>
      <c r="C103">
        <v>8</v>
      </c>
      <c r="D103" s="2">
        <v>1.1180000000000001</v>
      </c>
      <c r="E103" s="2">
        <f>0.08+0.729</f>
        <v>0.80899999999999994</v>
      </c>
      <c r="F103" s="2">
        <f>(0.5/0.45)*D103</f>
        <v>1.2422222222222223</v>
      </c>
      <c r="G103" s="2">
        <f>100*E103/D103</f>
        <v>72.361359570661875</v>
      </c>
    </row>
    <row r="104" spans="1:7" x14ac:dyDescent="0.2">
      <c r="B104">
        <v>100</v>
      </c>
      <c r="C104">
        <v>9</v>
      </c>
      <c r="D104" s="2">
        <v>2.0209999999999999</v>
      </c>
      <c r="E104" s="2">
        <f>1.009+0.57</f>
        <v>1.5789999999999997</v>
      </c>
      <c r="F104" s="2">
        <f>(0.5/0.45)*D104</f>
        <v>2.2455555555555557</v>
      </c>
      <c r="G104" s="2">
        <f>100*E104/D104</f>
        <v>78.129638792676886</v>
      </c>
    </row>
    <row r="105" spans="1:7" x14ac:dyDescent="0.2">
      <c r="B105">
        <v>101</v>
      </c>
      <c r="C105">
        <v>10</v>
      </c>
      <c r="D105" s="2">
        <v>0.97</v>
      </c>
      <c r="E105" s="2">
        <f>0.256+0.123</f>
        <v>0.379</v>
      </c>
      <c r="F105" s="2">
        <f>(0.5/0.45)*D105</f>
        <v>1.0777777777777777</v>
      </c>
      <c r="G105" s="2">
        <f>100*E105/D105</f>
        <v>39.072164948453604</v>
      </c>
    </row>
    <row r="106" spans="1:7" x14ac:dyDescent="0.2">
      <c r="B106">
        <v>102</v>
      </c>
      <c r="C106">
        <v>11</v>
      </c>
      <c r="D106" s="2">
        <v>1.083</v>
      </c>
      <c r="E106" s="2">
        <v>9.7000000000000003E-2</v>
      </c>
      <c r="F106" s="2">
        <f>(0.5/0.45)*D106</f>
        <v>1.2033333333333334</v>
      </c>
      <c r="G106" s="2">
        <f>100*E106/D106</f>
        <v>8.9566020313942758</v>
      </c>
    </row>
    <row r="107" spans="1:7" x14ac:dyDescent="0.2">
      <c r="B107">
        <v>103</v>
      </c>
      <c r="C107">
        <v>12</v>
      </c>
      <c r="D107" s="2">
        <v>0.93100000000000005</v>
      </c>
      <c r="E107" s="2">
        <v>0.18</v>
      </c>
      <c r="F107" s="2">
        <f>(0.5/0.45)*D107</f>
        <v>1.0344444444444445</v>
      </c>
      <c r="G107" s="2">
        <f>100*E107/D107</f>
        <v>19.334049409237377</v>
      </c>
    </row>
    <row r="108" spans="1:7" x14ac:dyDescent="0.2">
      <c r="B108">
        <v>104</v>
      </c>
      <c r="C108">
        <v>13</v>
      </c>
      <c r="D108" s="2">
        <v>1.68</v>
      </c>
      <c r="E108" s="2">
        <f>0.311+0.211</f>
        <v>0.52200000000000002</v>
      </c>
      <c r="F108" s="2">
        <f>(0.5/0.45)*D108</f>
        <v>1.8666666666666667</v>
      </c>
      <c r="G108" s="2">
        <f>100*E108/D108</f>
        <v>31.071428571428573</v>
      </c>
    </row>
    <row r="109" spans="1:7" x14ac:dyDescent="0.2">
      <c r="B109">
        <v>105</v>
      </c>
      <c r="C109">
        <v>14</v>
      </c>
      <c r="D109" s="2">
        <v>2.6080000000000001</v>
      </c>
      <c r="E109" s="2">
        <v>0.255</v>
      </c>
      <c r="F109" s="2">
        <f>(0.5/0.45)*D109</f>
        <v>2.8977777777777782</v>
      </c>
      <c r="G109" s="2">
        <f>100*E109/D109</f>
        <v>9.7776073619631898</v>
      </c>
    </row>
    <row r="110" spans="1:7" x14ac:dyDescent="0.2">
      <c r="B110">
        <v>106</v>
      </c>
      <c r="C110">
        <v>15</v>
      </c>
      <c r="D110" s="2">
        <v>4.0179999999999998</v>
      </c>
      <c r="E110" s="2">
        <v>0.29699999999999999</v>
      </c>
      <c r="F110" s="2">
        <f>(0.5/0.45)*D110</f>
        <v>4.4644444444444442</v>
      </c>
      <c r="G110" s="2">
        <f>100*E110/D110</f>
        <v>7.3917371826779492</v>
      </c>
    </row>
    <row r="111" spans="1:7" x14ac:dyDescent="0.2">
      <c r="A111" t="s">
        <v>149</v>
      </c>
      <c r="B111">
        <v>107</v>
      </c>
      <c r="C111">
        <v>1</v>
      </c>
      <c r="D111" s="2">
        <v>3.016</v>
      </c>
      <c r="E111" s="2">
        <v>0.46200000000000002</v>
      </c>
      <c r="F111" s="2">
        <f>(0.5/0.45)*D111</f>
        <v>3.3511111111111114</v>
      </c>
      <c r="G111" s="2">
        <f>100*E111/D111</f>
        <v>15.318302387267906</v>
      </c>
    </row>
    <row r="112" spans="1:7" x14ac:dyDescent="0.2">
      <c r="B112">
        <v>108</v>
      </c>
      <c r="C112">
        <v>2</v>
      </c>
      <c r="D112" s="2">
        <v>2.4249999999999998</v>
      </c>
      <c r="E112" s="2">
        <f>0.428+0.286</f>
        <v>0.71399999999999997</v>
      </c>
      <c r="F112" s="2">
        <f>(0.5/0.45)*D112</f>
        <v>2.6944444444444442</v>
      </c>
      <c r="G112" s="2">
        <f>100*E112/D112</f>
        <v>29.443298969072163</v>
      </c>
    </row>
    <row r="113" spans="1:7" x14ac:dyDescent="0.2">
      <c r="B113">
        <v>109</v>
      </c>
      <c r="C113">
        <v>3</v>
      </c>
      <c r="D113" s="2">
        <v>1.2809999999999999</v>
      </c>
      <c r="E113" s="2">
        <v>0.41599999999999998</v>
      </c>
      <c r="F113" s="2">
        <f>(0.5/0.45)*D113</f>
        <v>1.4233333333333333</v>
      </c>
      <c r="G113" s="2">
        <f>100*E113/D113</f>
        <v>32.474629195940672</v>
      </c>
    </row>
    <row r="114" spans="1:7" x14ac:dyDescent="0.2">
      <c r="B114">
        <v>110</v>
      </c>
      <c r="C114">
        <v>4</v>
      </c>
      <c r="D114" s="2">
        <v>1.3520000000000001</v>
      </c>
      <c r="E114" s="2">
        <v>0</v>
      </c>
      <c r="F114" s="2">
        <f>(0.5/0.45)*D114</f>
        <v>1.5022222222222223</v>
      </c>
      <c r="G114" s="2">
        <f>100*E114/D114</f>
        <v>0</v>
      </c>
    </row>
    <row r="115" spans="1:7" x14ac:dyDescent="0.2">
      <c r="A115" t="s">
        <v>148</v>
      </c>
      <c r="B115">
        <v>111</v>
      </c>
      <c r="C115">
        <v>1</v>
      </c>
      <c r="D115" s="2">
        <v>2.2570000000000001</v>
      </c>
      <c r="E115" s="2">
        <f>1.205+0.371</f>
        <v>1.5760000000000001</v>
      </c>
      <c r="F115" s="2">
        <f>(0.5/0.45)*D115</f>
        <v>2.5077777777777781</v>
      </c>
      <c r="G115" s="2">
        <f>100*E115/D115</f>
        <v>69.827204253433749</v>
      </c>
    </row>
    <row r="116" spans="1:7" x14ac:dyDescent="0.2">
      <c r="B116">
        <v>112</v>
      </c>
      <c r="C116">
        <v>2</v>
      </c>
      <c r="D116" s="2">
        <v>2.8140000000000001</v>
      </c>
      <c r="E116" s="2">
        <f>0.923+0.349</f>
        <v>1.272</v>
      </c>
      <c r="F116" s="2">
        <f>(0.5/0.45)*D116</f>
        <v>3.1266666666666669</v>
      </c>
      <c r="G116" s="2">
        <f>100*E116/D116</f>
        <v>45.202558635394453</v>
      </c>
    </row>
    <row r="117" spans="1:7" x14ac:dyDescent="0.2">
      <c r="B117">
        <v>113</v>
      </c>
      <c r="C117">
        <v>3</v>
      </c>
      <c r="D117" s="2">
        <v>2.2639999999999998</v>
      </c>
      <c r="E117" s="2">
        <v>0.254</v>
      </c>
      <c r="F117" s="2">
        <f>(0.5/0.45)*D117</f>
        <v>2.5155555555555553</v>
      </c>
      <c r="G117" s="2">
        <f>100*E117/D117</f>
        <v>11.219081272084805</v>
      </c>
    </row>
    <row r="118" spans="1:7" x14ac:dyDescent="0.2">
      <c r="B118">
        <v>114</v>
      </c>
      <c r="C118">
        <v>4</v>
      </c>
      <c r="D118" s="2">
        <v>2.0019999999999998</v>
      </c>
      <c r="E118" s="2">
        <f>0.355+0.32</f>
        <v>0.67500000000000004</v>
      </c>
      <c r="F118" s="2">
        <f>(0.5/0.45)*D118</f>
        <v>2.2244444444444444</v>
      </c>
      <c r="G118" s="2">
        <f>100*E118/D118</f>
        <v>33.716283716283719</v>
      </c>
    </row>
    <row r="119" spans="1:7" x14ac:dyDescent="0.2">
      <c r="B119">
        <v>115</v>
      </c>
      <c r="C119">
        <v>5</v>
      </c>
      <c r="D119" s="2">
        <v>3.0750000000000002</v>
      </c>
      <c r="E119" s="2">
        <f>0.122+0.125+0.299</f>
        <v>0.54600000000000004</v>
      </c>
      <c r="F119" s="2">
        <f>(0.5/0.45)*D119</f>
        <v>3.416666666666667</v>
      </c>
      <c r="G119" s="2">
        <f>100*E119/D119</f>
        <v>17.756097560975608</v>
      </c>
    </row>
    <row r="120" spans="1:7" x14ac:dyDescent="0.2">
      <c r="B120">
        <v>116</v>
      </c>
      <c r="C120">
        <v>6</v>
      </c>
      <c r="D120" s="2">
        <v>1.24</v>
      </c>
      <c r="E120" s="2">
        <v>0.14499999999999999</v>
      </c>
      <c r="F120" s="2">
        <f>(0.5/0.45)*D120</f>
        <v>1.3777777777777778</v>
      </c>
      <c r="G120" s="2">
        <f>100*E120/D120</f>
        <v>11.693548387096772</v>
      </c>
    </row>
    <row r="121" spans="1:7" x14ac:dyDescent="0.2">
      <c r="A121" t="s">
        <v>147</v>
      </c>
      <c r="B121">
        <v>117</v>
      </c>
      <c r="C121">
        <v>1</v>
      </c>
      <c r="D121" s="2">
        <v>2.9239999999999999</v>
      </c>
      <c r="E121" s="2">
        <v>1.083</v>
      </c>
      <c r="F121" s="2">
        <f>(0.5/0.45)*D121</f>
        <v>3.2488888888888892</v>
      </c>
      <c r="G121" s="2">
        <f>100*E121/D121</f>
        <v>37.038303693570448</v>
      </c>
    </row>
    <row r="122" spans="1:7" x14ac:dyDescent="0.2">
      <c r="B122">
        <v>118</v>
      </c>
      <c r="C122">
        <v>2</v>
      </c>
      <c r="D122" s="2">
        <v>2.4580000000000002</v>
      </c>
      <c r="E122" s="2">
        <v>2.2599999999999998</v>
      </c>
      <c r="F122" s="2">
        <f>(0.5/0.45)*D122</f>
        <v>2.7311111111111113</v>
      </c>
      <c r="G122" s="2">
        <f>100*E122/D122</f>
        <v>91.944670463791681</v>
      </c>
    </row>
    <row r="123" spans="1:7" x14ac:dyDescent="0.2">
      <c r="B123">
        <v>119</v>
      </c>
      <c r="C123">
        <v>3</v>
      </c>
      <c r="D123" s="2">
        <v>2.125</v>
      </c>
      <c r="E123" s="2">
        <f>0.319+0.316+0.091</f>
        <v>0.72599999999999998</v>
      </c>
      <c r="F123" s="2">
        <f>(0.5/0.45)*D123</f>
        <v>2.3611111111111112</v>
      </c>
      <c r="G123" s="2">
        <f>100*E123/D123</f>
        <v>34.164705882352941</v>
      </c>
    </row>
    <row r="124" spans="1:7" x14ac:dyDescent="0.2">
      <c r="B124">
        <v>120</v>
      </c>
      <c r="C124">
        <v>4</v>
      </c>
      <c r="D124" s="2">
        <v>1.728</v>
      </c>
      <c r="E124" s="2">
        <f>0.841+0.222</f>
        <v>1.0629999999999999</v>
      </c>
      <c r="F124" s="2">
        <f>(0.5/0.45)*D124</f>
        <v>1.9200000000000002</v>
      </c>
      <c r="G124" s="2">
        <f>100*E124/D124</f>
        <v>61.516203703703702</v>
      </c>
    </row>
    <row r="125" spans="1:7" x14ac:dyDescent="0.2">
      <c r="B125">
        <v>121</v>
      </c>
      <c r="C125">
        <v>5</v>
      </c>
      <c r="D125" s="2">
        <v>2.6219999999999999</v>
      </c>
      <c r="E125" s="2">
        <f>0.432+0.503</f>
        <v>0.93500000000000005</v>
      </c>
      <c r="F125" s="2">
        <f>(0.5/0.45)*D125</f>
        <v>2.9133333333333336</v>
      </c>
      <c r="G125" s="2">
        <f>100*E125/D125</f>
        <v>35.659801678108316</v>
      </c>
    </row>
    <row r="126" spans="1:7" x14ac:dyDescent="0.2">
      <c r="B126">
        <v>122</v>
      </c>
      <c r="C126">
        <v>6</v>
      </c>
      <c r="D126" s="2">
        <v>1.952</v>
      </c>
      <c r="E126" s="2">
        <v>1.597</v>
      </c>
      <c r="F126" s="2">
        <f>(0.5/0.45)*D126</f>
        <v>2.1688888888888891</v>
      </c>
      <c r="G126" s="2">
        <f>100*E126/D126</f>
        <v>81.813524590163937</v>
      </c>
    </row>
    <row r="128" spans="1:7" x14ac:dyDescent="0.2">
      <c r="C128" t="s">
        <v>1</v>
      </c>
      <c r="D128" s="2">
        <f>AVERAGE(D5:D126)</f>
        <v>2.7119098360655758</v>
      </c>
      <c r="E128" s="2">
        <f>AVERAGE(E5:E126)</f>
        <v>1.0716827868852461</v>
      </c>
      <c r="F128" s="2">
        <f>AVERAGE(F5:F126)</f>
        <v>3.0132331511839716</v>
      </c>
      <c r="G128" s="2">
        <f>AVERAGE(G5:G126)</f>
        <v>39.155649268211178</v>
      </c>
    </row>
    <row r="129" spans="1:7" x14ac:dyDescent="0.2">
      <c r="C129" t="s">
        <v>0</v>
      </c>
      <c r="D129" s="2">
        <f>STDEV(D5:D126)</f>
        <v>1.6945895575810599</v>
      </c>
      <c r="E129" s="2">
        <f>STDEV(E5:E126)</f>
        <v>0.94870423947549665</v>
      </c>
      <c r="F129" s="2">
        <f>STDEV(F5:F126)</f>
        <v>1.8828772862011804</v>
      </c>
      <c r="G129" s="2">
        <f>STDEV(G5:G126)</f>
        <v>21.436314556323619</v>
      </c>
    </row>
    <row r="131" spans="1:7" x14ac:dyDescent="0.2">
      <c r="A131" t="s">
        <v>146</v>
      </c>
    </row>
    <row r="132" spans="1:7" x14ac:dyDescent="0.2">
      <c r="A132" s="5" t="s">
        <v>95</v>
      </c>
      <c r="B132" s="5" t="s">
        <v>23</v>
      </c>
      <c r="C132" s="5" t="s">
        <v>22</v>
      </c>
      <c r="D132" s="4" t="s">
        <v>94</v>
      </c>
      <c r="E132" s="4" t="s">
        <v>93</v>
      </c>
      <c r="F132" s="4" t="s">
        <v>92</v>
      </c>
      <c r="G132" s="4" t="s">
        <v>91</v>
      </c>
    </row>
    <row r="133" spans="1:7" x14ac:dyDescent="0.2">
      <c r="A133" t="s">
        <v>145</v>
      </c>
      <c r="B133">
        <v>1</v>
      </c>
      <c r="C133">
        <v>1</v>
      </c>
      <c r="D133" s="2">
        <v>2.2989999999999999</v>
      </c>
      <c r="E133" s="2">
        <v>0</v>
      </c>
      <c r="F133" s="2">
        <f>(0.5/0.45)*D133</f>
        <v>2.5544444444444445</v>
      </c>
      <c r="G133" s="2">
        <f>100*E133/D133</f>
        <v>0</v>
      </c>
    </row>
    <row r="134" spans="1:7" x14ac:dyDescent="0.2">
      <c r="B134">
        <v>2</v>
      </c>
      <c r="C134">
        <v>2</v>
      </c>
      <c r="D134" s="2">
        <v>3.3730000000000002</v>
      </c>
      <c r="E134" s="2">
        <f>0.239+0.325</f>
        <v>0.56400000000000006</v>
      </c>
      <c r="F134" s="2">
        <f>(0.5/0.45)*D134</f>
        <v>3.7477777777777783</v>
      </c>
      <c r="G134" s="2">
        <f>100*E134/D134</f>
        <v>16.721019863622889</v>
      </c>
    </row>
    <row r="135" spans="1:7" x14ac:dyDescent="0.2">
      <c r="B135">
        <v>3</v>
      </c>
      <c r="C135">
        <v>3</v>
      </c>
      <c r="D135" s="2">
        <v>2.7829999999999999</v>
      </c>
      <c r="E135" s="2">
        <f>0.348+0.145</f>
        <v>0.49299999999999999</v>
      </c>
      <c r="F135" s="2">
        <f>(0.5/0.45)*D135</f>
        <v>3.0922222222222224</v>
      </c>
      <c r="G135" s="2">
        <f>100*E135/D135</f>
        <v>17.714696370822853</v>
      </c>
    </row>
    <row r="136" spans="1:7" x14ac:dyDescent="0.2">
      <c r="B136">
        <v>4</v>
      </c>
      <c r="C136">
        <v>4</v>
      </c>
      <c r="D136" s="2">
        <v>1.4950000000000001</v>
      </c>
      <c r="E136" s="2">
        <f>0.438+0.339</f>
        <v>0.77700000000000002</v>
      </c>
      <c r="F136" s="2">
        <f>(0.5/0.45)*D136</f>
        <v>1.6611111111111112</v>
      </c>
      <c r="G136" s="2">
        <f>100*E136/D136</f>
        <v>51.973244147157189</v>
      </c>
    </row>
    <row r="137" spans="1:7" x14ac:dyDescent="0.2">
      <c r="B137">
        <v>5</v>
      </c>
      <c r="C137">
        <v>5</v>
      </c>
      <c r="D137" s="2">
        <v>1.8680000000000001</v>
      </c>
      <c r="E137" s="2">
        <f>0.372+0.161</f>
        <v>0.53300000000000003</v>
      </c>
      <c r="F137" s="2">
        <f>(0.5/0.45)*D137</f>
        <v>2.0755555555555558</v>
      </c>
      <c r="G137" s="2">
        <f>100*E137/D137</f>
        <v>28.533190578158457</v>
      </c>
    </row>
    <row r="138" spans="1:7" x14ac:dyDescent="0.2">
      <c r="B138">
        <v>6</v>
      </c>
      <c r="C138">
        <v>6</v>
      </c>
      <c r="D138" s="2">
        <v>2.4289999999999998</v>
      </c>
      <c r="E138" s="2">
        <f>0.173+0.111</f>
        <v>0.28399999999999997</v>
      </c>
      <c r="F138" s="2">
        <f>(0.5/0.45)*D138</f>
        <v>2.6988888888888889</v>
      </c>
      <c r="G138" s="2">
        <f>100*E138/D138</f>
        <v>11.692054343351174</v>
      </c>
    </row>
    <row r="139" spans="1:7" x14ac:dyDescent="0.2">
      <c r="B139">
        <v>7</v>
      </c>
      <c r="C139">
        <v>7</v>
      </c>
      <c r="D139" s="2">
        <v>2.21</v>
      </c>
      <c r="E139" s="2">
        <f>0.483+0.441</f>
        <v>0.92399999999999993</v>
      </c>
      <c r="F139" s="2">
        <f>(0.5/0.45)*D139</f>
        <v>2.4555555555555557</v>
      </c>
      <c r="G139" s="2">
        <f>100*E139/D139</f>
        <v>41.809954751131215</v>
      </c>
    </row>
    <row r="140" spans="1:7" x14ac:dyDescent="0.2">
      <c r="B140">
        <v>8</v>
      </c>
      <c r="C140">
        <v>8</v>
      </c>
      <c r="D140" s="2">
        <v>2.6890000000000001</v>
      </c>
      <c r="E140" s="2">
        <f>0.373+0.079+0.14</f>
        <v>0.59200000000000008</v>
      </c>
      <c r="F140" s="2">
        <f>(0.5/0.45)*D140</f>
        <v>2.9877777777777781</v>
      </c>
      <c r="G140" s="2">
        <f>100*E140/D140</f>
        <v>22.015619189289701</v>
      </c>
    </row>
    <row r="141" spans="1:7" x14ac:dyDescent="0.2">
      <c r="B141">
        <v>9</v>
      </c>
      <c r="C141">
        <v>9</v>
      </c>
      <c r="D141" s="2">
        <v>10.260999999999999</v>
      </c>
      <c r="E141" s="2">
        <f>0.782+0.615+0.158+0.518+1.063</f>
        <v>3.1360000000000001</v>
      </c>
      <c r="F141" s="2">
        <f>(0.5/0.45)*D141</f>
        <v>11.401111111111112</v>
      </c>
      <c r="G141" s="2">
        <f>100*E141/D141</f>
        <v>30.562323360296272</v>
      </c>
    </row>
    <row r="142" spans="1:7" x14ac:dyDescent="0.2">
      <c r="B142">
        <v>10</v>
      </c>
      <c r="C142">
        <v>10</v>
      </c>
      <c r="D142" s="2">
        <v>4.9770000000000003</v>
      </c>
      <c r="E142" s="2">
        <v>0.81200000000000006</v>
      </c>
      <c r="F142" s="2">
        <f>(0.5/0.45)*D142</f>
        <v>5.53</v>
      </c>
      <c r="G142" s="2">
        <f>100*E142/D142</f>
        <v>16.31504922644163</v>
      </c>
    </row>
    <row r="143" spans="1:7" x14ac:dyDescent="0.2">
      <c r="B143">
        <v>11</v>
      </c>
      <c r="C143">
        <v>11</v>
      </c>
      <c r="D143" s="2">
        <v>2.5569999999999999</v>
      </c>
      <c r="E143" s="2">
        <f>0.108+0.695+0.417</f>
        <v>1.22</v>
      </c>
      <c r="F143" s="2">
        <f>(0.5/0.45)*D143</f>
        <v>2.8411111111111111</v>
      </c>
      <c r="G143" s="2">
        <f>100*E143/D143</f>
        <v>47.712162690653109</v>
      </c>
    </row>
    <row r="144" spans="1:7" x14ac:dyDescent="0.2">
      <c r="B144">
        <v>12</v>
      </c>
      <c r="C144">
        <v>12</v>
      </c>
      <c r="D144" s="2">
        <v>2.4129999999999998</v>
      </c>
      <c r="E144" s="2">
        <f>0.106+0.389</f>
        <v>0.495</v>
      </c>
      <c r="F144" s="2">
        <f>(0.5/0.45)*D144</f>
        <v>2.681111111111111</v>
      </c>
      <c r="G144" s="2">
        <f>100*E144/D144</f>
        <v>20.513883133029424</v>
      </c>
    </row>
    <row r="145" spans="1:7" x14ac:dyDescent="0.2">
      <c r="B145">
        <v>13</v>
      </c>
      <c r="C145">
        <v>13</v>
      </c>
      <c r="D145" s="2">
        <v>2.5390000000000001</v>
      </c>
      <c r="E145" s="2">
        <v>0.78800000000000003</v>
      </c>
      <c r="F145" s="2">
        <f>(0.5/0.45)*D145</f>
        <v>2.8211111111111116</v>
      </c>
      <c r="G145" s="2">
        <f>100*E145/D145</f>
        <v>31.0358408822371</v>
      </c>
    </row>
    <row r="146" spans="1:7" x14ac:dyDescent="0.2">
      <c r="A146" t="s">
        <v>144</v>
      </c>
      <c r="B146">
        <v>14</v>
      </c>
      <c r="C146">
        <v>1</v>
      </c>
      <c r="D146" s="2">
        <v>2.5139999999999998</v>
      </c>
      <c r="E146" s="2">
        <v>1.4279999999999999</v>
      </c>
      <c r="F146" s="2">
        <f>(0.5/0.45)*D146</f>
        <v>2.7933333333333334</v>
      </c>
      <c r="G146" s="2">
        <f>100*E146/D146</f>
        <v>56.801909307875896</v>
      </c>
    </row>
    <row r="147" spans="1:7" x14ac:dyDescent="0.2">
      <c r="B147">
        <v>15</v>
      </c>
      <c r="C147">
        <v>2</v>
      </c>
      <c r="D147" s="2">
        <v>2.641</v>
      </c>
      <c r="E147" s="2">
        <f>0.94+0.215+0.718</f>
        <v>1.873</v>
      </c>
      <c r="F147" s="2">
        <f>(0.5/0.45)*D147</f>
        <v>2.9344444444444444</v>
      </c>
      <c r="G147" s="2">
        <f>100*E147/D147</f>
        <v>70.920106020446809</v>
      </c>
    </row>
    <row r="148" spans="1:7" x14ac:dyDescent="0.2">
      <c r="B148">
        <v>16</v>
      </c>
      <c r="C148">
        <v>3</v>
      </c>
      <c r="D148" s="2">
        <v>1.899</v>
      </c>
      <c r="E148" s="2">
        <v>0.41399999999999998</v>
      </c>
      <c r="F148" s="2">
        <f>(0.5/0.45)*D148</f>
        <v>2.1100000000000003</v>
      </c>
      <c r="G148" s="2">
        <f>100*E148/D148</f>
        <v>21.800947867298579</v>
      </c>
    </row>
    <row r="149" spans="1:7" x14ac:dyDescent="0.2">
      <c r="B149">
        <v>17</v>
      </c>
      <c r="C149">
        <v>4</v>
      </c>
      <c r="D149" s="2">
        <v>1.55</v>
      </c>
      <c r="E149" s="2">
        <v>0.17799999999999999</v>
      </c>
      <c r="F149" s="2">
        <f>(0.5/0.45)*D149</f>
        <v>1.7222222222222223</v>
      </c>
      <c r="G149" s="2">
        <f>100*E149/D149</f>
        <v>11.483870967741936</v>
      </c>
    </row>
    <row r="150" spans="1:7" x14ac:dyDescent="0.2">
      <c r="B150">
        <v>18</v>
      </c>
      <c r="C150">
        <v>5</v>
      </c>
      <c r="D150" s="2">
        <v>1.284</v>
      </c>
      <c r="E150" s="2">
        <v>0.24099999999999999</v>
      </c>
      <c r="F150" s="2">
        <f>(0.5/0.45)*D150</f>
        <v>1.4266666666666667</v>
      </c>
      <c r="G150" s="2">
        <f>100*E150/D150</f>
        <v>18.769470404984421</v>
      </c>
    </row>
    <row r="151" spans="1:7" x14ac:dyDescent="0.2">
      <c r="B151">
        <v>19</v>
      </c>
      <c r="C151">
        <v>6</v>
      </c>
      <c r="D151" s="2">
        <v>5.9809999999999999</v>
      </c>
      <c r="E151" s="2">
        <f>0.37+0.114+0.198+0.684</f>
        <v>1.3660000000000001</v>
      </c>
      <c r="F151" s="2">
        <f>(0.5/0.45)*D151</f>
        <v>6.6455555555555561</v>
      </c>
      <c r="G151" s="2">
        <f>100*E151/D151</f>
        <v>22.838990135428862</v>
      </c>
    </row>
    <row r="152" spans="1:7" x14ac:dyDescent="0.2">
      <c r="B152">
        <v>20</v>
      </c>
      <c r="C152">
        <v>7</v>
      </c>
      <c r="D152" s="2">
        <v>3.6349999999999998</v>
      </c>
      <c r="E152" s="2">
        <f>0.335+1.287</f>
        <v>1.6219999999999999</v>
      </c>
      <c r="F152" s="2">
        <f>(0.5/0.45)*D152</f>
        <v>4.0388888888888888</v>
      </c>
      <c r="G152" s="2">
        <f>100*E152/D152</f>
        <v>44.621733149931224</v>
      </c>
    </row>
    <row r="153" spans="1:7" x14ac:dyDescent="0.2">
      <c r="B153">
        <v>21</v>
      </c>
      <c r="C153">
        <v>8</v>
      </c>
      <c r="D153" s="2">
        <v>1.99</v>
      </c>
      <c r="E153" s="2">
        <f>0.162+0.183</f>
        <v>0.34499999999999997</v>
      </c>
      <c r="F153" s="2">
        <f>(0.5/0.45)*D153</f>
        <v>2.2111111111111112</v>
      </c>
      <c r="G153" s="2">
        <f>100*E153/D153</f>
        <v>17.336683417085428</v>
      </c>
    </row>
    <row r="154" spans="1:7" x14ac:dyDescent="0.2">
      <c r="B154">
        <v>22</v>
      </c>
      <c r="C154">
        <v>9</v>
      </c>
      <c r="D154" s="2">
        <v>6.34</v>
      </c>
      <c r="E154" s="2">
        <f>0.701+0.185+0.735+0.482</f>
        <v>2.1029999999999998</v>
      </c>
      <c r="F154" s="2">
        <f>(0.5/0.45)*D154</f>
        <v>7.0444444444444443</v>
      </c>
      <c r="G154" s="2">
        <f>100*E154/D154</f>
        <v>33.170347003154575</v>
      </c>
    </row>
    <row r="155" spans="1:7" x14ac:dyDescent="0.2">
      <c r="B155">
        <v>23</v>
      </c>
      <c r="C155">
        <v>10</v>
      </c>
      <c r="D155" s="2">
        <v>2.0419999999999998</v>
      </c>
      <c r="E155" s="2">
        <f>0.265+0.106</f>
        <v>0.371</v>
      </c>
      <c r="F155" s="2">
        <f>(0.5/0.45)*D155</f>
        <v>2.2688888888888887</v>
      </c>
      <c r="G155" s="2">
        <f>100*E155/D155</f>
        <v>18.168462291870718</v>
      </c>
    </row>
    <row r="156" spans="1:7" x14ac:dyDescent="0.2">
      <c r="B156">
        <v>24</v>
      </c>
      <c r="C156">
        <v>11</v>
      </c>
      <c r="D156" s="2">
        <v>2.3679999999999999</v>
      </c>
      <c r="E156" s="2">
        <f>0.381+0.406</f>
        <v>0.78700000000000003</v>
      </c>
      <c r="F156" s="2">
        <f>(0.5/0.45)*D156</f>
        <v>2.6311111111111112</v>
      </c>
      <c r="G156" s="2">
        <f>100*E156/D156</f>
        <v>33.234797297297298</v>
      </c>
    </row>
    <row r="157" spans="1:7" x14ac:dyDescent="0.2">
      <c r="B157">
        <v>25</v>
      </c>
      <c r="C157">
        <v>12</v>
      </c>
      <c r="D157" s="2">
        <v>2.1850000000000001</v>
      </c>
      <c r="E157" s="2">
        <v>0.41599999999999998</v>
      </c>
      <c r="F157" s="2">
        <f>(0.5/0.45)*D157</f>
        <v>2.427777777777778</v>
      </c>
      <c r="G157" s="2">
        <f>100*E157/D157</f>
        <v>19.038901601830663</v>
      </c>
    </row>
    <row r="158" spans="1:7" x14ac:dyDescent="0.2">
      <c r="A158" t="s">
        <v>143</v>
      </c>
      <c r="B158">
        <v>26</v>
      </c>
      <c r="C158">
        <v>1</v>
      </c>
      <c r="D158" s="2">
        <v>2.0070000000000001</v>
      </c>
      <c r="E158" s="2">
        <v>0</v>
      </c>
      <c r="F158" s="2">
        <f>(0.5/0.45)*D158</f>
        <v>2.2300000000000004</v>
      </c>
      <c r="G158" s="2">
        <f>100*E158/D158</f>
        <v>0</v>
      </c>
    </row>
    <row r="159" spans="1:7" x14ac:dyDescent="0.2">
      <c r="B159">
        <v>27</v>
      </c>
      <c r="C159">
        <v>2</v>
      </c>
      <c r="D159" s="2">
        <v>2.3290000000000002</v>
      </c>
      <c r="E159" s="2">
        <f>0.232+0.644</f>
        <v>0.876</v>
      </c>
      <c r="F159" s="2">
        <f>(0.5/0.45)*D159</f>
        <v>2.5877777777777782</v>
      </c>
      <c r="G159" s="2">
        <f>100*E159/D159</f>
        <v>37.612709317303562</v>
      </c>
    </row>
    <row r="160" spans="1:7" x14ac:dyDescent="0.2">
      <c r="B160">
        <v>28</v>
      </c>
      <c r="C160">
        <v>3</v>
      </c>
      <c r="D160" s="2">
        <v>2.282</v>
      </c>
      <c r="E160" s="2">
        <v>0.16200000000000001</v>
      </c>
      <c r="F160" s="2">
        <f>(0.5/0.45)*D160</f>
        <v>2.5355555555555558</v>
      </c>
      <c r="G160" s="2">
        <f>100*E160/D160</f>
        <v>7.099035933391761</v>
      </c>
    </row>
    <row r="161" spans="1:7" x14ac:dyDescent="0.2">
      <c r="B161">
        <v>29</v>
      </c>
      <c r="C161">
        <v>4</v>
      </c>
      <c r="D161" s="2">
        <v>2.2240000000000002</v>
      </c>
      <c r="E161" s="2">
        <f>0.298+0.308</f>
        <v>0.60599999999999998</v>
      </c>
      <c r="F161" s="2">
        <f>(0.5/0.45)*D161</f>
        <v>2.4711111111111115</v>
      </c>
      <c r="G161" s="2">
        <f>100*E161/D161</f>
        <v>27.24820143884892</v>
      </c>
    </row>
    <row r="162" spans="1:7" x14ac:dyDescent="0.2">
      <c r="B162">
        <v>30</v>
      </c>
      <c r="C162">
        <v>5</v>
      </c>
      <c r="D162" s="2">
        <v>2.093</v>
      </c>
      <c r="E162" s="2">
        <v>0</v>
      </c>
      <c r="F162" s="2">
        <f>(0.5/0.45)*D162</f>
        <v>2.3255555555555558</v>
      </c>
      <c r="G162" s="2">
        <f>100*E162/D162</f>
        <v>0</v>
      </c>
    </row>
    <row r="163" spans="1:7" x14ac:dyDescent="0.2">
      <c r="B163">
        <v>31</v>
      </c>
      <c r="C163">
        <v>6</v>
      </c>
      <c r="D163" s="2">
        <v>1.97</v>
      </c>
      <c r="E163" s="2">
        <f>0.319+0.149</f>
        <v>0.46799999999999997</v>
      </c>
      <c r="F163" s="2">
        <f>(0.5/0.45)*D163</f>
        <v>2.1888888888888891</v>
      </c>
      <c r="G163" s="2">
        <f>100*E163/D163</f>
        <v>23.756345177664972</v>
      </c>
    </row>
    <row r="164" spans="1:7" x14ac:dyDescent="0.2">
      <c r="B164">
        <v>32</v>
      </c>
      <c r="C164">
        <v>7</v>
      </c>
      <c r="D164" s="2">
        <v>2.8849999999999998</v>
      </c>
      <c r="E164" s="2">
        <v>0.53100000000000003</v>
      </c>
      <c r="F164" s="2">
        <f>(0.5/0.45)*D164</f>
        <v>3.2055555555555553</v>
      </c>
      <c r="G164" s="2">
        <f>100*E164/D164</f>
        <v>18.405545927209708</v>
      </c>
    </row>
    <row r="165" spans="1:7" x14ac:dyDescent="0.2">
      <c r="B165">
        <v>33</v>
      </c>
      <c r="C165">
        <v>8</v>
      </c>
      <c r="D165" s="2">
        <v>2.246</v>
      </c>
      <c r="E165" s="2">
        <f>0.359+0.39</f>
        <v>0.749</v>
      </c>
      <c r="F165" s="2">
        <f>(0.5/0.45)*D165</f>
        <v>2.4955555555555557</v>
      </c>
      <c r="G165" s="2">
        <f>100*E165/D165</f>
        <v>33.348174532502227</v>
      </c>
    </row>
    <row r="166" spans="1:7" x14ac:dyDescent="0.2">
      <c r="B166">
        <v>34</v>
      </c>
      <c r="C166">
        <v>9</v>
      </c>
      <c r="D166" s="2">
        <v>1.264</v>
      </c>
      <c r="E166" s="2">
        <v>0.64100000000000001</v>
      </c>
      <c r="F166" s="2">
        <f>(0.5/0.45)*D166</f>
        <v>1.4044444444444446</v>
      </c>
      <c r="G166" s="2">
        <f>100*E166/D166</f>
        <v>50.712025316455694</v>
      </c>
    </row>
    <row r="167" spans="1:7" x14ac:dyDescent="0.2">
      <c r="B167">
        <v>35</v>
      </c>
      <c r="C167">
        <v>10</v>
      </c>
      <c r="D167" s="2">
        <v>2.5579999999999998</v>
      </c>
      <c r="E167" s="2">
        <v>0.15</v>
      </c>
      <c r="F167" s="2">
        <f>(0.5/0.45)*D167</f>
        <v>2.842222222222222</v>
      </c>
      <c r="G167" s="2">
        <f>100*E167/D167</f>
        <v>5.8639562157935892</v>
      </c>
    </row>
    <row r="168" spans="1:7" x14ac:dyDescent="0.2">
      <c r="B168">
        <v>36</v>
      </c>
      <c r="C168">
        <v>11</v>
      </c>
      <c r="D168" s="2">
        <v>1.982</v>
      </c>
      <c r="E168" s="2">
        <v>0.122</v>
      </c>
      <c r="F168" s="2">
        <f>(0.5/0.45)*D168</f>
        <v>2.2022222222222223</v>
      </c>
      <c r="G168" s="2">
        <f>100*E168/D168</f>
        <v>6.1553985872855694</v>
      </c>
    </row>
    <row r="169" spans="1:7" x14ac:dyDescent="0.2">
      <c r="B169">
        <v>37</v>
      </c>
      <c r="C169">
        <v>12</v>
      </c>
      <c r="D169" s="2">
        <v>1.304</v>
      </c>
      <c r="E169" s="2">
        <v>0.25</v>
      </c>
      <c r="F169" s="2">
        <f>(0.5/0.45)*D169</f>
        <v>1.4488888888888891</v>
      </c>
      <c r="G169" s="2">
        <f>100*E169/D169</f>
        <v>19.171779141104295</v>
      </c>
    </row>
    <row r="170" spans="1:7" x14ac:dyDescent="0.2">
      <c r="B170">
        <v>38</v>
      </c>
      <c r="C170">
        <v>13</v>
      </c>
      <c r="D170" s="2">
        <v>2.7549999999999999</v>
      </c>
      <c r="E170" s="2">
        <v>0.14699999999999999</v>
      </c>
      <c r="F170" s="2">
        <f>(0.5/0.45)*D170</f>
        <v>3.0611111111111113</v>
      </c>
      <c r="G170" s="2">
        <f>100*E170/D170</f>
        <v>5.335753176043557</v>
      </c>
    </row>
    <row r="171" spans="1:7" x14ac:dyDescent="0.2">
      <c r="A171" t="s">
        <v>142</v>
      </c>
      <c r="B171">
        <v>39</v>
      </c>
      <c r="C171">
        <v>1</v>
      </c>
      <c r="D171" s="2">
        <v>1.823</v>
      </c>
      <c r="E171" s="2">
        <v>0</v>
      </c>
      <c r="F171" s="2">
        <f>(0.5/0.45)*D171</f>
        <v>2.0255555555555556</v>
      </c>
      <c r="G171" s="2">
        <f>100*E171/D171</f>
        <v>0</v>
      </c>
    </row>
    <row r="172" spans="1:7" x14ac:dyDescent="0.2">
      <c r="B172">
        <v>40</v>
      </c>
      <c r="C172">
        <v>2</v>
      </c>
      <c r="D172" s="2">
        <v>1.998</v>
      </c>
      <c r="E172" s="2">
        <v>0</v>
      </c>
      <c r="F172" s="2">
        <f>(0.5/0.45)*D172</f>
        <v>2.2200000000000002</v>
      </c>
      <c r="G172" s="2">
        <f>100*E172/D172</f>
        <v>0</v>
      </c>
    </row>
    <row r="173" spans="1:7" x14ac:dyDescent="0.2">
      <c r="B173">
        <v>41</v>
      </c>
      <c r="C173">
        <v>3</v>
      </c>
      <c r="D173" s="2">
        <v>2.6139999999999999</v>
      </c>
      <c r="E173" s="2">
        <v>0.54600000000000004</v>
      </c>
      <c r="F173" s="2">
        <f>(0.5/0.45)*D173</f>
        <v>2.9044444444444446</v>
      </c>
      <c r="G173" s="2">
        <f>100*E173/D173</f>
        <v>20.887528691660293</v>
      </c>
    </row>
    <row r="174" spans="1:7" x14ac:dyDescent="0.2">
      <c r="B174">
        <v>42</v>
      </c>
      <c r="C174">
        <v>4</v>
      </c>
      <c r="D174" s="2">
        <v>5.8319999999999999</v>
      </c>
      <c r="E174" s="2">
        <f>0.966+0.169</f>
        <v>1.135</v>
      </c>
      <c r="F174" s="2">
        <f>(0.5/0.45)*D174</f>
        <v>6.48</v>
      </c>
      <c r="G174" s="2">
        <f>100*E174/D174</f>
        <v>19.46159122085048</v>
      </c>
    </row>
    <row r="175" spans="1:7" x14ac:dyDescent="0.2">
      <c r="B175">
        <v>43</v>
      </c>
      <c r="C175">
        <v>5</v>
      </c>
      <c r="D175" s="2">
        <v>2.1930000000000001</v>
      </c>
      <c r="E175" s="2">
        <v>0.13100000000000001</v>
      </c>
      <c r="F175" s="2">
        <f>(0.5/0.45)*D175</f>
        <v>2.436666666666667</v>
      </c>
      <c r="G175" s="2">
        <f>100*E175/D175</f>
        <v>5.9735522115823079</v>
      </c>
    </row>
    <row r="176" spans="1:7" x14ac:dyDescent="0.2">
      <c r="B176">
        <v>44</v>
      </c>
      <c r="C176">
        <v>6</v>
      </c>
      <c r="D176" s="2">
        <v>2.2090000000000001</v>
      </c>
      <c r="E176" s="2">
        <v>1.0509999999999999</v>
      </c>
      <c r="F176" s="2">
        <f>(0.5/0.45)*D176</f>
        <v>2.4544444444444444</v>
      </c>
      <c r="G176" s="2">
        <f>100*E176/D176</f>
        <v>47.578089633318243</v>
      </c>
    </row>
    <row r="177" spans="1:7" x14ac:dyDescent="0.2">
      <c r="B177">
        <v>45</v>
      </c>
      <c r="C177">
        <v>7</v>
      </c>
      <c r="D177" s="2">
        <v>2.694</v>
      </c>
      <c r="E177" s="2">
        <v>0.13400000000000001</v>
      </c>
      <c r="F177" s="2">
        <f>(0.5/0.45)*D177</f>
        <v>2.9933333333333336</v>
      </c>
      <c r="G177" s="2">
        <f>100*E177/D177</f>
        <v>4.974016332590943</v>
      </c>
    </row>
    <row r="178" spans="1:7" x14ac:dyDescent="0.2">
      <c r="B178">
        <v>46</v>
      </c>
      <c r="C178">
        <v>8</v>
      </c>
      <c r="D178" s="2">
        <v>2.0659999999999998</v>
      </c>
      <c r="E178" s="2">
        <v>0.20699999999999999</v>
      </c>
      <c r="F178" s="2">
        <f>(0.5/0.45)*D178</f>
        <v>2.2955555555555556</v>
      </c>
      <c r="G178" s="2">
        <f>100*E178/D178</f>
        <v>10.019361084220717</v>
      </c>
    </row>
    <row r="179" spans="1:7" x14ac:dyDescent="0.2">
      <c r="B179">
        <v>47</v>
      </c>
      <c r="C179">
        <v>9</v>
      </c>
      <c r="D179" s="2">
        <v>2.6539999999999999</v>
      </c>
      <c r="E179" s="2">
        <v>0</v>
      </c>
      <c r="F179" s="2">
        <f>(0.5/0.45)*D179</f>
        <v>2.9488888888888889</v>
      </c>
      <c r="G179" s="2">
        <f>100*E179/D179</f>
        <v>0</v>
      </c>
    </row>
    <row r="180" spans="1:7" x14ac:dyDescent="0.2">
      <c r="B180">
        <v>48</v>
      </c>
      <c r="C180">
        <v>10</v>
      </c>
      <c r="D180" s="2">
        <v>1.885</v>
      </c>
      <c r="E180" s="2">
        <v>0.94699999999999995</v>
      </c>
      <c r="F180" s="2">
        <f>(0.5/0.45)*D180</f>
        <v>2.0944444444444446</v>
      </c>
      <c r="G180" s="2">
        <f>100*E180/D180</f>
        <v>50.238726790450919</v>
      </c>
    </row>
    <row r="181" spans="1:7" x14ac:dyDescent="0.2">
      <c r="A181" t="s">
        <v>141</v>
      </c>
      <c r="B181">
        <v>49</v>
      </c>
      <c r="C181">
        <v>1</v>
      </c>
      <c r="D181" s="2">
        <v>1.613</v>
      </c>
      <c r="E181" s="2">
        <v>0.82899999999999996</v>
      </c>
      <c r="F181" s="2">
        <f>(0.5/0.45)*D181</f>
        <v>1.7922222222222224</v>
      </c>
      <c r="G181" s="2">
        <f>100*E181/D181</f>
        <v>51.394916305021695</v>
      </c>
    </row>
    <row r="182" spans="1:7" x14ac:dyDescent="0.2">
      <c r="B182">
        <v>50</v>
      </c>
      <c r="C182">
        <v>2</v>
      </c>
      <c r="D182" s="2">
        <v>9.6720000000000006</v>
      </c>
      <c r="E182" s="2">
        <f>0.347+0.373+0.213+0.47</f>
        <v>1.403</v>
      </c>
      <c r="F182" s="2">
        <f>(0.5/0.45)*D182</f>
        <v>10.746666666666668</v>
      </c>
      <c r="G182" s="2">
        <f>100*E182/D182</f>
        <v>14.505789909015716</v>
      </c>
    </row>
    <row r="183" spans="1:7" x14ac:dyDescent="0.2">
      <c r="B183">
        <v>51</v>
      </c>
      <c r="C183">
        <v>3</v>
      </c>
      <c r="D183" s="2">
        <v>3.1749999999999998</v>
      </c>
      <c r="E183" s="2">
        <v>0.309</v>
      </c>
      <c r="F183" s="2">
        <f>(0.5/0.45)*D183</f>
        <v>3.5277777777777777</v>
      </c>
      <c r="G183" s="2">
        <f>100*E183/D183</f>
        <v>9.7322834645669296</v>
      </c>
    </row>
    <row r="184" spans="1:7" x14ac:dyDescent="0.2">
      <c r="B184">
        <v>52</v>
      </c>
      <c r="C184">
        <v>4</v>
      </c>
      <c r="D184" s="2">
        <v>1.7669999999999999</v>
      </c>
      <c r="E184" s="2">
        <v>0.46</v>
      </c>
      <c r="F184" s="2">
        <f>(0.5/0.45)*D184</f>
        <v>1.9633333333333334</v>
      </c>
      <c r="G184" s="2">
        <f>100*E184/D184</f>
        <v>26.032823995472555</v>
      </c>
    </row>
    <row r="185" spans="1:7" x14ac:dyDescent="0.2">
      <c r="B185">
        <v>53</v>
      </c>
      <c r="C185">
        <v>5</v>
      </c>
      <c r="D185" s="2">
        <v>1.95</v>
      </c>
      <c r="E185" s="2">
        <f>0.388+0.152</f>
        <v>0.54</v>
      </c>
      <c r="F185" s="2">
        <f>(0.5/0.45)*D185</f>
        <v>2.1666666666666665</v>
      </c>
      <c r="G185" s="2">
        <f>100*E185/D185</f>
        <v>27.692307692307693</v>
      </c>
    </row>
    <row r="186" spans="1:7" x14ac:dyDescent="0.2">
      <c r="B186">
        <v>54</v>
      </c>
      <c r="C186">
        <v>6</v>
      </c>
      <c r="D186" s="2">
        <v>5.117</v>
      </c>
      <c r="E186" s="2">
        <f>0.185+0.105+0.329</f>
        <v>0.61899999999999999</v>
      </c>
      <c r="F186" s="2">
        <f>(0.5/0.45)*D186</f>
        <v>5.6855555555555561</v>
      </c>
      <c r="G186" s="2">
        <f>100*E186/D186</f>
        <v>12.096931795974204</v>
      </c>
    </row>
    <row r="187" spans="1:7" x14ac:dyDescent="0.2">
      <c r="B187">
        <v>55</v>
      </c>
      <c r="C187">
        <v>7</v>
      </c>
      <c r="D187" s="2">
        <v>4.056</v>
      </c>
      <c r="E187" s="2">
        <f>0.143+0.266</f>
        <v>0.40900000000000003</v>
      </c>
      <c r="F187" s="2">
        <f>(0.5/0.45)*D187</f>
        <v>4.5066666666666668</v>
      </c>
      <c r="G187" s="2">
        <f>100*E187/D187</f>
        <v>10.083826429980277</v>
      </c>
    </row>
    <row r="188" spans="1:7" x14ac:dyDescent="0.2">
      <c r="A188" t="s">
        <v>140</v>
      </c>
      <c r="B188">
        <v>56</v>
      </c>
      <c r="C188">
        <v>1</v>
      </c>
      <c r="D188" s="2">
        <v>2.4329999999999998</v>
      </c>
      <c r="E188" s="2">
        <f>0.122+0.539</f>
        <v>0.66100000000000003</v>
      </c>
      <c r="F188" s="2">
        <f>(0.5/0.45)*D188</f>
        <v>2.7033333333333331</v>
      </c>
      <c r="G188" s="2">
        <f>100*E188/D188</f>
        <v>27.168105219893143</v>
      </c>
    </row>
    <row r="189" spans="1:7" x14ac:dyDescent="0.2">
      <c r="B189">
        <v>57</v>
      </c>
      <c r="C189">
        <v>2</v>
      </c>
      <c r="D189" s="2">
        <v>3.597</v>
      </c>
      <c r="E189" s="2">
        <f>0.888+0.132+0.103</f>
        <v>1.123</v>
      </c>
      <c r="F189" s="2">
        <f>(0.5/0.45)*D189</f>
        <v>3.996666666666667</v>
      </c>
      <c r="G189" s="2">
        <f>100*E189/D189</f>
        <v>31.220461495690852</v>
      </c>
    </row>
    <row r="190" spans="1:7" x14ac:dyDescent="0.2">
      <c r="B190">
        <v>58</v>
      </c>
      <c r="C190">
        <v>3</v>
      </c>
      <c r="D190" s="2">
        <v>1.429</v>
      </c>
      <c r="E190" s="2">
        <v>0.498</v>
      </c>
      <c r="F190" s="2">
        <f>(0.5/0.45)*D190</f>
        <v>1.587777777777778</v>
      </c>
      <c r="G190" s="2">
        <f>100*E190/D190</f>
        <v>34.849545136459056</v>
      </c>
    </row>
    <row r="191" spans="1:7" x14ac:dyDescent="0.2">
      <c r="B191">
        <v>59</v>
      </c>
      <c r="C191">
        <v>4</v>
      </c>
      <c r="D191" s="2">
        <v>1.9239999999999999</v>
      </c>
      <c r="E191" s="2">
        <v>0.44900000000000001</v>
      </c>
      <c r="F191" s="2">
        <f>(0.5/0.45)*D191</f>
        <v>2.137777777777778</v>
      </c>
      <c r="G191" s="2">
        <f>100*E191/D191</f>
        <v>23.336798336798338</v>
      </c>
    </row>
    <row r="192" spans="1:7" x14ac:dyDescent="0.2">
      <c r="B192">
        <v>60</v>
      </c>
      <c r="C192">
        <v>5</v>
      </c>
      <c r="D192" s="2">
        <v>3.8450000000000002</v>
      </c>
      <c r="E192" s="2">
        <f>0.789+0.132</f>
        <v>0.92100000000000004</v>
      </c>
      <c r="F192" s="2">
        <f>(0.5/0.45)*D192</f>
        <v>4.272222222222223</v>
      </c>
      <c r="G192" s="2">
        <f>100*E192/D192</f>
        <v>23.953185955786736</v>
      </c>
    </row>
    <row r="193" spans="1:7" x14ac:dyDescent="0.2">
      <c r="B193">
        <v>61</v>
      </c>
      <c r="C193">
        <v>6</v>
      </c>
      <c r="D193" s="2">
        <v>2.6040000000000001</v>
      </c>
      <c r="E193" s="2">
        <v>0.19900000000000001</v>
      </c>
      <c r="F193" s="2">
        <f>(0.5/0.45)*D193</f>
        <v>2.8933333333333335</v>
      </c>
      <c r="G193" s="2">
        <f>100*E193/D193</f>
        <v>7.6420890937019976</v>
      </c>
    </row>
    <row r="194" spans="1:7" x14ac:dyDescent="0.2">
      <c r="B194">
        <v>62</v>
      </c>
      <c r="C194">
        <v>7</v>
      </c>
      <c r="D194" s="2">
        <v>7.2919999999999998</v>
      </c>
      <c r="E194" s="2">
        <f>1.216+0.425+0.264+0.083+0.171+0.498</f>
        <v>2.657</v>
      </c>
      <c r="F194" s="2">
        <f>(0.5/0.45)*D194</f>
        <v>8.1022222222222222</v>
      </c>
      <c r="G194" s="2">
        <f>100*E194/D194</f>
        <v>36.437191442676905</v>
      </c>
    </row>
    <row r="195" spans="1:7" x14ac:dyDescent="0.2">
      <c r="A195" t="s">
        <v>139</v>
      </c>
      <c r="B195">
        <v>63</v>
      </c>
      <c r="C195">
        <v>1</v>
      </c>
      <c r="D195" s="2">
        <v>2.3969999999999998</v>
      </c>
      <c r="E195" s="2">
        <v>0.26800000000000002</v>
      </c>
      <c r="F195" s="2">
        <f>(0.5/0.45)*D195</f>
        <v>2.6633333333333331</v>
      </c>
      <c r="G195" s="2">
        <f>100*E195/D195</f>
        <v>11.18064246975386</v>
      </c>
    </row>
    <row r="196" spans="1:7" x14ac:dyDescent="0.2">
      <c r="B196">
        <v>64</v>
      </c>
      <c r="C196">
        <v>2</v>
      </c>
      <c r="D196" s="2">
        <v>6.2359999999999998</v>
      </c>
      <c r="E196" s="2">
        <f>0.1916+0.269+0.697</f>
        <v>1.1576</v>
      </c>
      <c r="F196" s="2">
        <f>(0.5/0.45)*D196</f>
        <v>6.9288888888888893</v>
      </c>
      <c r="G196" s="2">
        <f>100*E196/D196</f>
        <v>18.563181526619626</v>
      </c>
    </row>
    <row r="197" spans="1:7" x14ac:dyDescent="0.2">
      <c r="B197">
        <v>65</v>
      </c>
      <c r="C197">
        <v>3</v>
      </c>
      <c r="D197" s="2">
        <v>1.714</v>
      </c>
      <c r="E197" s="2">
        <f>0.396+0.169</f>
        <v>0.56500000000000006</v>
      </c>
      <c r="F197" s="2">
        <f>(0.5/0.45)*D197</f>
        <v>1.9044444444444444</v>
      </c>
      <c r="G197" s="2">
        <f>100*E197/D197</f>
        <v>32.963827304550762</v>
      </c>
    </row>
    <row r="198" spans="1:7" x14ac:dyDescent="0.2">
      <c r="B198">
        <v>66</v>
      </c>
      <c r="C198">
        <v>4</v>
      </c>
      <c r="D198" s="2">
        <v>1.9530000000000001</v>
      </c>
      <c r="E198" s="2">
        <f>0.304+0.091</f>
        <v>0.39500000000000002</v>
      </c>
      <c r="F198" s="2">
        <f>(0.5/0.45)*D198</f>
        <v>2.1700000000000004</v>
      </c>
      <c r="G198" s="2">
        <f>100*E198/D198</f>
        <v>20.225294418842804</v>
      </c>
    </row>
    <row r="199" spans="1:7" x14ac:dyDescent="0.2">
      <c r="B199">
        <v>67</v>
      </c>
      <c r="C199">
        <v>5</v>
      </c>
      <c r="D199" s="2">
        <v>3.4409999999999998</v>
      </c>
      <c r="E199" s="2">
        <f>0.882+0.12+0.371</f>
        <v>1.373</v>
      </c>
      <c r="F199" s="2">
        <f>(0.5/0.45)*D199</f>
        <v>3.8233333333333333</v>
      </c>
      <c r="G199" s="2">
        <f>100*E199/D199</f>
        <v>39.901191514094748</v>
      </c>
    </row>
    <row r="200" spans="1:7" x14ac:dyDescent="0.2">
      <c r="B200">
        <v>68</v>
      </c>
      <c r="C200">
        <v>6</v>
      </c>
      <c r="D200" s="2">
        <v>1.3879999999999999</v>
      </c>
      <c r="E200" s="2">
        <v>0.50600000000000001</v>
      </c>
      <c r="F200" s="2">
        <f>(0.5/0.45)*D200</f>
        <v>1.5422222222222222</v>
      </c>
      <c r="G200" s="2">
        <f>100*E200/D200</f>
        <v>36.455331412103753</v>
      </c>
    </row>
    <row r="201" spans="1:7" x14ac:dyDescent="0.2">
      <c r="B201">
        <v>69</v>
      </c>
      <c r="C201">
        <v>7</v>
      </c>
      <c r="D201" s="2">
        <v>2.2919999999999998</v>
      </c>
      <c r="E201" s="2">
        <v>0.13800000000000001</v>
      </c>
      <c r="F201" s="2">
        <f>(0.5/0.45)*D201</f>
        <v>2.5466666666666664</v>
      </c>
      <c r="G201" s="2">
        <f>100*E201/D201</f>
        <v>6.020942408376964</v>
      </c>
    </row>
    <row r="202" spans="1:7" x14ac:dyDescent="0.2">
      <c r="B202">
        <v>70</v>
      </c>
      <c r="C202">
        <v>8</v>
      </c>
      <c r="D202" s="2">
        <v>2.1880000000000002</v>
      </c>
      <c r="E202" s="2">
        <v>0.311</v>
      </c>
      <c r="F202" s="2">
        <f>(0.5/0.45)*D202</f>
        <v>2.4311111111111114</v>
      </c>
      <c r="G202" s="2">
        <f>100*E202/D202</f>
        <v>14.213893967093236</v>
      </c>
    </row>
    <row r="203" spans="1:7" x14ac:dyDescent="0.2">
      <c r="B203">
        <v>71</v>
      </c>
      <c r="C203">
        <v>9</v>
      </c>
      <c r="D203" s="2">
        <v>1.012</v>
      </c>
      <c r="E203" s="2">
        <v>0.66700000000000004</v>
      </c>
      <c r="F203" s="2">
        <f>(0.5/0.45)*D203</f>
        <v>1.1244444444444446</v>
      </c>
      <c r="G203" s="2">
        <f>100*E203/D203</f>
        <v>65.909090909090907</v>
      </c>
    </row>
    <row r="204" spans="1:7" x14ac:dyDescent="0.2">
      <c r="A204" t="s">
        <v>138</v>
      </c>
      <c r="B204">
        <v>72</v>
      </c>
      <c r="C204">
        <v>1</v>
      </c>
      <c r="D204" s="2">
        <v>2.3559999999999999</v>
      </c>
      <c r="E204" s="2">
        <f>0.427+0.502</f>
        <v>0.92900000000000005</v>
      </c>
      <c r="F204" s="2">
        <f>(0.5/0.45)*D204</f>
        <v>2.6177777777777775</v>
      </c>
      <c r="G204" s="2">
        <f>100*E204/D204</f>
        <v>39.431239388794573</v>
      </c>
    </row>
    <row r="205" spans="1:7" x14ac:dyDescent="0.2">
      <c r="B205">
        <v>73</v>
      </c>
      <c r="C205">
        <v>2</v>
      </c>
      <c r="D205" s="2">
        <v>2.1739999999999999</v>
      </c>
      <c r="E205" s="2">
        <v>0.23699999999999999</v>
      </c>
      <c r="F205" s="2">
        <f>(0.5/0.45)*D205</f>
        <v>2.4155555555555557</v>
      </c>
      <c r="G205" s="2">
        <f>100*E205/D205</f>
        <v>10.901563937442502</v>
      </c>
    </row>
    <row r="206" spans="1:7" x14ac:dyDescent="0.2">
      <c r="B206">
        <v>74</v>
      </c>
      <c r="C206">
        <v>3</v>
      </c>
      <c r="D206" s="2">
        <v>5.7539999999999996</v>
      </c>
      <c r="E206" s="2">
        <v>0.20200000000000001</v>
      </c>
      <c r="F206" s="2">
        <f>(0.5/0.45)*D206</f>
        <v>6.3933333333333335</v>
      </c>
      <c r="G206" s="2">
        <f>100*E206/D206</f>
        <v>3.5106013208202995</v>
      </c>
    </row>
    <row r="207" spans="1:7" x14ac:dyDescent="0.2">
      <c r="B207">
        <v>75</v>
      </c>
      <c r="C207">
        <v>4</v>
      </c>
      <c r="D207" s="2">
        <v>1.363</v>
      </c>
      <c r="E207" s="2">
        <v>0.41099999999999998</v>
      </c>
      <c r="F207" s="2">
        <f>(0.5/0.45)*D207</f>
        <v>1.5144444444444445</v>
      </c>
      <c r="G207" s="2">
        <f>100*E207/D207</f>
        <v>30.154071900220099</v>
      </c>
    </row>
    <row r="208" spans="1:7" x14ac:dyDescent="0.2">
      <c r="B208">
        <v>76</v>
      </c>
      <c r="C208">
        <v>5</v>
      </c>
      <c r="D208" s="2">
        <v>3.4780000000000002</v>
      </c>
      <c r="E208" s="2">
        <f>0.439+0.496</f>
        <v>0.93500000000000005</v>
      </c>
      <c r="F208" s="2">
        <f>(0.5/0.45)*D208</f>
        <v>3.864444444444445</v>
      </c>
      <c r="G208" s="2">
        <f>100*E208/D208</f>
        <v>26.883266244968372</v>
      </c>
    </row>
    <row r="209" spans="1:7" x14ac:dyDescent="0.2">
      <c r="B209">
        <v>77</v>
      </c>
      <c r="C209">
        <v>6</v>
      </c>
      <c r="D209" s="2">
        <v>1.6459999999999999</v>
      </c>
      <c r="E209" s="2">
        <f>0.791+0.389</f>
        <v>1.1800000000000002</v>
      </c>
      <c r="F209" s="2">
        <f>(0.5/0.45)*D209</f>
        <v>1.8288888888888888</v>
      </c>
      <c r="G209" s="2">
        <f>100*E209/D209</f>
        <v>71.688942891859071</v>
      </c>
    </row>
    <row r="210" spans="1:7" x14ac:dyDescent="0.2">
      <c r="B210">
        <v>78</v>
      </c>
      <c r="C210">
        <v>7</v>
      </c>
      <c r="D210" s="2">
        <v>5.1529999999999996</v>
      </c>
      <c r="E210" s="2">
        <f>0.533+0.337</f>
        <v>0.87000000000000011</v>
      </c>
      <c r="F210" s="2">
        <f>(0.5/0.45)*D210</f>
        <v>5.7255555555555553</v>
      </c>
      <c r="G210" s="2">
        <f>100*E210/D210</f>
        <v>16.883368911313802</v>
      </c>
    </row>
    <row r="211" spans="1:7" x14ac:dyDescent="0.2">
      <c r="A211" t="s">
        <v>137</v>
      </c>
      <c r="B211">
        <v>79</v>
      </c>
      <c r="C211">
        <v>1</v>
      </c>
      <c r="D211" s="2">
        <v>3.3780000000000001</v>
      </c>
      <c r="E211" s="2">
        <v>0.495</v>
      </c>
      <c r="F211" s="2">
        <f>(0.5/0.45)*D211</f>
        <v>3.7533333333333334</v>
      </c>
      <c r="G211" s="2">
        <f>100*E211/D211</f>
        <v>14.653641207815275</v>
      </c>
    </row>
    <row r="212" spans="1:7" x14ac:dyDescent="0.2">
      <c r="B212">
        <v>80</v>
      </c>
      <c r="C212">
        <v>2</v>
      </c>
      <c r="D212" s="2">
        <v>3.895</v>
      </c>
      <c r="E212" s="2">
        <f>0.532+1.136</f>
        <v>1.6679999999999999</v>
      </c>
      <c r="F212" s="2">
        <f>(0.5/0.45)*D212</f>
        <v>4.3277777777777784</v>
      </c>
      <c r="G212" s="2">
        <f>100*E212/D212</f>
        <v>42.824133504492934</v>
      </c>
    </row>
    <row r="213" spans="1:7" x14ac:dyDescent="0.2">
      <c r="B213">
        <v>81</v>
      </c>
      <c r="C213">
        <v>3</v>
      </c>
      <c r="D213" s="2">
        <v>3.9039999999999999</v>
      </c>
      <c r="E213" s="2">
        <f>0.525+0.124</f>
        <v>0.64900000000000002</v>
      </c>
      <c r="F213" s="2">
        <f>(0.5/0.45)*D213</f>
        <v>4.3377777777777782</v>
      </c>
      <c r="G213" s="2">
        <f>100*E213/D213</f>
        <v>16.623975409836067</v>
      </c>
    </row>
    <row r="214" spans="1:7" x14ac:dyDescent="0.2">
      <c r="B214">
        <v>82</v>
      </c>
      <c r="C214">
        <v>4</v>
      </c>
      <c r="D214" s="2">
        <v>4.798</v>
      </c>
      <c r="E214" s="2">
        <f>0.765+1.034</f>
        <v>1.7989999999999999</v>
      </c>
      <c r="F214" s="2">
        <f>(0.5/0.45)*D214</f>
        <v>5.3311111111111114</v>
      </c>
      <c r="G214" s="2">
        <f>100*E214/D214</f>
        <v>37.494789495623181</v>
      </c>
    </row>
    <row r="215" spans="1:7" x14ac:dyDescent="0.2">
      <c r="B215">
        <v>83</v>
      </c>
      <c r="C215">
        <v>5</v>
      </c>
      <c r="D215" s="2">
        <v>3.0350000000000001</v>
      </c>
      <c r="E215" s="2">
        <f>0.104+0.85</f>
        <v>0.95399999999999996</v>
      </c>
      <c r="F215" s="2">
        <f>(0.5/0.45)*D215</f>
        <v>3.3722222222222227</v>
      </c>
      <c r="G215" s="2">
        <f>100*E215/D215</f>
        <v>31.433278418451398</v>
      </c>
    </row>
    <row r="216" spans="1:7" x14ac:dyDescent="0.2">
      <c r="B216">
        <v>84</v>
      </c>
      <c r="C216">
        <v>6</v>
      </c>
      <c r="D216" s="2">
        <v>8.9949999999999992</v>
      </c>
      <c r="E216" s="2">
        <f>0.28+0.665+0.205+0.199+0.196+0.808+0.912</f>
        <v>3.2650000000000001</v>
      </c>
      <c r="F216" s="2">
        <f>(0.5/0.45)*D216</f>
        <v>9.9944444444444436</v>
      </c>
      <c r="G216" s="2">
        <f>100*E216/D216</f>
        <v>36.297943301834358</v>
      </c>
    </row>
    <row r="217" spans="1:7" x14ac:dyDescent="0.2">
      <c r="B217">
        <v>85</v>
      </c>
      <c r="C217">
        <v>7</v>
      </c>
      <c r="D217" s="2">
        <v>7.0759999999999996</v>
      </c>
      <c r="E217" s="2">
        <f>0.129+0.207+0.422+1.487+0.577</f>
        <v>2.8220000000000001</v>
      </c>
      <c r="F217" s="2">
        <f>(0.5/0.45)*D217</f>
        <v>7.862222222222222</v>
      </c>
      <c r="G217" s="2">
        <f>100*E217/D217</f>
        <v>39.881288863764837</v>
      </c>
    </row>
    <row r="218" spans="1:7" x14ac:dyDescent="0.2">
      <c r="B218">
        <v>86</v>
      </c>
      <c r="C218">
        <v>8</v>
      </c>
      <c r="D218" s="2">
        <v>2.4279999999999999</v>
      </c>
      <c r="E218" s="2">
        <v>0.318</v>
      </c>
      <c r="F218" s="2">
        <f>(0.5/0.45)*D218</f>
        <v>2.6977777777777776</v>
      </c>
      <c r="G218" s="2">
        <f>100*E218/D218</f>
        <v>13.097199341021417</v>
      </c>
    </row>
    <row r="219" spans="1:7" x14ac:dyDescent="0.2">
      <c r="A219" t="s">
        <v>136</v>
      </c>
      <c r="B219">
        <v>87</v>
      </c>
      <c r="C219">
        <v>1</v>
      </c>
      <c r="D219" s="2">
        <v>2.673</v>
      </c>
      <c r="E219" s="2">
        <v>0.18099999999999999</v>
      </c>
      <c r="F219" s="2">
        <f>(0.5/0.45)*D219</f>
        <v>2.97</v>
      </c>
      <c r="G219" s="2">
        <f>100*E219/D219</f>
        <v>6.7714178825289926</v>
      </c>
    </row>
    <row r="220" spans="1:7" x14ac:dyDescent="0.2">
      <c r="B220">
        <v>88</v>
      </c>
      <c r="C220">
        <v>2</v>
      </c>
      <c r="D220" s="2">
        <v>2.17</v>
      </c>
      <c r="E220" s="2">
        <v>0</v>
      </c>
      <c r="F220" s="2">
        <f>(0.5/0.45)*D220</f>
        <v>2.411111111111111</v>
      </c>
      <c r="G220" s="2">
        <f>100*E220/D220</f>
        <v>0</v>
      </c>
    </row>
    <row r="221" spans="1:7" x14ac:dyDescent="0.2">
      <c r="B221">
        <v>89</v>
      </c>
      <c r="C221">
        <v>3</v>
      </c>
      <c r="D221" s="2">
        <v>3.633</v>
      </c>
      <c r="E221" s="2">
        <f>0.125+0.363+0.267</f>
        <v>0.755</v>
      </c>
      <c r="F221" s="2">
        <f>(0.5/0.45)*D221</f>
        <v>4.0366666666666671</v>
      </c>
      <c r="G221" s="2">
        <f>100*E221/D221</f>
        <v>20.781723093861821</v>
      </c>
    </row>
    <row r="222" spans="1:7" x14ac:dyDescent="0.2">
      <c r="B222">
        <v>90</v>
      </c>
      <c r="C222">
        <v>4</v>
      </c>
      <c r="D222" s="2">
        <v>3.4580000000000002</v>
      </c>
      <c r="E222" s="2">
        <v>0</v>
      </c>
      <c r="F222" s="2">
        <f>(0.5/0.45)*D222</f>
        <v>3.8422222222222224</v>
      </c>
      <c r="G222" s="2">
        <f>100*E222/D222</f>
        <v>0</v>
      </c>
    </row>
    <row r="223" spans="1:7" x14ac:dyDescent="0.2">
      <c r="B223">
        <v>91</v>
      </c>
      <c r="C223">
        <v>5</v>
      </c>
      <c r="D223" s="2">
        <v>2.431</v>
      </c>
      <c r="E223" s="2">
        <v>0.18099999999999999</v>
      </c>
      <c r="F223" s="2">
        <f>(0.5/0.45)*D223</f>
        <v>2.7011111111111115</v>
      </c>
      <c r="G223" s="2">
        <f>100*E223/D223</f>
        <v>7.4454956807897972</v>
      </c>
    </row>
    <row r="224" spans="1:7" x14ac:dyDescent="0.2">
      <c r="B224">
        <v>92</v>
      </c>
      <c r="C224">
        <v>6</v>
      </c>
      <c r="D224" s="2">
        <v>7.5620000000000003</v>
      </c>
      <c r="E224" s="2">
        <v>1.0429999999999999</v>
      </c>
      <c r="F224" s="2">
        <f>(0.5/0.45)*D224</f>
        <v>8.4022222222222229</v>
      </c>
      <c r="G224" s="2">
        <f>100*E224/D224</f>
        <v>13.792647447765141</v>
      </c>
    </row>
    <row r="225" spans="1:7" x14ac:dyDescent="0.2">
      <c r="B225">
        <v>93</v>
      </c>
      <c r="C225">
        <v>7</v>
      </c>
      <c r="D225" s="2">
        <v>1.55</v>
      </c>
      <c r="E225" s="2">
        <v>0</v>
      </c>
      <c r="F225" s="2">
        <f>(0.5/0.45)*D225</f>
        <v>1.7222222222222223</v>
      </c>
      <c r="G225" s="2">
        <f>100*E225/D225</f>
        <v>0</v>
      </c>
    </row>
    <row r="226" spans="1:7" x14ac:dyDescent="0.2">
      <c r="A226" t="s">
        <v>135</v>
      </c>
      <c r="B226">
        <v>94</v>
      </c>
      <c r="C226">
        <v>1</v>
      </c>
      <c r="D226" s="2">
        <v>2.4689999999999999</v>
      </c>
      <c r="E226" s="2">
        <v>0.221</v>
      </c>
      <c r="F226" s="2">
        <f>(0.5/0.45)*D226</f>
        <v>2.7433333333333332</v>
      </c>
      <c r="G226" s="2">
        <f>100*E226/D226</f>
        <v>8.9509923045767525</v>
      </c>
    </row>
    <row r="227" spans="1:7" x14ac:dyDescent="0.2">
      <c r="B227">
        <v>95</v>
      </c>
      <c r="C227">
        <v>2</v>
      </c>
      <c r="D227" s="2">
        <v>1.9750000000000001</v>
      </c>
      <c r="E227" s="2">
        <v>0.61299999999999999</v>
      </c>
      <c r="F227" s="2">
        <f>(0.5/0.45)*D227</f>
        <v>2.1944444444444446</v>
      </c>
      <c r="G227" s="2">
        <f>100*E227/D227</f>
        <v>31.037974683544302</v>
      </c>
    </row>
    <row r="228" spans="1:7" x14ac:dyDescent="0.2">
      <c r="B228">
        <v>96</v>
      </c>
      <c r="C228">
        <v>3</v>
      </c>
      <c r="D228" s="2">
        <v>1.881</v>
      </c>
      <c r="E228" s="2">
        <f>0.127+0.194</f>
        <v>0.32100000000000001</v>
      </c>
      <c r="F228" s="2">
        <f>(0.5/0.45)*D228</f>
        <v>2.0900000000000003</v>
      </c>
      <c r="G228" s="2">
        <f>100*E228/D228</f>
        <v>17.065390749601278</v>
      </c>
    </row>
    <row r="229" spans="1:7" x14ac:dyDescent="0.2">
      <c r="B229">
        <v>97</v>
      </c>
      <c r="C229">
        <v>4</v>
      </c>
      <c r="D229" s="2">
        <v>1.8180000000000001</v>
      </c>
      <c r="E229" s="2">
        <v>0</v>
      </c>
      <c r="F229" s="2">
        <f>(0.5/0.45)*D229</f>
        <v>2.02</v>
      </c>
      <c r="G229" s="2">
        <f>100*E229/D229</f>
        <v>0</v>
      </c>
    </row>
    <row r="230" spans="1:7" x14ac:dyDescent="0.2">
      <c r="B230">
        <v>98</v>
      </c>
      <c r="C230">
        <v>5</v>
      </c>
      <c r="D230" s="2">
        <v>2.48</v>
      </c>
      <c r="E230" s="2">
        <v>0</v>
      </c>
      <c r="F230" s="2">
        <f>(0.5/0.45)*D230</f>
        <v>2.7555555555555555</v>
      </c>
      <c r="G230" s="2">
        <f>100*E230/D230</f>
        <v>0</v>
      </c>
    </row>
    <row r="231" spans="1:7" x14ac:dyDescent="0.2">
      <c r="A231" t="s">
        <v>134</v>
      </c>
      <c r="B231">
        <v>99</v>
      </c>
      <c r="C231">
        <v>1</v>
      </c>
      <c r="D231" s="2">
        <v>1.5509999999999999</v>
      </c>
      <c r="E231" s="2">
        <f>0.346+0.248</f>
        <v>0.59399999999999997</v>
      </c>
      <c r="F231" s="2">
        <f>(0.5/0.45)*D231</f>
        <v>1.7233333333333334</v>
      </c>
      <c r="G231" s="2">
        <f>100*E231/D231</f>
        <v>38.297872340425535</v>
      </c>
    </row>
    <row r="232" spans="1:7" x14ac:dyDescent="0.2">
      <c r="B232">
        <v>100</v>
      </c>
      <c r="C232">
        <v>2</v>
      </c>
      <c r="D232" s="2">
        <v>3.673</v>
      </c>
      <c r="E232" s="2">
        <f>0.096+0.221</f>
        <v>0.317</v>
      </c>
      <c r="F232" s="2">
        <f>(0.5/0.45)*D232</f>
        <v>4.0811111111111114</v>
      </c>
      <c r="G232" s="2">
        <f>100*E232/D232</f>
        <v>8.630547236591342</v>
      </c>
    </row>
    <row r="233" spans="1:7" x14ac:dyDescent="0.2">
      <c r="B233">
        <v>101</v>
      </c>
      <c r="C233">
        <v>3</v>
      </c>
      <c r="D233" s="2">
        <v>3.0339999999999998</v>
      </c>
      <c r="E233" s="2">
        <v>0.75800000000000001</v>
      </c>
      <c r="F233" s="2">
        <f>(0.5/0.45)*D233</f>
        <v>3.3711111111111109</v>
      </c>
      <c r="G233" s="2">
        <f>100*E233/D233</f>
        <v>24.983520105471325</v>
      </c>
    </row>
    <row r="234" spans="1:7" x14ac:dyDescent="0.2">
      <c r="B234">
        <v>102</v>
      </c>
      <c r="C234">
        <v>4</v>
      </c>
      <c r="D234" s="2">
        <v>4.5359999999999996</v>
      </c>
      <c r="E234" s="2">
        <f>0.569+0.202+0.596</f>
        <v>1.367</v>
      </c>
      <c r="F234" s="2">
        <f>(0.5/0.45)*D234</f>
        <v>5.04</v>
      </c>
      <c r="G234" s="2">
        <f>100*E234/D234</f>
        <v>30.136684303350972</v>
      </c>
    </row>
    <row r="235" spans="1:7" x14ac:dyDescent="0.2">
      <c r="B235">
        <v>103</v>
      </c>
      <c r="C235">
        <v>5</v>
      </c>
      <c r="D235" s="2">
        <v>3.1480000000000001</v>
      </c>
      <c r="E235" s="2">
        <v>0</v>
      </c>
      <c r="F235" s="2">
        <f>(0.5/0.45)*D235</f>
        <v>3.4977777777777779</v>
      </c>
      <c r="G235" s="2">
        <f>100*E235/D235</f>
        <v>0</v>
      </c>
    </row>
    <row r="236" spans="1:7" x14ac:dyDescent="0.2">
      <c r="B236">
        <v>104</v>
      </c>
      <c r="C236">
        <v>6</v>
      </c>
      <c r="D236" s="2">
        <v>1.64</v>
      </c>
      <c r="E236" s="2">
        <v>0</v>
      </c>
      <c r="F236" s="2">
        <f>(0.5/0.45)*D236</f>
        <v>1.8222222222222222</v>
      </c>
      <c r="G236" s="2">
        <f>100*E236/D236</f>
        <v>0</v>
      </c>
    </row>
    <row r="237" spans="1:7" x14ac:dyDescent="0.2">
      <c r="A237" t="s">
        <v>133</v>
      </c>
      <c r="B237">
        <v>105</v>
      </c>
      <c r="C237">
        <v>1</v>
      </c>
      <c r="D237" s="2">
        <v>4.2210000000000001</v>
      </c>
      <c r="E237" s="2">
        <f>0.494+0.268+0.272+0.548+0.177</f>
        <v>1.7590000000000001</v>
      </c>
      <c r="F237" s="2">
        <f>(0.5/0.45)*D237</f>
        <v>4.6900000000000004</v>
      </c>
      <c r="G237" s="2">
        <f>100*E237/D237</f>
        <v>41.672589433783465</v>
      </c>
    </row>
    <row r="238" spans="1:7" x14ac:dyDescent="0.2">
      <c r="B238">
        <v>106</v>
      </c>
      <c r="C238">
        <v>2</v>
      </c>
      <c r="D238" s="2">
        <v>2.0249999999999999</v>
      </c>
      <c r="E238" s="2">
        <v>0.127</v>
      </c>
      <c r="F238" s="2">
        <f>(0.5/0.45)*D238</f>
        <v>2.25</v>
      </c>
      <c r="G238" s="2">
        <f>100*E238/D238</f>
        <v>6.2716049382716053</v>
      </c>
    </row>
    <row r="239" spans="1:7" x14ac:dyDescent="0.2">
      <c r="B239">
        <v>107</v>
      </c>
      <c r="C239">
        <v>3</v>
      </c>
      <c r="D239" s="2">
        <v>4.3869999999999996</v>
      </c>
      <c r="E239" s="2">
        <v>0.84</v>
      </c>
      <c r="F239" s="2">
        <f>(0.5/0.45)*D239</f>
        <v>4.8744444444444444</v>
      </c>
      <c r="G239" s="2">
        <f>100*E239/D239</f>
        <v>19.147481194438114</v>
      </c>
    </row>
    <row r="240" spans="1:7" x14ac:dyDescent="0.2">
      <c r="B240">
        <v>108</v>
      </c>
      <c r="C240">
        <v>4</v>
      </c>
      <c r="D240" s="2">
        <v>4.4640000000000004</v>
      </c>
      <c r="E240" s="2">
        <f>0.308+0.243+0.359+0.1</f>
        <v>1.01</v>
      </c>
      <c r="F240" s="2">
        <f>(0.5/0.45)*D240</f>
        <v>4.9600000000000009</v>
      </c>
      <c r="G240" s="2">
        <f>100*E240/D240</f>
        <v>22.625448028673834</v>
      </c>
    </row>
    <row r="241" spans="1:7" x14ac:dyDescent="0.2">
      <c r="B241">
        <v>109</v>
      </c>
      <c r="C241">
        <v>5</v>
      </c>
      <c r="D241" s="2">
        <v>2.5779999999999998</v>
      </c>
      <c r="E241" s="2">
        <f>0.247+0.472</f>
        <v>0.71899999999999997</v>
      </c>
      <c r="F241" s="2">
        <f>(0.5/0.45)*D241</f>
        <v>2.8644444444444446</v>
      </c>
      <c r="G241" s="2">
        <f>100*E241/D241</f>
        <v>27.889837083010082</v>
      </c>
    </row>
    <row r="242" spans="1:7" x14ac:dyDescent="0.2">
      <c r="B242">
        <v>110</v>
      </c>
      <c r="C242">
        <v>6</v>
      </c>
      <c r="D242" s="2">
        <v>3.472</v>
      </c>
      <c r="E242" s="2">
        <f>0.503+0.885</f>
        <v>1.3879999999999999</v>
      </c>
      <c r="F242" s="2">
        <f>(0.5/0.45)*D242</f>
        <v>3.8577777777777778</v>
      </c>
      <c r="G242" s="2">
        <f>100*E242/D242</f>
        <v>39.976958525345616</v>
      </c>
    </row>
    <row r="243" spans="1:7" x14ac:dyDescent="0.2">
      <c r="B243">
        <v>111</v>
      </c>
      <c r="C243">
        <v>7</v>
      </c>
      <c r="D243" s="2">
        <v>4.9379999999999997</v>
      </c>
      <c r="E243" s="2">
        <f>0.875+0.285</f>
        <v>1.1599999999999999</v>
      </c>
      <c r="F243" s="2">
        <f>(0.5/0.45)*D243</f>
        <v>5.4866666666666664</v>
      </c>
      <c r="G243" s="2">
        <f>100*E243/D243</f>
        <v>23.491292021061156</v>
      </c>
    </row>
    <row r="244" spans="1:7" x14ac:dyDescent="0.2">
      <c r="B244">
        <v>112</v>
      </c>
      <c r="C244">
        <v>8</v>
      </c>
      <c r="D244" s="2">
        <v>2.25</v>
      </c>
      <c r="E244" s="2">
        <v>1.387</v>
      </c>
      <c r="F244" s="2">
        <f>(0.5/0.45)*D244</f>
        <v>2.5</v>
      </c>
      <c r="G244" s="2">
        <f>100*E244/D244</f>
        <v>61.644444444444439</v>
      </c>
    </row>
    <row r="245" spans="1:7" x14ac:dyDescent="0.2">
      <c r="A245" t="s">
        <v>132</v>
      </c>
      <c r="B245">
        <v>113</v>
      </c>
      <c r="C245">
        <v>1</v>
      </c>
      <c r="D245" s="2">
        <v>6.0529999999999999</v>
      </c>
      <c r="E245" s="2">
        <f>0.91+0.194+0.702+0.545</f>
        <v>2.351</v>
      </c>
      <c r="F245" s="2">
        <f>(0.5/0.45)*D245</f>
        <v>6.7255555555555562</v>
      </c>
      <c r="G245" s="2">
        <f>100*E245/D245</f>
        <v>38.840244506856102</v>
      </c>
    </row>
    <row r="246" spans="1:7" x14ac:dyDescent="0.2">
      <c r="B246">
        <v>114</v>
      </c>
      <c r="C246">
        <v>2</v>
      </c>
      <c r="D246" s="2">
        <v>5.7880000000000003</v>
      </c>
      <c r="E246" s="2">
        <f>0.581+0.627+0.909+0.927</f>
        <v>3.044</v>
      </c>
      <c r="F246" s="2">
        <f>(0.5/0.45)*D246</f>
        <v>6.4311111111111119</v>
      </c>
      <c r="G246" s="2">
        <f>100*E246/D246</f>
        <v>52.591568762957834</v>
      </c>
    </row>
    <row r="247" spans="1:7" x14ac:dyDescent="0.2">
      <c r="B247">
        <v>115</v>
      </c>
      <c r="C247">
        <v>3</v>
      </c>
      <c r="D247" s="2">
        <v>4.8280000000000003</v>
      </c>
      <c r="E247" s="2">
        <f>1.809+1.74</f>
        <v>3.5489999999999999</v>
      </c>
      <c r="F247" s="2">
        <f>(0.5/0.45)*D247</f>
        <v>5.3644444444444446</v>
      </c>
      <c r="G247" s="2">
        <f>100*E247/D247</f>
        <v>73.508699254349622</v>
      </c>
    </row>
    <row r="248" spans="1:7" x14ac:dyDescent="0.2">
      <c r="A248" t="s">
        <v>131</v>
      </c>
      <c r="B248">
        <v>116</v>
      </c>
      <c r="C248">
        <v>1</v>
      </c>
      <c r="D248" s="2">
        <v>5.125</v>
      </c>
      <c r="E248" s="2">
        <f>0.918+0.234+0.517+0.125</f>
        <v>1.794</v>
      </c>
      <c r="F248" s="2">
        <f>(0.5/0.45)*D248</f>
        <v>5.6944444444444446</v>
      </c>
      <c r="G248" s="2">
        <f>100*E248/D248</f>
        <v>35.00487804878049</v>
      </c>
    </row>
    <row r="249" spans="1:7" x14ac:dyDescent="0.2">
      <c r="B249">
        <v>117</v>
      </c>
      <c r="C249">
        <v>2</v>
      </c>
      <c r="D249" s="2">
        <v>3.3180000000000001</v>
      </c>
      <c r="E249" s="2">
        <f>1.606+0.295</f>
        <v>1.901</v>
      </c>
      <c r="F249" s="2">
        <f>(0.5/0.45)*D249</f>
        <v>3.686666666666667</v>
      </c>
      <c r="G249" s="2">
        <f>100*E249/D249</f>
        <v>57.293550331525012</v>
      </c>
    </row>
    <row r="250" spans="1:7" x14ac:dyDescent="0.2">
      <c r="B250">
        <v>118</v>
      </c>
      <c r="C250">
        <v>3</v>
      </c>
      <c r="D250" s="2">
        <v>4.415</v>
      </c>
      <c r="E250" s="2">
        <f>1.704+1.078</f>
        <v>2.782</v>
      </c>
      <c r="F250" s="2">
        <f>(0.5/0.45)*D250</f>
        <v>4.9055555555555559</v>
      </c>
      <c r="G250" s="2">
        <f>100*E250/D250</f>
        <v>63.012457531143824</v>
      </c>
    </row>
    <row r="251" spans="1:7" x14ac:dyDescent="0.2">
      <c r="A251" t="s">
        <v>130</v>
      </c>
      <c r="B251">
        <v>119</v>
      </c>
      <c r="C251">
        <v>1</v>
      </c>
      <c r="D251" s="2">
        <v>3.1520000000000001</v>
      </c>
      <c r="E251" s="2">
        <f>0.344+0.986</f>
        <v>1.33</v>
      </c>
      <c r="F251" s="2">
        <f>(0.5/0.45)*D251</f>
        <v>3.5022222222222226</v>
      </c>
      <c r="G251" s="2">
        <f>100*E251/D251</f>
        <v>42.195431472081218</v>
      </c>
    </row>
    <row r="252" spans="1:7" x14ac:dyDescent="0.2">
      <c r="B252">
        <v>120</v>
      </c>
      <c r="C252">
        <v>2</v>
      </c>
      <c r="D252" s="2">
        <v>1.532</v>
      </c>
      <c r="E252" s="2">
        <v>0.434</v>
      </c>
      <c r="F252" s="2">
        <f>(0.5/0.45)*D252</f>
        <v>1.7022222222222223</v>
      </c>
      <c r="G252" s="2">
        <f>100*E252/D252</f>
        <v>28.328981723237597</v>
      </c>
    </row>
    <row r="253" spans="1:7" x14ac:dyDescent="0.2">
      <c r="B253">
        <v>121</v>
      </c>
      <c r="C253">
        <v>3</v>
      </c>
      <c r="D253" s="2">
        <v>5.6390000000000002</v>
      </c>
      <c r="E253" s="2">
        <f>0.888+1.121</f>
        <v>2.0089999999999999</v>
      </c>
      <c r="F253" s="2">
        <f>(0.5/0.45)*D253</f>
        <v>6.2655555555555562</v>
      </c>
      <c r="G253" s="2">
        <f>100*E253/D253</f>
        <v>35.626884199326113</v>
      </c>
    </row>
    <row r="254" spans="1:7" x14ac:dyDescent="0.2">
      <c r="B254">
        <v>122</v>
      </c>
      <c r="C254">
        <v>4</v>
      </c>
      <c r="D254" s="2">
        <v>16.196999999999999</v>
      </c>
      <c r="E254" s="2">
        <f>0.797+0.257+0.346+0.443+0.318+0.328</f>
        <v>2.4889999999999999</v>
      </c>
      <c r="F254" s="2">
        <f>(0.5/0.45)*D254</f>
        <v>17.996666666666666</v>
      </c>
      <c r="G254" s="2">
        <f>100*E254/D254</f>
        <v>15.367043279619683</v>
      </c>
    </row>
    <row r="256" spans="1:7" x14ac:dyDescent="0.2">
      <c r="C256" t="s">
        <v>1</v>
      </c>
      <c r="D256" s="2">
        <f>AVERAGE(D133:D254)</f>
        <v>3.2686967213114744</v>
      </c>
      <c r="E256" s="2">
        <f>AVERAGE(E133:E254)</f>
        <v>0.82156229508196699</v>
      </c>
      <c r="F256" s="2">
        <f>AVERAGE(F133:F254)</f>
        <v>3.63188524590164</v>
      </c>
      <c r="G256" s="2">
        <f>AVERAGE(G133:G254)</f>
        <v>24.625816931794741</v>
      </c>
    </row>
    <row r="257" spans="1:7" x14ac:dyDescent="0.2">
      <c r="C257" t="s">
        <v>0</v>
      </c>
      <c r="D257" s="2">
        <f>STDEV(D133:D254)</f>
        <v>2.1189055060633377</v>
      </c>
      <c r="E257" s="2">
        <f>STDEV(E133:E254)</f>
        <v>0.78330096696453921</v>
      </c>
      <c r="F257" s="2">
        <f>STDEV(F133:F254)</f>
        <v>2.3543394511814837</v>
      </c>
      <c r="G257" s="2">
        <f>STDEV(G133:G254)</f>
        <v>17.755505872733238</v>
      </c>
    </row>
    <row r="259" spans="1:7" x14ac:dyDescent="0.2">
      <c r="A259" t="s">
        <v>129</v>
      </c>
    </row>
    <row r="260" spans="1:7" x14ac:dyDescent="0.2">
      <c r="A260" s="5" t="s">
        <v>95</v>
      </c>
      <c r="B260" s="5" t="s">
        <v>23</v>
      </c>
      <c r="C260" s="5" t="s">
        <v>22</v>
      </c>
      <c r="D260" s="4" t="s">
        <v>94</v>
      </c>
      <c r="E260" s="4" t="s">
        <v>93</v>
      </c>
      <c r="F260" s="4" t="s">
        <v>92</v>
      </c>
      <c r="G260" s="4" t="s">
        <v>91</v>
      </c>
    </row>
    <row r="261" spans="1:7" x14ac:dyDescent="0.2">
      <c r="A261" t="s">
        <v>41</v>
      </c>
      <c r="B261">
        <v>1</v>
      </c>
      <c r="C261">
        <v>1</v>
      </c>
      <c r="D261" s="2">
        <v>2.2269999999999999</v>
      </c>
      <c r="E261" s="2">
        <v>0</v>
      </c>
      <c r="F261" s="2">
        <f>(0.5/0.45)*D261</f>
        <v>2.4744444444444444</v>
      </c>
      <c r="G261" s="2">
        <f>100*E261/D261</f>
        <v>0</v>
      </c>
    </row>
    <row r="262" spans="1:7" x14ac:dyDescent="0.2">
      <c r="B262">
        <v>2</v>
      </c>
      <c r="C262">
        <v>2</v>
      </c>
      <c r="D262" s="2">
        <v>4.7329999999999997</v>
      </c>
      <c r="E262" s="2">
        <f>0.632+0.257</f>
        <v>0.88900000000000001</v>
      </c>
      <c r="F262" s="2">
        <f>(0.5/0.45)*D262</f>
        <v>5.2588888888888885</v>
      </c>
      <c r="G262" s="2">
        <f>100*E262/D262</f>
        <v>18.783012888231568</v>
      </c>
    </row>
    <row r="263" spans="1:7" x14ac:dyDescent="0.2">
      <c r="A263" t="s">
        <v>40</v>
      </c>
      <c r="B263">
        <v>3</v>
      </c>
      <c r="C263">
        <v>1</v>
      </c>
      <c r="D263" s="2">
        <v>5.2480000000000002</v>
      </c>
      <c r="E263" s="2">
        <f>0.676+0.3+0.15</f>
        <v>1.1259999999999999</v>
      </c>
      <c r="F263" s="2">
        <f>(0.5/0.45)*D263</f>
        <v>5.8311111111111114</v>
      </c>
      <c r="G263" s="2">
        <f>100*E263/D263</f>
        <v>21.455792682926827</v>
      </c>
    </row>
    <row r="264" spans="1:7" x14ac:dyDescent="0.2">
      <c r="B264">
        <v>4</v>
      </c>
      <c r="C264">
        <v>2</v>
      </c>
      <c r="D264" s="2">
        <v>1.6659999999999999</v>
      </c>
      <c r="E264" s="2">
        <v>0.41499999999999998</v>
      </c>
      <c r="F264" s="2">
        <f>(0.5/0.45)*D264</f>
        <v>1.8511111111111112</v>
      </c>
      <c r="G264" s="2">
        <f>100*E264/D264</f>
        <v>24.909963985594239</v>
      </c>
    </row>
    <row r="265" spans="1:7" x14ac:dyDescent="0.2">
      <c r="B265">
        <v>5</v>
      </c>
      <c r="C265">
        <v>3</v>
      </c>
      <c r="D265" s="2">
        <v>7.6349999999999998</v>
      </c>
      <c r="E265" s="2">
        <v>0.20699999999999999</v>
      </c>
      <c r="F265" s="2">
        <f>(0.5/0.45)*D265</f>
        <v>8.4833333333333343</v>
      </c>
      <c r="G265" s="2">
        <f>100*E265/D265</f>
        <v>2.7111984282907664</v>
      </c>
    </row>
    <row r="266" spans="1:7" x14ac:dyDescent="0.2">
      <c r="B266">
        <v>6</v>
      </c>
      <c r="C266">
        <v>4</v>
      </c>
      <c r="D266" s="2">
        <v>2.6019999999999999</v>
      </c>
      <c r="E266" s="2">
        <v>0.45100000000000001</v>
      </c>
      <c r="F266" s="2">
        <f>(0.5/0.45)*D266</f>
        <v>2.891111111111111</v>
      </c>
      <c r="G266" s="2">
        <f>100*E266/D266</f>
        <v>17.33282090699462</v>
      </c>
    </row>
    <row r="267" spans="1:7" x14ac:dyDescent="0.2">
      <c r="B267">
        <v>7</v>
      </c>
      <c r="C267">
        <v>5</v>
      </c>
      <c r="D267" s="2">
        <v>6.0010000000000003</v>
      </c>
      <c r="E267" s="2">
        <f>0.337+0.337</f>
        <v>0.67400000000000004</v>
      </c>
      <c r="F267" s="2">
        <f>(0.5/0.45)*D267</f>
        <v>6.6677777777777782</v>
      </c>
      <c r="G267" s="2">
        <f>100*E267/D267</f>
        <v>11.231461423096151</v>
      </c>
    </row>
    <row r="268" spans="1:7" x14ac:dyDescent="0.2">
      <c r="B268">
        <v>8</v>
      </c>
      <c r="C268">
        <v>6</v>
      </c>
      <c r="D268" s="2">
        <v>2.012</v>
      </c>
      <c r="E268" s="2">
        <v>0.43</v>
      </c>
      <c r="F268" s="2">
        <f>(0.5/0.45)*D268</f>
        <v>2.2355555555555555</v>
      </c>
      <c r="G268" s="2">
        <f>100*E268/D268</f>
        <v>21.371769383697814</v>
      </c>
    </row>
    <row r="269" spans="1:7" x14ac:dyDescent="0.2">
      <c r="A269" t="s">
        <v>37</v>
      </c>
      <c r="B269">
        <v>9</v>
      </c>
      <c r="C269">
        <v>1</v>
      </c>
      <c r="D269" s="2">
        <v>3.0009999999999999</v>
      </c>
      <c r="E269" s="2">
        <f>0.236+0.377</f>
        <v>0.61299999999999999</v>
      </c>
      <c r="F269" s="2">
        <f>(0.5/0.45)*D269</f>
        <v>3.3344444444444443</v>
      </c>
      <c r="G269" s="2">
        <f>100*E269/D269</f>
        <v>20.426524491836055</v>
      </c>
    </row>
    <row r="270" spans="1:7" x14ac:dyDescent="0.2">
      <c r="B270">
        <v>10</v>
      </c>
      <c r="C270">
        <v>2</v>
      </c>
      <c r="D270" s="2">
        <v>2.1440000000000001</v>
      </c>
      <c r="E270" s="2">
        <f>0.428+0.148</f>
        <v>0.57599999999999996</v>
      </c>
      <c r="F270" s="2">
        <f>(0.5/0.45)*D270</f>
        <v>2.3822222222222225</v>
      </c>
      <c r="G270" s="2">
        <f>100*E270/D270</f>
        <v>26.865671641791039</v>
      </c>
    </row>
    <row r="271" spans="1:7" x14ac:dyDescent="0.2">
      <c r="B271">
        <v>11</v>
      </c>
      <c r="C271">
        <v>3</v>
      </c>
      <c r="D271" s="2">
        <v>5.3179999999999996</v>
      </c>
      <c r="E271" s="2">
        <f>0.546+0.232+0.201+0.144</f>
        <v>1.123</v>
      </c>
      <c r="F271" s="2">
        <f>(0.5/0.45)*D271</f>
        <v>5.9088888888888889</v>
      </c>
      <c r="G271" s="2">
        <f>100*E271/D271</f>
        <v>21.116961263632945</v>
      </c>
    </row>
    <row r="272" spans="1:7" x14ac:dyDescent="0.2">
      <c r="B272">
        <v>12</v>
      </c>
      <c r="C272">
        <v>4</v>
      </c>
      <c r="D272" s="2">
        <v>5.2130000000000001</v>
      </c>
      <c r="E272" s="2">
        <f>0.531+0.272+0.173+0.269</f>
        <v>1.2450000000000001</v>
      </c>
      <c r="F272" s="2">
        <f>(0.5/0.45)*D272</f>
        <v>5.7922222222222226</v>
      </c>
      <c r="G272" s="2">
        <f>100*E272/D272</f>
        <v>23.882601189334359</v>
      </c>
    </row>
    <row r="273" spans="1:7" x14ac:dyDescent="0.2">
      <c r="B273">
        <v>13</v>
      </c>
      <c r="C273">
        <v>5</v>
      </c>
      <c r="D273" s="2">
        <v>3.5880000000000001</v>
      </c>
      <c r="E273" s="2">
        <f>0.625+0.484+0.208</f>
        <v>1.3169999999999999</v>
      </c>
      <c r="F273" s="2">
        <f>(0.5/0.45)*D273</f>
        <v>3.9866666666666668</v>
      </c>
      <c r="G273" s="2">
        <f>100*E273/D273</f>
        <v>36.705685618729092</v>
      </c>
    </row>
    <row r="274" spans="1:7" x14ac:dyDescent="0.2">
      <c r="B274">
        <v>14</v>
      </c>
      <c r="C274">
        <v>6</v>
      </c>
      <c r="D274" s="2">
        <v>2.319</v>
      </c>
      <c r="E274" s="2">
        <f>0.29+0.735</f>
        <v>1.0249999999999999</v>
      </c>
      <c r="F274" s="2">
        <f>(0.5/0.45)*D274</f>
        <v>2.5766666666666667</v>
      </c>
      <c r="G274" s="2">
        <f>100*E274/D274</f>
        <v>44.200086244070718</v>
      </c>
    </row>
    <row r="275" spans="1:7" x14ac:dyDescent="0.2">
      <c r="B275">
        <v>15</v>
      </c>
      <c r="C275">
        <v>7</v>
      </c>
      <c r="D275" s="2">
        <v>1.36</v>
      </c>
      <c r="E275" s="2">
        <v>0.27400000000000002</v>
      </c>
      <c r="F275" s="2">
        <f>(0.5/0.45)*D275</f>
        <v>1.5111111111111113</v>
      </c>
      <c r="G275" s="2">
        <f>100*E275/D275</f>
        <v>20.147058823529413</v>
      </c>
    </row>
    <row r="276" spans="1:7" x14ac:dyDescent="0.2">
      <c r="B276">
        <v>16</v>
      </c>
      <c r="C276">
        <v>8</v>
      </c>
      <c r="D276" s="2">
        <v>2.0249999999999999</v>
      </c>
      <c r="E276" s="2">
        <v>0.65500000000000003</v>
      </c>
      <c r="F276" s="2">
        <f>(0.5/0.45)*D276</f>
        <v>2.25</v>
      </c>
      <c r="G276" s="2">
        <f>100*E276/D276</f>
        <v>32.345679012345677</v>
      </c>
    </row>
    <row r="277" spans="1:7" x14ac:dyDescent="0.2">
      <c r="B277">
        <v>17</v>
      </c>
      <c r="C277">
        <v>9</v>
      </c>
      <c r="D277" s="2">
        <v>1.274</v>
      </c>
      <c r="E277" s="2">
        <v>0.56899999999999995</v>
      </c>
      <c r="F277" s="2">
        <f>(0.5/0.45)*D277</f>
        <v>1.4155555555555557</v>
      </c>
      <c r="G277" s="2">
        <f>100*E277/D277</f>
        <v>44.662480376766084</v>
      </c>
    </row>
    <row r="278" spans="1:7" x14ac:dyDescent="0.2">
      <c r="A278" t="s">
        <v>36</v>
      </c>
      <c r="B278">
        <v>18</v>
      </c>
      <c r="C278">
        <v>1</v>
      </c>
      <c r="D278" s="2">
        <v>2.2410000000000001</v>
      </c>
      <c r="E278" s="2">
        <f>0.349+0.329</f>
        <v>0.67799999999999994</v>
      </c>
      <c r="F278" s="2">
        <f>(0.5/0.45)*D278</f>
        <v>2.4900000000000002</v>
      </c>
      <c r="G278" s="2">
        <f>100*E278/D278</f>
        <v>30.254350736278443</v>
      </c>
    </row>
    <row r="279" spans="1:7" x14ac:dyDescent="0.2">
      <c r="B279">
        <v>19</v>
      </c>
      <c r="C279">
        <v>2</v>
      </c>
      <c r="D279" s="2">
        <v>1.1399999999999999</v>
      </c>
      <c r="E279" s="2">
        <v>0.28100000000000003</v>
      </c>
      <c r="F279" s="2">
        <f>(0.5/0.45)*D279</f>
        <v>1.2666666666666666</v>
      </c>
      <c r="G279" s="2">
        <f>100*E279/D279</f>
        <v>24.649122807017548</v>
      </c>
    </row>
    <row r="280" spans="1:7" x14ac:dyDescent="0.2">
      <c r="B280">
        <v>20</v>
      </c>
      <c r="C280">
        <v>3</v>
      </c>
      <c r="D280" s="2">
        <v>1.137</v>
      </c>
      <c r="E280" s="2">
        <f>0.145+0.414</f>
        <v>0.55899999999999994</v>
      </c>
      <c r="F280" s="2">
        <f>(0.5/0.45)*D280</f>
        <v>1.2633333333333334</v>
      </c>
      <c r="G280" s="2">
        <f>100*E280/D280</f>
        <v>49.164467897977126</v>
      </c>
    </row>
    <row r="281" spans="1:7" x14ac:dyDescent="0.2">
      <c r="B281">
        <v>21</v>
      </c>
      <c r="C281">
        <v>4</v>
      </c>
      <c r="D281" s="2">
        <v>4.4649999999999999</v>
      </c>
      <c r="E281" s="2">
        <f>0.552+0.278</f>
        <v>0.83000000000000007</v>
      </c>
      <c r="F281" s="2">
        <f>(0.5/0.45)*D281</f>
        <v>4.9611111111111112</v>
      </c>
      <c r="G281" s="2">
        <f>100*E281/D281</f>
        <v>18.58902575587906</v>
      </c>
    </row>
    <row r="282" spans="1:7" x14ac:dyDescent="0.2">
      <c r="B282">
        <v>22</v>
      </c>
      <c r="C282">
        <v>5</v>
      </c>
      <c r="D282" s="2">
        <v>2.8580000000000001</v>
      </c>
      <c r="E282" s="2">
        <f>0.784+0.22+0.207</f>
        <v>1.2110000000000001</v>
      </c>
      <c r="F282" s="2">
        <f>(0.5/0.45)*D282</f>
        <v>3.1755555555555559</v>
      </c>
      <c r="G282" s="2">
        <f>100*E282/D282</f>
        <v>42.372288313505948</v>
      </c>
    </row>
    <row r="283" spans="1:7" x14ac:dyDescent="0.2">
      <c r="B283">
        <v>23</v>
      </c>
      <c r="C283">
        <v>6</v>
      </c>
      <c r="D283" s="2">
        <v>3.8769999999999998</v>
      </c>
      <c r="E283" s="2">
        <f>0.516+1.116</f>
        <v>1.6320000000000001</v>
      </c>
      <c r="F283" s="2">
        <f>(0.5/0.45)*D283</f>
        <v>4.3077777777777779</v>
      </c>
      <c r="G283" s="2">
        <f>100*E283/D283</f>
        <v>42.094402888831574</v>
      </c>
    </row>
    <row r="284" spans="1:7" x14ac:dyDescent="0.2">
      <c r="A284" t="s">
        <v>35</v>
      </c>
      <c r="B284">
        <v>24</v>
      </c>
      <c r="C284">
        <v>1</v>
      </c>
      <c r="D284" s="2">
        <v>5.734</v>
      </c>
      <c r="E284" s="2">
        <f>0.883+0.777+0.299</f>
        <v>1.9590000000000001</v>
      </c>
      <c r="F284" s="2">
        <f>(0.5/0.45)*D284</f>
        <v>6.3711111111111114</v>
      </c>
      <c r="G284" s="2">
        <f>100*E284/D284</f>
        <v>34.164632019532611</v>
      </c>
    </row>
    <row r="285" spans="1:7" x14ac:dyDescent="0.2">
      <c r="B285">
        <v>25</v>
      </c>
      <c r="C285">
        <v>2</v>
      </c>
      <c r="D285" s="2">
        <v>1.4810000000000001</v>
      </c>
      <c r="E285" s="2">
        <v>0.20899999999999999</v>
      </c>
      <c r="F285" s="2">
        <f>(0.5/0.45)*D285</f>
        <v>1.6455555555555557</v>
      </c>
      <c r="G285" s="2">
        <f>100*E285/D285</f>
        <v>14.112086428089126</v>
      </c>
    </row>
    <row r="286" spans="1:7" x14ac:dyDescent="0.2">
      <c r="B286">
        <v>26</v>
      </c>
      <c r="C286">
        <v>3</v>
      </c>
      <c r="D286" s="2">
        <v>4.0640000000000001</v>
      </c>
      <c r="E286" s="2">
        <f>0.41+1.216+0.089</f>
        <v>1.7149999999999999</v>
      </c>
      <c r="F286" s="2">
        <f>(0.5/0.45)*D286</f>
        <v>4.5155555555555562</v>
      </c>
      <c r="G286" s="2">
        <f>100*E286/D286</f>
        <v>42.199803149606296</v>
      </c>
    </row>
    <row r="287" spans="1:7" x14ac:dyDescent="0.2">
      <c r="B287">
        <v>27</v>
      </c>
      <c r="C287">
        <v>4</v>
      </c>
      <c r="D287" s="2">
        <v>1.4039999999999999</v>
      </c>
      <c r="E287" s="2">
        <v>0.16500000000000001</v>
      </c>
      <c r="F287" s="2">
        <f>(0.5/0.45)*D287</f>
        <v>1.56</v>
      </c>
      <c r="G287" s="2">
        <f>100*E287/D287</f>
        <v>11.752136752136753</v>
      </c>
    </row>
    <row r="288" spans="1:7" x14ac:dyDescent="0.2">
      <c r="A288" t="s">
        <v>34</v>
      </c>
      <c r="B288">
        <v>28</v>
      </c>
      <c r="C288">
        <v>1</v>
      </c>
      <c r="D288" s="2">
        <v>9.782</v>
      </c>
      <c r="E288" s="2">
        <f>0.57+0.355+0.625+0.43+0.493+0.254</f>
        <v>2.7269999999999999</v>
      </c>
      <c r="F288" s="2">
        <f>(0.5/0.45)*D288</f>
        <v>10.86888888888889</v>
      </c>
      <c r="G288" s="2">
        <f>100*E288/D288</f>
        <v>27.877734614598239</v>
      </c>
    </row>
    <row r="289" spans="1:7" x14ac:dyDescent="0.2">
      <c r="B289">
        <v>29</v>
      </c>
      <c r="C289">
        <v>2</v>
      </c>
      <c r="D289" s="2">
        <v>2.016</v>
      </c>
      <c r="E289" s="2">
        <f>0.257+0.381+0.201</f>
        <v>0.83899999999999997</v>
      </c>
      <c r="F289" s="2">
        <f>(0.5/0.45)*D289</f>
        <v>2.2400000000000002</v>
      </c>
      <c r="G289" s="2">
        <f>100*E289/D289</f>
        <v>41.617063492063487</v>
      </c>
    </row>
    <row r="290" spans="1:7" x14ac:dyDescent="0.2">
      <c r="B290">
        <v>30</v>
      </c>
      <c r="C290">
        <v>3</v>
      </c>
      <c r="D290" s="2">
        <v>2.1640000000000001</v>
      </c>
      <c r="E290" s="2">
        <f>0.264+0.127</f>
        <v>0.39100000000000001</v>
      </c>
      <c r="F290" s="2">
        <f>(0.5/0.45)*D290</f>
        <v>2.4044444444444446</v>
      </c>
      <c r="G290" s="2">
        <f>100*E290/D290</f>
        <v>18.068391866913124</v>
      </c>
    </row>
    <row r="291" spans="1:7" x14ac:dyDescent="0.2">
      <c r="B291">
        <v>31</v>
      </c>
      <c r="C291">
        <v>4</v>
      </c>
      <c r="D291" s="2">
        <v>1.524</v>
      </c>
      <c r="E291" s="2">
        <v>0.33200000000000002</v>
      </c>
      <c r="F291" s="2">
        <f>(0.5/0.45)*D291</f>
        <v>1.6933333333333334</v>
      </c>
      <c r="G291" s="2">
        <f>100*E291/D291</f>
        <v>21.784776902887142</v>
      </c>
    </row>
    <row r="292" spans="1:7" x14ac:dyDescent="0.2">
      <c r="A292" t="s">
        <v>33</v>
      </c>
      <c r="B292">
        <v>32</v>
      </c>
      <c r="C292">
        <v>1</v>
      </c>
      <c r="D292" s="2">
        <v>0.872</v>
      </c>
      <c r="E292" s="2">
        <v>0.193</v>
      </c>
      <c r="F292" s="2">
        <f>(0.5/0.45)*D292</f>
        <v>0.96888888888888891</v>
      </c>
      <c r="G292" s="2">
        <f>100*E292/D292</f>
        <v>22.13302752293578</v>
      </c>
    </row>
    <row r="293" spans="1:7" x14ac:dyDescent="0.2">
      <c r="B293">
        <v>33</v>
      </c>
      <c r="C293">
        <v>2</v>
      </c>
      <c r="D293" s="2">
        <v>1.5209999999999999</v>
      </c>
      <c r="E293" s="2">
        <v>0.89</v>
      </c>
      <c r="F293" s="2">
        <f>(0.5/0.45)*D293</f>
        <v>1.69</v>
      </c>
      <c r="G293" s="2">
        <f>100*E293/D293</f>
        <v>58.514135437212367</v>
      </c>
    </row>
    <row r="294" spans="1:7" x14ac:dyDescent="0.2">
      <c r="B294">
        <v>34</v>
      </c>
      <c r="C294">
        <v>3</v>
      </c>
      <c r="D294" s="2">
        <v>1.591</v>
      </c>
      <c r="E294" s="2">
        <v>0.16600000000000001</v>
      </c>
      <c r="F294" s="2">
        <f>(0.5/0.45)*D294</f>
        <v>1.7677777777777779</v>
      </c>
      <c r="G294" s="2">
        <f>100*E294/D294</f>
        <v>10.433689503456947</v>
      </c>
    </row>
    <row r="295" spans="1:7" x14ac:dyDescent="0.2">
      <c r="B295">
        <v>35</v>
      </c>
      <c r="C295">
        <v>4</v>
      </c>
      <c r="D295" s="2">
        <v>1.5089999999999999</v>
      </c>
      <c r="E295" s="2">
        <v>0.47</v>
      </c>
      <c r="F295" s="2">
        <f>(0.5/0.45)*D295</f>
        <v>1.6766666666666665</v>
      </c>
      <c r="G295" s="2">
        <f>100*E295/D295</f>
        <v>31.146454605699141</v>
      </c>
    </row>
    <row r="296" spans="1:7" x14ac:dyDescent="0.2">
      <c r="B296">
        <v>36</v>
      </c>
      <c r="C296">
        <v>5</v>
      </c>
      <c r="D296" s="2">
        <v>3.6320000000000001</v>
      </c>
      <c r="E296" s="2">
        <f>0.153+0.134+0.459+0.426+0.23</f>
        <v>1.4019999999999999</v>
      </c>
      <c r="F296" s="2">
        <f>(0.5/0.45)*D296</f>
        <v>4.0355555555555558</v>
      </c>
      <c r="G296" s="2">
        <f>100*E296/D296</f>
        <v>38.601321585903079</v>
      </c>
    </row>
    <row r="297" spans="1:7" x14ac:dyDescent="0.2">
      <c r="B297">
        <v>37</v>
      </c>
      <c r="C297">
        <v>6</v>
      </c>
      <c r="D297" s="2">
        <v>3.02</v>
      </c>
      <c r="E297" s="2">
        <f>1.27+0.183+0.139+0.084</f>
        <v>1.6760000000000002</v>
      </c>
      <c r="F297" s="2">
        <f>(0.5/0.45)*D297</f>
        <v>3.3555555555555556</v>
      </c>
      <c r="G297" s="2">
        <f>100*E297/D297</f>
        <v>55.496688741721862</v>
      </c>
    </row>
    <row r="298" spans="1:7" x14ac:dyDescent="0.2">
      <c r="B298">
        <v>38</v>
      </c>
      <c r="C298">
        <v>7</v>
      </c>
      <c r="D298" s="2">
        <v>1.827</v>
      </c>
      <c r="E298" s="2">
        <f>0.596+0.578</f>
        <v>1.1739999999999999</v>
      </c>
      <c r="F298" s="2">
        <f>(0.5/0.45)*D298</f>
        <v>2.0300000000000002</v>
      </c>
      <c r="G298" s="2">
        <f>100*E298/D298</f>
        <v>64.258347016967704</v>
      </c>
    </row>
    <row r="299" spans="1:7" x14ac:dyDescent="0.2">
      <c r="B299">
        <v>39</v>
      </c>
      <c r="C299">
        <v>8</v>
      </c>
      <c r="D299" s="2">
        <v>2.4550000000000001</v>
      </c>
      <c r="E299" s="2">
        <f>0.217+0.389+0.18+0.165</f>
        <v>0.95100000000000007</v>
      </c>
      <c r="F299" s="2">
        <f>(0.5/0.45)*D299</f>
        <v>2.7277777777777779</v>
      </c>
      <c r="G299" s="2">
        <f>100*E299/D299</f>
        <v>38.737270875763748</v>
      </c>
    </row>
    <row r="300" spans="1:7" x14ac:dyDescent="0.2">
      <c r="B300">
        <v>40</v>
      </c>
      <c r="C300">
        <v>9</v>
      </c>
      <c r="D300" s="2">
        <v>1.494</v>
      </c>
      <c r="E300" s="2">
        <f>0.478+0.114</f>
        <v>0.59199999999999997</v>
      </c>
      <c r="F300" s="2">
        <f>(0.5/0.45)*D300</f>
        <v>1.6600000000000001</v>
      </c>
      <c r="G300" s="2">
        <f>100*E300/D300</f>
        <v>39.625167336010705</v>
      </c>
    </row>
    <row r="301" spans="1:7" x14ac:dyDescent="0.2">
      <c r="A301" t="s">
        <v>32</v>
      </c>
      <c r="B301">
        <v>41</v>
      </c>
      <c r="C301">
        <v>1</v>
      </c>
      <c r="D301" s="2">
        <v>2.2959999999999998</v>
      </c>
      <c r="E301" s="2">
        <f>0.302+0.207+0.166</f>
        <v>0.67500000000000004</v>
      </c>
      <c r="F301" s="2">
        <f>(0.5/0.45)*D301</f>
        <v>2.5511111111111111</v>
      </c>
      <c r="G301" s="2">
        <f>100*E301/D301</f>
        <v>29.398954703832754</v>
      </c>
    </row>
    <row r="302" spans="1:7" x14ac:dyDescent="0.2">
      <c r="B302">
        <v>42</v>
      </c>
      <c r="C302">
        <v>2</v>
      </c>
      <c r="D302" s="2">
        <v>2.0790000000000002</v>
      </c>
      <c r="E302" s="2">
        <f>0.245+0.248</f>
        <v>0.49299999999999999</v>
      </c>
      <c r="F302" s="2">
        <f>(0.5/0.45)*D302</f>
        <v>2.3100000000000005</v>
      </c>
      <c r="G302" s="2">
        <f>100*E302/D302</f>
        <v>23.71332371332371</v>
      </c>
    </row>
    <row r="303" spans="1:7" x14ac:dyDescent="0.2">
      <c r="B303">
        <v>43</v>
      </c>
      <c r="C303">
        <v>3</v>
      </c>
      <c r="D303" s="2">
        <v>1.5529999999999999</v>
      </c>
      <c r="E303" s="2">
        <v>0.23</v>
      </c>
      <c r="F303" s="2">
        <f>(0.5/0.45)*D303</f>
        <v>1.7255555555555555</v>
      </c>
      <c r="G303" s="2">
        <f>100*E303/D303</f>
        <v>14.810045074050226</v>
      </c>
    </row>
    <row r="304" spans="1:7" x14ac:dyDescent="0.2">
      <c r="B304">
        <v>44</v>
      </c>
      <c r="C304">
        <v>4</v>
      </c>
      <c r="D304" s="2">
        <v>1.53</v>
      </c>
      <c r="E304" s="2">
        <v>0.17100000000000001</v>
      </c>
      <c r="F304" s="2">
        <f>(0.5/0.45)*D304</f>
        <v>1.7000000000000002</v>
      </c>
      <c r="G304" s="2">
        <f>100*E304/D304</f>
        <v>11.176470588235295</v>
      </c>
    </row>
    <row r="305" spans="1:7" x14ac:dyDescent="0.2">
      <c r="B305">
        <v>45</v>
      </c>
      <c r="C305">
        <v>5</v>
      </c>
      <c r="D305" s="2">
        <v>5.2469999999999999</v>
      </c>
      <c r="E305" s="2">
        <f>0.404+0.185</f>
        <v>0.58899999999999997</v>
      </c>
      <c r="F305" s="2">
        <f>(0.5/0.45)*D305</f>
        <v>5.83</v>
      </c>
      <c r="G305" s="2">
        <f>100*E305/D305</f>
        <v>11.225462168858396</v>
      </c>
    </row>
    <row r="306" spans="1:7" x14ac:dyDescent="0.2">
      <c r="B306">
        <v>46</v>
      </c>
      <c r="C306">
        <v>6</v>
      </c>
      <c r="D306" s="2">
        <v>1.2250000000000001</v>
      </c>
      <c r="E306" s="2">
        <v>0.151</v>
      </c>
      <c r="F306" s="2">
        <f>(0.5/0.45)*D306</f>
        <v>1.3611111111111112</v>
      </c>
      <c r="G306" s="2">
        <f>100*E306/D306</f>
        <v>12.326530612244897</v>
      </c>
    </row>
    <row r="307" spans="1:7" x14ac:dyDescent="0.2">
      <c r="B307">
        <v>47</v>
      </c>
      <c r="C307">
        <v>7</v>
      </c>
      <c r="D307" s="2">
        <v>2.2490000000000001</v>
      </c>
      <c r="E307" s="2">
        <f>0.622+0.289+0.153</f>
        <v>1.0640000000000001</v>
      </c>
      <c r="F307" s="2">
        <f>(0.5/0.45)*D307</f>
        <v>2.4988888888888892</v>
      </c>
      <c r="G307" s="2">
        <f>100*E307/D307</f>
        <v>47.309915518008005</v>
      </c>
    </row>
    <row r="308" spans="1:7" x14ac:dyDescent="0.2">
      <c r="A308" t="s">
        <v>31</v>
      </c>
      <c r="B308">
        <v>48</v>
      </c>
      <c r="C308">
        <v>1</v>
      </c>
      <c r="D308" s="2">
        <v>1.976</v>
      </c>
      <c r="E308" s="2">
        <f>0.71+0.14</f>
        <v>0.85</v>
      </c>
      <c r="F308" s="2">
        <f>(0.5/0.45)*D308</f>
        <v>2.1955555555555555</v>
      </c>
      <c r="G308" s="2">
        <f>100*E308/D308</f>
        <v>43.016194331983804</v>
      </c>
    </row>
    <row r="309" spans="1:7" x14ac:dyDescent="0.2">
      <c r="B309">
        <v>49</v>
      </c>
      <c r="C309">
        <v>2</v>
      </c>
      <c r="D309" s="2">
        <v>1.526</v>
      </c>
      <c r="E309" s="2">
        <f>0.147+0.122</f>
        <v>0.26900000000000002</v>
      </c>
      <c r="F309" s="2">
        <f>(0.5/0.45)*D309</f>
        <v>1.6955555555555557</v>
      </c>
      <c r="G309" s="2">
        <f>100*E309/D309</f>
        <v>17.627785058977722</v>
      </c>
    </row>
    <row r="310" spans="1:7" x14ac:dyDescent="0.2">
      <c r="B310">
        <v>50</v>
      </c>
      <c r="C310">
        <v>3</v>
      </c>
      <c r="D310" s="2">
        <v>1.8680000000000001</v>
      </c>
      <c r="E310" s="2">
        <v>0.71199999999999997</v>
      </c>
      <c r="F310" s="2">
        <f>(0.5/0.45)*D310</f>
        <v>2.0755555555555558</v>
      </c>
      <c r="G310" s="2">
        <f>100*E310/D310</f>
        <v>38.115631691648822</v>
      </c>
    </row>
    <row r="311" spans="1:7" x14ac:dyDescent="0.2">
      <c r="B311">
        <v>51</v>
      </c>
      <c r="C311">
        <v>4</v>
      </c>
      <c r="D311" s="2">
        <v>2.1949999999999998</v>
      </c>
      <c r="E311" s="2">
        <v>0</v>
      </c>
      <c r="F311" s="2">
        <f>(0.5/0.45)*D311</f>
        <v>2.4388888888888887</v>
      </c>
      <c r="G311" s="2">
        <f>100*E311/D311</f>
        <v>0</v>
      </c>
    </row>
    <row r="312" spans="1:7" x14ac:dyDescent="0.2">
      <c r="B312">
        <v>52</v>
      </c>
      <c r="C312">
        <v>5</v>
      </c>
      <c r="D312" s="2">
        <v>1.2170000000000001</v>
      </c>
      <c r="E312" s="2">
        <v>0.30599999999999999</v>
      </c>
      <c r="F312" s="2">
        <f>(0.5/0.45)*D312</f>
        <v>1.3522222222222224</v>
      </c>
      <c r="G312" s="2">
        <f>100*E312/D312</f>
        <v>25.143796220213638</v>
      </c>
    </row>
    <row r="313" spans="1:7" x14ac:dyDescent="0.2">
      <c r="B313">
        <v>53</v>
      </c>
      <c r="C313">
        <v>6</v>
      </c>
      <c r="D313" s="2">
        <v>1.3220000000000001</v>
      </c>
      <c r="E313" s="2">
        <v>0.27600000000000002</v>
      </c>
      <c r="F313" s="2">
        <f>(0.5/0.45)*D313</f>
        <v>1.4688888888888891</v>
      </c>
      <c r="G313" s="2">
        <f>100*E313/D313</f>
        <v>20.877458396369139</v>
      </c>
    </row>
    <row r="314" spans="1:7" x14ac:dyDescent="0.2">
      <c r="B314">
        <v>54</v>
      </c>
      <c r="C314">
        <v>7</v>
      </c>
      <c r="D314" s="2">
        <v>1.2929999999999999</v>
      </c>
      <c r="E314" s="2">
        <f>0.127+0.125</f>
        <v>0.252</v>
      </c>
      <c r="F314" s="2">
        <f>(0.5/0.45)*D314</f>
        <v>1.4366666666666668</v>
      </c>
      <c r="G314" s="2">
        <f>100*E314/D314</f>
        <v>19.48955916473318</v>
      </c>
    </row>
    <row r="315" spans="1:7" x14ac:dyDescent="0.2">
      <c r="B315">
        <v>55</v>
      </c>
      <c r="C315">
        <v>8</v>
      </c>
      <c r="D315" s="2">
        <v>1.36</v>
      </c>
      <c r="E315" s="2">
        <v>0.95399999999999996</v>
      </c>
      <c r="F315" s="2">
        <f>(0.5/0.45)*D315</f>
        <v>1.5111111111111113</v>
      </c>
      <c r="G315" s="2">
        <f>100*E315/D315</f>
        <v>70.147058823529406</v>
      </c>
    </row>
    <row r="316" spans="1:7" x14ac:dyDescent="0.2">
      <c r="B316">
        <v>56</v>
      </c>
      <c r="C316">
        <v>9</v>
      </c>
      <c r="D316" s="2">
        <v>1.236</v>
      </c>
      <c r="E316" s="2">
        <f>0.148+0.378</f>
        <v>0.52600000000000002</v>
      </c>
      <c r="F316" s="2">
        <f>(0.5/0.45)*D316</f>
        <v>1.3733333333333333</v>
      </c>
      <c r="G316" s="2">
        <f>100*E316/D316</f>
        <v>42.556634304207122</v>
      </c>
    </row>
    <row r="317" spans="1:7" x14ac:dyDescent="0.2">
      <c r="B317">
        <v>57</v>
      </c>
      <c r="C317">
        <v>10</v>
      </c>
      <c r="D317" s="2">
        <v>0.94599999999999995</v>
      </c>
      <c r="E317" s="2">
        <v>0</v>
      </c>
      <c r="F317" s="2">
        <f>(0.5/0.45)*D317</f>
        <v>1.0511111111111111</v>
      </c>
      <c r="G317" s="2">
        <f>100*E317/D317</f>
        <v>0</v>
      </c>
    </row>
    <row r="318" spans="1:7" x14ac:dyDescent="0.2">
      <c r="B318">
        <v>58</v>
      </c>
      <c r="C318">
        <v>11</v>
      </c>
      <c r="D318" s="2">
        <v>1.0189999999999999</v>
      </c>
      <c r="E318" s="2">
        <f>0.22+0.068</f>
        <v>0.28800000000000003</v>
      </c>
      <c r="F318" s="2">
        <f>(0.5/0.45)*D318</f>
        <v>1.1322222222222222</v>
      </c>
      <c r="G318" s="2">
        <f>100*E318/D318</f>
        <v>28.263002944062812</v>
      </c>
    </row>
    <row r="319" spans="1:7" x14ac:dyDescent="0.2">
      <c r="B319">
        <v>59</v>
      </c>
      <c r="C319">
        <v>12</v>
      </c>
      <c r="D319" s="2">
        <v>1.647</v>
      </c>
      <c r="E319" s="2">
        <v>0.13200000000000001</v>
      </c>
      <c r="F319" s="2">
        <f>(0.5/0.45)*D319</f>
        <v>1.83</v>
      </c>
      <c r="G319" s="2">
        <f>100*E319/D319</f>
        <v>8.0145719489981797</v>
      </c>
    </row>
    <row r="320" spans="1:7" x14ac:dyDescent="0.2">
      <c r="A320" t="s">
        <v>30</v>
      </c>
      <c r="B320">
        <v>60</v>
      </c>
      <c r="C320">
        <v>1</v>
      </c>
      <c r="D320" s="2">
        <v>2.633</v>
      </c>
      <c r="E320" s="2">
        <v>0.747</v>
      </c>
      <c r="F320" s="2">
        <f>(0.5/0.45)*D320</f>
        <v>2.9255555555555559</v>
      </c>
      <c r="G320" s="2">
        <f>100*E320/D320</f>
        <v>28.370679832890239</v>
      </c>
    </row>
    <row r="321" spans="1:7" x14ac:dyDescent="0.2">
      <c r="B321">
        <v>61</v>
      </c>
      <c r="C321">
        <v>2</v>
      </c>
      <c r="D321" s="2">
        <v>2.125</v>
      </c>
      <c r="E321" s="2">
        <v>0.17599999999999999</v>
      </c>
      <c r="F321" s="2">
        <f>(0.5/0.45)*D321</f>
        <v>2.3611111111111112</v>
      </c>
      <c r="G321" s="2">
        <f>100*E321/D321</f>
        <v>8.2823529411764696</v>
      </c>
    </row>
    <row r="322" spans="1:7" x14ac:dyDescent="0.2">
      <c r="B322">
        <v>62</v>
      </c>
      <c r="C322">
        <v>3</v>
      </c>
      <c r="D322" s="2">
        <v>2.8580000000000001</v>
      </c>
      <c r="E322" s="2">
        <v>0.53</v>
      </c>
      <c r="F322" s="2">
        <f>(0.5/0.45)*D322</f>
        <v>3.1755555555555559</v>
      </c>
      <c r="G322" s="2">
        <f>100*E322/D322</f>
        <v>18.5444366689993</v>
      </c>
    </row>
    <row r="323" spans="1:7" x14ac:dyDescent="0.2">
      <c r="B323">
        <v>63</v>
      </c>
      <c r="C323">
        <v>4</v>
      </c>
      <c r="D323" s="2">
        <v>7.26</v>
      </c>
      <c r="E323" s="2">
        <f>0.469+0.501</f>
        <v>0.97</v>
      </c>
      <c r="F323" s="2">
        <f>(0.5/0.45)*D323</f>
        <v>8.0666666666666664</v>
      </c>
      <c r="G323" s="2">
        <f>100*E323/D323</f>
        <v>13.360881542699724</v>
      </c>
    </row>
    <row r="324" spans="1:7" x14ac:dyDescent="0.2">
      <c r="B324">
        <v>64</v>
      </c>
      <c r="C324">
        <v>5</v>
      </c>
      <c r="D324" s="2">
        <v>2.512</v>
      </c>
      <c r="E324" s="2">
        <f>0.486+0.411</f>
        <v>0.89700000000000002</v>
      </c>
      <c r="F324" s="2">
        <f>(0.5/0.45)*D324</f>
        <v>2.7911111111111113</v>
      </c>
      <c r="G324" s="2">
        <f>100*E324/D324</f>
        <v>35.708598726114651</v>
      </c>
    </row>
    <row r="325" spans="1:7" x14ac:dyDescent="0.2">
      <c r="B325">
        <v>65</v>
      </c>
      <c r="C325">
        <v>6</v>
      </c>
      <c r="D325" s="2">
        <v>3.4929999999999999</v>
      </c>
      <c r="E325" s="2">
        <v>0.307</v>
      </c>
      <c r="F325" s="2">
        <f>(0.5/0.45)*D325</f>
        <v>3.8811111111111112</v>
      </c>
      <c r="G325" s="2">
        <f>100*E325/D325</f>
        <v>8.7890065845977663</v>
      </c>
    </row>
    <row r="326" spans="1:7" x14ac:dyDescent="0.2">
      <c r="B326">
        <v>66</v>
      </c>
      <c r="C326">
        <v>7</v>
      </c>
      <c r="D326" s="2">
        <v>1.982</v>
      </c>
      <c r="E326" s="2">
        <v>1.0229999999999999</v>
      </c>
      <c r="F326" s="2">
        <f>(0.5/0.45)*D326</f>
        <v>2.2022222222222223</v>
      </c>
      <c r="G326" s="2">
        <f>100*E326/D326</f>
        <v>51.614530776992936</v>
      </c>
    </row>
    <row r="327" spans="1:7" x14ac:dyDescent="0.2">
      <c r="B327">
        <v>67</v>
      </c>
      <c r="C327">
        <v>8</v>
      </c>
      <c r="D327" s="2">
        <v>3.7170000000000001</v>
      </c>
      <c r="E327" s="2">
        <f>0.215+0.186+0.235+0.186</f>
        <v>0.82200000000000006</v>
      </c>
      <c r="F327" s="2">
        <f>(0.5/0.45)*D327</f>
        <v>4.13</v>
      </c>
      <c r="G327" s="2">
        <f>100*E327/D327</f>
        <v>22.114608555286523</v>
      </c>
    </row>
    <row r="328" spans="1:7" x14ac:dyDescent="0.2">
      <c r="A328" t="s">
        <v>29</v>
      </c>
      <c r="B328">
        <v>68</v>
      </c>
      <c r="C328">
        <v>1</v>
      </c>
      <c r="D328" s="2">
        <v>1.9510000000000001</v>
      </c>
      <c r="E328" s="2">
        <f>0.159+0.132+0.209+0.221</f>
        <v>0.72099999999999997</v>
      </c>
      <c r="F328" s="2">
        <f>(0.5/0.45)*D328</f>
        <v>2.1677777777777778</v>
      </c>
      <c r="G328" s="2">
        <f>100*E328/D328</f>
        <v>36.955407483341872</v>
      </c>
    </row>
    <row r="329" spans="1:7" x14ac:dyDescent="0.2">
      <c r="B329">
        <v>69</v>
      </c>
      <c r="C329">
        <v>2</v>
      </c>
      <c r="D329" s="2">
        <v>3.621</v>
      </c>
      <c r="E329" s="2">
        <f>0.491+0.616+0.068+0.284+0.127</f>
        <v>1.5860000000000001</v>
      </c>
      <c r="F329" s="2">
        <f>(0.5/0.45)*D329</f>
        <v>4.0233333333333334</v>
      </c>
      <c r="G329" s="2">
        <f>100*E329/D329</f>
        <v>43.800055233360951</v>
      </c>
    </row>
    <row r="330" spans="1:7" x14ac:dyDescent="0.2">
      <c r="B330">
        <v>70</v>
      </c>
      <c r="C330">
        <v>3</v>
      </c>
      <c r="D330" s="2">
        <v>2.222</v>
      </c>
      <c r="E330" s="2">
        <f>0.581+0.166+0.39</f>
        <v>1.137</v>
      </c>
      <c r="F330" s="2">
        <f>(0.5/0.45)*D330</f>
        <v>2.4688888888888889</v>
      </c>
      <c r="G330" s="2">
        <f>100*E330/D330</f>
        <v>51.170117011701173</v>
      </c>
    </row>
    <row r="331" spans="1:7" x14ac:dyDescent="0.2">
      <c r="B331">
        <v>71</v>
      </c>
      <c r="C331">
        <v>4</v>
      </c>
      <c r="D331" s="2">
        <v>1.605</v>
      </c>
      <c r="E331" s="2">
        <f>0.295+1.111</f>
        <v>1.4059999999999999</v>
      </c>
      <c r="F331" s="2">
        <f>(0.5/0.45)*D331</f>
        <v>1.7833333333333334</v>
      </c>
      <c r="G331" s="2">
        <f>100*E331/D331</f>
        <v>87.601246105919003</v>
      </c>
    </row>
    <row r="332" spans="1:7" x14ac:dyDescent="0.2">
      <c r="B332">
        <v>72</v>
      </c>
      <c r="C332">
        <v>5</v>
      </c>
      <c r="D332" s="2">
        <v>1.849</v>
      </c>
      <c r="E332" s="2">
        <f>0.865+0.721</f>
        <v>1.5859999999999999</v>
      </c>
      <c r="F332" s="2">
        <f>(0.5/0.45)*D332</f>
        <v>2.0544444444444445</v>
      </c>
      <c r="G332" s="2">
        <f>100*E332/D332</f>
        <v>85.776095186587341</v>
      </c>
    </row>
    <row r="333" spans="1:7" x14ac:dyDescent="0.2">
      <c r="A333" t="s">
        <v>28</v>
      </c>
      <c r="B333">
        <v>73</v>
      </c>
      <c r="C333">
        <v>1</v>
      </c>
      <c r="D333" s="2">
        <v>2.766</v>
      </c>
      <c r="E333" s="2">
        <f>0.087+0.371+0.118</f>
        <v>0.57599999999999996</v>
      </c>
      <c r="F333" s="2">
        <f>(0.5/0.45)*D333</f>
        <v>3.0733333333333337</v>
      </c>
      <c r="G333" s="2">
        <f>100*E333/D333</f>
        <v>20.824295010845987</v>
      </c>
    </row>
    <row r="334" spans="1:7" x14ac:dyDescent="0.2">
      <c r="B334">
        <v>74</v>
      </c>
      <c r="C334">
        <v>2</v>
      </c>
      <c r="D334" s="2">
        <v>2.0059999999999998</v>
      </c>
      <c r="E334" s="2">
        <v>0.50800000000000001</v>
      </c>
      <c r="F334" s="2">
        <f>(0.5/0.45)*D334</f>
        <v>2.2288888888888887</v>
      </c>
      <c r="G334" s="2">
        <f>100*E334/D334</f>
        <v>25.324027916251246</v>
      </c>
    </row>
    <row r="335" spans="1:7" x14ac:dyDescent="0.2">
      <c r="B335">
        <v>75</v>
      </c>
      <c r="C335">
        <v>3</v>
      </c>
      <c r="D335" s="2">
        <v>1.127</v>
      </c>
      <c r="E335" s="2">
        <v>0.68300000000000005</v>
      </c>
      <c r="F335" s="2">
        <f>(0.5/0.45)*D335</f>
        <v>1.2522222222222223</v>
      </c>
      <c r="G335" s="2">
        <f>100*E335/D335</f>
        <v>60.603371783496016</v>
      </c>
    </row>
    <row r="336" spans="1:7" x14ac:dyDescent="0.2">
      <c r="B336">
        <v>76</v>
      </c>
      <c r="C336">
        <v>4</v>
      </c>
      <c r="D336" s="2">
        <v>1.1870000000000001</v>
      </c>
      <c r="E336" s="2">
        <v>0.29899999999999999</v>
      </c>
      <c r="F336" s="2">
        <f>(0.5/0.45)*D336</f>
        <v>1.318888888888889</v>
      </c>
      <c r="G336" s="2">
        <f>100*E336/D336</f>
        <v>25.189553496208926</v>
      </c>
    </row>
    <row r="337" spans="1:7" x14ac:dyDescent="0.2">
      <c r="B337">
        <v>77</v>
      </c>
      <c r="C337">
        <v>5</v>
      </c>
      <c r="D337" s="2">
        <v>2.7559999999999998</v>
      </c>
      <c r="E337" s="2">
        <f>0.306+0.212+0.113</f>
        <v>0.63100000000000001</v>
      </c>
      <c r="F337" s="2">
        <f>(0.5/0.45)*D337</f>
        <v>3.0622222222222222</v>
      </c>
      <c r="G337" s="2">
        <f>100*E337/D337</f>
        <v>22.895500725689406</v>
      </c>
    </row>
    <row r="338" spans="1:7" x14ac:dyDescent="0.2">
      <c r="B338">
        <v>78</v>
      </c>
      <c r="C338">
        <v>6</v>
      </c>
      <c r="D338" s="2">
        <v>3.3439999999999999</v>
      </c>
      <c r="E338" s="2">
        <f>0.32+0.571</f>
        <v>0.89100000000000001</v>
      </c>
      <c r="F338" s="2">
        <f>(0.5/0.45)*D338</f>
        <v>3.7155555555555555</v>
      </c>
      <c r="G338" s="2">
        <f>100*E338/D338</f>
        <v>26.644736842105264</v>
      </c>
    </row>
    <row r="339" spans="1:7" x14ac:dyDescent="0.2">
      <c r="B339">
        <v>79</v>
      </c>
      <c r="C339">
        <v>7</v>
      </c>
      <c r="D339" s="2">
        <v>1.411</v>
      </c>
      <c r="E339" s="2">
        <v>0.127</v>
      </c>
      <c r="F339" s="2">
        <f>(0.5/0.45)*D339</f>
        <v>1.5677777777777779</v>
      </c>
      <c r="G339" s="2">
        <f>100*E339/D339</f>
        <v>9.0007087172218281</v>
      </c>
    </row>
    <row r="340" spans="1:7" x14ac:dyDescent="0.2">
      <c r="B340">
        <v>80</v>
      </c>
      <c r="C340">
        <v>8</v>
      </c>
      <c r="D340" s="2">
        <v>1.5660000000000001</v>
      </c>
      <c r="E340" s="2">
        <f>0.125+0.329</f>
        <v>0.45400000000000001</v>
      </c>
      <c r="F340" s="2">
        <f>(0.5/0.45)*D340</f>
        <v>1.7400000000000002</v>
      </c>
      <c r="G340" s="2">
        <f>100*E340/D340</f>
        <v>28.991060025542783</v>
      </c>
    </row>
    <row r="341" spans="1:7" x14ac:dyDescent="0.2">
      <c r="B341">
        <v>81</v>
      </c>
      <c r="C341">
        <v>9</v>
      </c>
      <c r="D341" s="2">
        <v>6.165</v>
      </c>
      <c r="E341" s="2">
        <f>1.379+0.248+0.609+0.275</f>
        <v>2.5109999999999997</v>
      </c>
      <c r="F341" s="2">
        <f>(0.5/0.45)*D341</f>
        <v>6.8500000000000005</v>
      </c>
      <c r="G341" s="2">
        <f>100*E341/D341</f>
        <v>40.729927007299267</v>
      </c>
    </row>
    <row r="342" spans="1:7" x14ac:dyDescent="0.2">
      <c r="B342">
        <v>82</v>
      </c>
      <c r="C342">
        <v>10</v>
      </c>
      <c r="D342" s="2">
        <v>4.548</v>
      </c>
      <c r="E342" s="2">
        <f>0.291+0.245</f>
        <v>0.53600000000000003</v>
      </c>
      <c r="F342" s="2">
        <f>(0.5/0.45)*D342</f>
        <v>5.0533333333333337</v>
      </c>
      <c r="G342" s="2">
        <f>100*E342/D342</f>
        <v>11.785400175901495</v>
      </c>
    </row>
    <row r="343" spans="1:7" x14ac:dyDescent="0.2">
      <c r="B343">
        <v>83</v>
      </c>
      <c r="C343">
        <v>11</v>
      </c>
      <c r="D343" s="2">
        <v>1.337</v>
      </c>
      <c r="E343" s="2">
        <v>0</v>
      </c>
      <c r="F343" s="2">
        <f>(0.5/0.45)*D343</f>
        <v>1.4855555555555555</v>
      </c>
      <c r="G343" s="2">
        <f>100*E343/D343</f>
        <v>0</v>
      </c>
    </row>
    <row r="344" spans="1:7" x14ac:dyDescent="0.2">
      <c r="B344">
        <v>84</v>
      </c>
      <c r="C344">
        <v>12</v>
      </c>
      <c r="D344" s="2">
        <v>2.1110000000000002</v>
      </c>
      <c r="E344" s="2">
        <v>0.36399999999999999</v>
      </c>
      <c r="F344" s="2">
        <f>(0.5/0.45)*D344</f>
        <v>2.3455555555555558</v>
      </c>
      <c r="G344" s="2">
        <f>100*E344/D344</f>
        <v>17.243012790146846</v>
      </c>
    </row>
    <row r="345" spans="1:7" x14ac:dyDescent="0.2">
      <c r="B345">
        <v>85</v>
      </c>
      <c r="C345">
        <v>13</v>
      </c>
      <c r="D345" s="2">
        <v>1.734</v>
      </c>
      <c r="E345" s="2">
        <v>0.43</v>
      </c>
      <c r="F345" s="2">
        <f>(0.5/0.45)*D345</f>
        <v>1.9266666666666667</v>
      </c>
      <c r="G345" s="2">
        <f>100*E345/D345</f>
        <v>24.798154555940023</v>
      </c>
    </row>
    <row r="346" spans="1:7" x14ac:dyDescent="0.2">
      <c r="A346" t="s">
        <v>27</v>
      </c>
      <c r="B346">
        <v>86</v>
      </c>
      <c r="C346">
        <v>1</v>
      </c>
      <c r="D346" s="2">
        <v>2.9129999999999998</v>
      </c>
      <c r="E346" s="2">
        <f>1.062+0.376</f>
        <v>1.4380000000000002</v>
      </c>
      <c r="F346" s="2">
        <f>(0.5/0.45)*D346</f>
        <v>3.2366666666666668</v>
      </c>
      <c r="G346" s="2">
        <f>100*E346/D346</f>
        <v>49.364915894267085</v>
      </c>
    </row>
    <row r="347" spans="1:7" x14ac:dyDescent="0.2">
      <c r="B347">
        <v>87</v>
      </c>
      <c r="C347">
        <v>2</v>
      </c>
      <c r="D347" s="2">
        <v>4.0270000000000001</v>
      </c>
      <c r="E347" s="2">
        <f>1.053+1.04+0.141</f>
        <v>2.234</v>
      </c>
      <c r="F347" s="2">
        <f>(0.5/0.45)*D347</f>
        <v>4.4744444444444449</v>
      </c>
      <c r="G347" s="2">
        <f>100*E347/D347</f>
        <v>55.475540104296002</v>
      </c>
    </row>
    <row r="348" spans="1:7" x14ac:dyDescent="0.2">
      <c r="B348">
        <v>88</v>
      </c>
      <c r="C348">
        <v>3</v>
      </c>
      <c r="D348" s="2">
        <v>1.0049999999999999</v>
      </c>
      <c r="E348" s="2">
        <v>0.46400000000000002</v>
      </c>
      <c r="F348" s="2">
        <f>(0.5/0.45)*D348</f>
        <v>1.1166666666666667</v>
      </c>
      <c r="G348" s="2">
        <f>100*E348/D348</f>
        <v>46.169154228855732</v>
      </c>
    </row>
    <row r="349" spans="1:7" x14ac:dyDescent="0.2">
      <c r="B349">
        <v>89</v>
      </c>
      <c r="C349">
        <v>4</v>
      </c>
      <c r="D349" s="2">
        <v>2.04</v>
      </c>
      <c r="E349" s="2">
        <v>0.91200000000000003</v>
      </c>
      <c r="F349" s="2">
        <f>(0.5/0.45)*D349</f>
        <v>2.2666666666666666</v>
      </c>
      <c r="G349" s="2">
        <f>100*E349/D349</f>
        <v>44.705882352941174</v>
      </c>
    </row>
    <row r="350" spans="1:7" x14ac:dyDescent="0.2">
      <c r="A350" t="s">
        <v>26</v>
      </c>
      <c r="B350">
        <v>90</v>
      </c>
      <c r="C350">
        <v>1</v>
      </c>
      <c r="D350" s="2">
        <v>1.135</v>
      </c>
      <c r="E350" s="2">
        <v>0.245</v>
      </c>
      <c r="F350" s="2">
        <f>(0.5/0.45)*D350</f>
        <v>1.2611111111111111</v>
      </c>
      <c r="G350" s="2">
        <f>100*E350/D350</f>
        <v>21.58590308370044</v>
      </c>
    </row>
    <row r="351" spans="1:7" x14ac:dyDescent="0.2">
      <c r="B351">
        <v>91</v>
      </c>
      <c r="C351">
        <v>2</v>
      </c>
      <c r="D351" s="2">
        <v>1.3420000000000001</v>
      </c>
      <c r="E351" s="2">
        <v>1.248</v>
      </c>
      <c r="F351" s="2">
        <f>(0.5/0.45)*D351</f>
        <v>1.4911111111111113</v>
      </c>
      <c r="G351" s="2">
        <f>100*E351/D351</f>
        <v>92.995529061102829</v>
      </c>
    </row>
    <row r="352" spans="1:7" x14ac:dyDescent="0.2">
      <c r="B352">
        <v>92</v>
      </c>
      <c r="C352">
        <v>3</v>
      </c>
      <c r="D352" s="2">
        <v>1.673</v>
      </c>
      <c r="E352" s="2">
        <f>0.201+0.374</f>
        <v>0.57499999999999996</v>
      </c>
      <c r="F352" s="2">
        <f>(0.5/0.45)*D352</f>
        <v>1.858888888888889</v>
      </c>
      <c r="G352" s="2">
        <f>100*E352/D352</f>
        <v>34.369396294082485</v>
      </c>
    </row>
    <row r="353" spans="1:7" x14ac:dyDescent="0.2">
      <c r="B353">
        <v>93</v>
      </c>
      <c r="C353">
        <v>4</v>
      </c>
      <c r="D353" s="2">
        <v>1.706</v>
      </c>
      <c r="E353" s="2">
        <f>0.481+0.23</f>
        <v>0.71099999999999997</v>
      </c>
      <c r="F353" s="2">
        <f>(0.5/0.45)*D353</f>
        <v>1.8955555555555557</v>
      </c>
      <c r="G353" s="2">
        <f>100*E353/D353</f>
        <v>41.676436107854627</v>
      </c>
    </row>
    <row r="354" spans="1:7" x14ac:dyDescent="0.2">
      <c r="B354">
        <v>94</v>
      </c>
      <c r="C354">
        <v>5</v>
      </c>
      <c r="D354" s="2">
        <v>1.4319999999999999</v>
      </c>
      <c r="E354" s="2">
        <f>0.33+0.131</f>
        <v>0.46100000000000002</v>
      </c>
      <c r="F354" s="2">
        <f>(0.5/0.45)*D354</f>
        <v>1.5911111111111111</v>
      </c>
      <c r="G354" s="2">
        <f>100*E354/D354</f>
        <v>32.192737430167597</v>
      </c>
    </row>
    <row r="355" spans="1:7" x14ac:dyDescent="0.2">
      <c r="B355">
        <v>95</v>
      </c>
      <c r="C355">
        <v>6</v>
      </c>
      <c r="D355" s="2">
        <v>2.21</v>
      </c>
      <c r="E355" s="2">
        <f>0.817+0.459</f>
        <v>1.276</v>
      </c>
      <c r="F355" s="2">
        <f>(0.5/0.45)*D355</f>
        <v>2.4555555555555557</v>
      </c>
      <c r="G355" s="2">
        <f>100*E355/D355</f>
        <v>57.737556561085981</v>
      </c>
    </row>
    <row r="356" spans="1:7" x14ac:dyDescent="0.2">
      <c r="B356">
        <v>96</v>
      </c>
      <c r="C356">
        <v>7</v>
      </c>
      <c r="D356" s="2">
        <v>1.639</v>
      </c>
      <c r="E356" s="2">
        <v>0.307</v>
      </c>
      <c r="F356" s="2">
        <f>(0.5/0.45)*D356</f>
        <v>1.8211111111111111</v>
      </c>
      <c r="G356" s="2">
        <f>100*E356/D356</f>
        <v>18.730933496034165</v>
      </c>
    </row>
    <row r="357" spans="1:7" x14ac:dyDescent="0.2">
      <c r="B357">
        <v>97</v>
      </c>
      <c r="C357">
        <v>8</v>
      </c>
      <c r="D357" s="2">
        <v>1.5109999999999999</v>
      </c>
      <c r="E357" s="2">
        <v>0.317</v>
      </c>
      <c r="F357" s="2">
        <f>(0.5/0.45)*D357</f>
        <v>1.6788888888888889</v>
      </c>
      <c r="G357" s="2">
        <f>100*E357/D357</f>
        <v>20.979483785572469</v>
      </c>
    </row>
    <row r="358" spans="1:7" x14ac:dyDescent="0.2">
      <c r="B358">
        <v>98</v>
      </c>
      <c r="C358">
        <v>9</v>
      </c>
      <c r="D358" s="2">
        <v>2.331</v>
      </c>
      <c r="E358" s="2">
        <f>0.246+0.346+0.446</f>
        <v>1.038</v>
      </c>
      <c r="F358" s="2">
        <f>(0.5/0.45)*D358</f>
        <v>2.59</v>
      </c>
      <c r="G358" s="2">
        <f>100*E358/D358</f>
        <v>44.530244530244531</v>
      </c>
    </row>
    <row r="359" spans="1:7" x14ac:dyDescent="0.2">
      <c r="B359">
        <v>99</v>
      </c>
      <c r="C359">
        <v>10</v>
      </c>
      <c r="D359" s="2">
        <v>1.9790000000000001</v>
      </c>
      <c r="E359" s="2">
        <v>0.38900000000000001</v>
      </c>
      <c r="F359" s="2">
        <f>(0.5/0.45)*D359</f>
        <v>2.1988888888888889</v>
      </c>
      <c r="G359" s="2">
        <f>100*E359/D359</f>
        <v>19.656392117230922</v>
      </c>
    </row>
    <row r="360" spans="1:7" x14ac:dyDescent="0.2">
      <c r="B360">
        <v>100</v>
      </c>
      <c r="C360">
        <v>11</v>
      </c>
      <c r="D360" s="2">
        <v>3.355</v>
      </c>
      <c r="E360" s="2">
        <v>0</v>
      </c>
      <c r="F360" s="2">
        <f>(0.5/0.45)*D360</f>
        <v>3.7277777777777779</v>
      </c>
      <c r="G360" s="2">
        <f>100*E360/D360</f>
        <v>0</v>
      </c>
    </row>
    <row r="361" spans="1:7" x14ac:dyDescent="0.2">
      <c r="B361">
        <v>101</v>
      </c>
      <c r="C361">
        <v>12</v>
      </c>
      <c r="D361" s="2">
        <v>5.26</v>
      </c>
      <c r="E361" s="2">
        <f>0.303+0.886+0.194+0.226</f>
        <v>1.609</v>
      </c>
      <c r="F361" s="2">
        <f>(0.5/0.45)*D361</f>
        <v>5.8444444444444441</v>
      </c>
      <c r="G361" s="2">
        <f>100*E361/D361</f>
        <v>30.589353612167304</v>
      </c>
    </row>
    <row r="363" spans="1:7" x14ac:dyDescent="0.2">
      <c r="C363" t="s">
        <v>1</v>
      </c>
      <c r="D363" s="2">
        <f>AVERAGE(D261:D361)</f>
        <v>2.5683366336633662</v>
      </c>
      <c r="E363" s="2">
        <f>AVERAGE(E240:E361)</f>
        <v>0.87002426493259721</v>
      </c>
      <c r="F363" s="2">
        <f>AVERAGE(F240:F361)</f>
        <v>3.1877457836852625</v>
      </c>
      <c r="G363" s="2">
        <f>AVERAGE(G240:G361)</f>
        <v>31.403930646169446</v>
      </c>
    </row>
    <row r="364" spans="1:7" x14ac:dyDescent="0.2">
      <c r="C364" t="s">
        <v>0</v>
      </c>
      <c r="D364" s="2">
        <f>STDEV(D261:D361)</f>
        <v>1.615579476703191</v>
      </c>
      <c r="E364" s="2">
        <f>STDEV(E240:E361)</f>
        <v>0.69642981413638227</v>
      </c>
      <c r="F364" s="2">
        <f>STDEV(F240:F361)</f>
        <v>2.2874382916653464</v>
      </c>
      <c r="G364" s="2">
        <f>STDEV(G240:G361)</f>
        <v>18.63787583132488</v>
      </c>
    </row>
    <row r="366" spans="1:7" x14ac:dyDescent="0.2">
      <c r="A366" t="s">
        <v>128</v>
      </c>
    </row>
    <row r="367" spans="1:7" x14ac:dyDescent="0.2">
      <c r="A367" s="5" t="s">
        <v>95</v>
      </c>
      <c r="B367" s="5" t="s">
        <v>23</v>
      </c>
      <c r="C367" s="5" t="s">
        <v>22</v>
      </c>
      <c r="D367" s="4" t="s">
        <v>94</v>
      </c>
      <c r="E367" s="4" t="s">
        <v>93</v>
      </c>
      <c r="F367" s="4" t="s">
        <v>92</v>
      </c>
      <c r="G367" s="4" t="s">
        <v>91</v>
      </c>
    </row>
    <row r="368" spans="1:7" x14ac:dyDescent="0.2">
      <c r="A368" t="s">
        <v>127</v>
      </c>
      <c r="B368">
        <v>1</v>
      </c>
      <c r="C368">
        <v>1</v>
      </c>
      <c r="D368" s="2">
        <v>2.5579999999999998</v>
      </c>
      <c r="E368" s="2">
        <v>0</v>
      </c>
      <c r="F368" s="2">
        <f>(0.5/0.45)*D368</f>
        <v>2.842222222222222</v>
      </c>
      <c r="G368" s="2">
        <f>100*E368/D368</f>
        <v>0</v>
      </c>
    </row>
    <row r="369" spans="1:7" x14ac:dyDescent="0.2">
      <c r="B369">
        <v>2</v>
      </c>
      <c r="C369">
        <v>2</v>
      </c>
      <c r="D369" s="2">
        <v>1.76</v>
      </c>
      <c r="E369" s="2">
        <v>0.11799999999999999</v>
      </c>
      <c r="F369" s="2">
        <f>(0.5/0.45)*D369</f>
        <v>1.9555555555555557</v>
      </c>
      <c r="G369" s="2">
        <f>100*E369/D369</f>
        <v>6.7045454545454541</v>
      </c>
    </row>
    <row r="370" spans="1:7" x14ac:dyDescent="0.2">
      <c r="B370">
        <v>3</v>
      </c>
      <c r="C370">
        <v>3</v>
      </c>
      <c r="D370" s="2">
        <v>1.2689999999999999</v>
      </c>
      <c r="E370" s="2">
        <v>0</v>
      </c>
      <c r="F370" s="2">
        <f>(0.5/0.45)*D370</f>
        <v>1.41</v>
      </c>
      <c r="G370" s="2">
        <f>100*E370/D370</f>
        <v>0</v>
      </c>
    </row>
    <row r="371" spans="1:7" x14ac:dyDescent="0.2">
      <c r="B371">
        <v>4</v>
      </c>
      <c r="C371">
        <v>4</v>
      </c>
      <c r="D371" s="2">
        <v>1.675</v>
      </c>
      <c r="E371" s="2">
        <v>0</v>
      </c>
      <c r="F371" s="2">
        <f>(0.5/0.45)*D371</f>
        <v>1.8611111111111112</v>
      </c>
      <c r="G371" s="2">
        <f>100*E371/D371</f>
        <v>0</v>
      </c>
    </row>
    <row r="372" spans="1:7" x14ac:dyDescent="0.2">
      <c r="B372">
        <v>5</v>
      </c>
      <c r="C372">
        <v>5</v>
      </c>
      <c r="D372" s="2">
        <v>3.448</v>
      </c>
      <c r="E372" s="2">
        <v>0</v>
      </c>
      <c r="F372" s="2">
        <f>(0.5/0.45)*D372</f>
        <v>3.8311111111111114</v>
      </c>
      <c r="G372" s="2">
        <f>100*E372/D372</f>
        <v>0</v>
      </c>
    </row>
    <row r="373" spans="1:7" x14ac:dyDescent="0.2">
      <c r="B373">
        <v>6</v>
      </c>
      <c r="C373">
        <v>6</v>
      </c>
      <c r="D373" s="2">
        <v>1.5820000000000001</v>
      </c>
      <c r="E373" s="2">
        <v>0</v>
      </c>
      <c r="F373" s="2">
        <f>(0.5/0.45)*D373</f>
        <v>1.7577777777777779</v>
      </c>
      <c r="G373" s="2">
        <f>100*E373/D373</f>
        <v>0</v>
      </c>
    </row>
    <row r="374" spans="1:7" x14ac:dyDescent="0.2">
      <c r="B374">
        <v>7</v>
      </c>
      <c r="C374">
        <v>7</v>
      </c>
      <c r="D374" s="2">
        <v>2.843</v>
      </c>
      <c r="E374" s="2">
        <v>0.20699999999999999</v>
      </c>
      <c r="F374" s="2">
        <f>(0.5/0.45)*D374</f>
        <v>3.1588888888888889</v>
      </c>
      <c r="G374" s="2">
        <f>100*E374/D374</f>
        <v>7.281041153710869</v>
      </c>
    </row>
    <row r="375" spans="1:7" x14ac:dyDescent="0.2">
      <c r="B375">
        <v>8</v>
      </c>
      <c r="C375">
        <v>8</v>
      </c>
      <c r="D375" s="2">
        <v>3.36</v>
      </c>
      <c r="E375" s="2">
        <v>0</v>
      </c>
      <c r="F375" s="2">
        <f>(0.5/0.45)*D375</f>
        <v>3.7333333333333334</v>
      </c>
      <c r="G375" s="2">
        <f>100*E375/D375</f>
        <v>0</v>
      </c>
    </row>
    <row r="376" spans="1:7" x14ac:dyDescent="0.2">
      <c r="B376">
        <v>9</v>
      </c>
      <c r="C376">
        <v>9</v>
      </c>
      <c r="D376" s="2">
        <v>2.677</v>
      </c>
      <c r="E376" s="2">
        <v>0.30599999999999999</v>
      </c>
      <c r="F376" s="2">
        <f>(0.5/0.45)*D376</f>
        <v>2.9744444444444444</v>
      </c>
      <c r="G376" s="2">
        <f>100*E376/D376</f>
        <v>11.430706014194993</v>
      </c>
    </row>
    <row r="377" spans="1:7" x14ac:dyDescent="0.2">
      <c r="B377">
        <v>10</v>
      </c>
      <c r="C377">
        <v>10</v>
      </c>
      <c r="D377" s="2">
        <v>2.0659999999999998</v>
      </c>
      <c r="E377" s="2">
        <v>0.28199999999999997</v>
      </c>
      <c r="F377" s="2">
        <f>(0.5/0.45)*D377</f>
        <v>2.2955555555555556</v>
      </c>
      <c r="G377" s="2">
        <f>100*E377/D377</f>
        <v>13.649564375605033</v>
      </c>
    </row>
    <row r="378" spans="1:7" x14ac:dyDescent="0.2">
      <c r="B378">
        <v>11</v>
      </c>
      <c r="C378">
        <v>11</v>
      </c>
      <c r="D378" s="2">
        <v>1.073</v>
      </c>
      <c r="E378" s="2">
        <v>0</v>
      </c>
      <c r="F378" s="2">
        <f>(0.5/0.45)*D378</f>
        <v>1.1922222222222223</v>
      </c>
      <c r="G378" s="2">
        <f>100*E378/D378</f>
        <v>0</v>
      </c>
    </row>
    <row r="379" spans="1:7" x14ac:dyDescent="0.2">
      <c r="B379">
        <v>12</v>
      </c>
      <c r="C379">
        <v>12</v>
      </c>
      <c r="D379" s="2">
        <v>1.988</v>
      </c>
      <c r="E379" s="2">
        <v>0.33400000000000002</v>
      </c>
      <c r="F379" s="2">
        <f>(0.5/0.45)*D379</f>
        <v>2.2088888888888891</v>
      </c>
      <c r="G379" s="2">
        <f>100*E379/D379</f>
        <v>16.800804828973842</v>
      </c>
    </row>
    <row r="380" spans="1:7" x14ac:dyDescent="0.2">
      <c r="B380">
        <v>13</v>
      </c>
      <c r="C380">
        <v>13</v>
      </c>
      <c r="D380" s="2">
        <v>1.137</v>
      </c>
      <c r="E380" s="2">
        <v>0.187</v>
      </c>
      <c r="F380" s="2">
        <f>(0.5/0.45)*D380</f>
        <v>1.2633333333333334</v>
      </c>
      <c r="G380" s="2">
        <f>100*E380/D380</f>
        <v>16.446789797713279</v>
      </c>
    </row>
    <row r="381" spans="1:7" x14ac:dyDescent="0.2">
      <c r="B381">
        <v>14</v>
      </c>
      <c r="C381">
        <v>14</v>
      </c>
      <c r="D381" s="2">
        <v>2.8370000000000002</v>
      </c>
      <c r="E381" s="2">
        <v>0</v>
      </c>
      <c r="F381" s="2">
        <f>(0.5/0.45)*D381</f>
        <v>3.1522222222222225</v>
      </c>
      <c r="G381" s="2">
        <f>100*E381/D381</f>
        <v>0</v>
      </c>
    </row>
    <row r="382" spans="1:7" x14ac:dyDescent="0.2">
      <c r="A382" t="s">
        <v>126</v>
      </c>
      <c r="B382">
        <v>15</v>
      </c>
      <c r="C382">
        <v>1</v>
      </c>
      <c r="D382" s="2">
        <v>2.3199999999999998</v>
      </c>
      <c r="E382" s="2">
        <f>0.082+0.051</f>
        <v>0.13300000000000001</v>
      </c>
      <c r="F382" s="2">
        <f>(0.5/0.45)*D382</f>
        <v>2.5777777777777775</v>
      </c>
      <c r="G382" s="2">
        <f>100*E382/D382</f>
        <v>5.7327586206896557</v>
      </c>
    </row>
    <row r="383" spans="1:7" x14ac:dyDescent="0.2">
      <c r="B383">
        <v>16</v>
      </c>
      <c r="C383">
        <v>2</v>
      </c>
      <c r="D383" s="2">
        <v>2.0230000000000001</v>
      </c>
      <c r="E383" s="2">
        <v>0.13400000000000001</v>
      </c>
      <c r="F383" s="2">
        <f>(0.5/0.45)*D383</f>
        <v>2.2477777777777779</v>
      </c>
      <c r="G383" s="2">
        <f>100*E383/D383</f>
        <v>6.6238260009886307</v>
      </c>
    </row>
    <row r="384" spans="1:7" x14ac:dyDescent="0.2">
      <c r="B384">
        <v>17</v>
      </c>
      <c r="C384">
        <v>3</v>
      </c>
      <c r="D384" s="2">
        <v>1.3029999999999999</v>
      </c>
      <c r="E384" s="2">
        <v>0.52900000000000003</v>
      </c>
      <c r="F384" s="2">
        <f>(0.5/0.45)*D384</f>
        <v>1.4477777777777778</v>
      </c>
      <c r="G384" s="2">
        <f>100*E384/D384</f>
        <v>40.598618572524948</v>
      </c>
    </row>
    <row r="385" spans="1:7" x14ac:dyDescent="0.2">
      <c r="B385">
        <v>18</v>
      </c>
      <c r="C385">
        <v>4</v>
      </c>
      <c r="D385" s="2">
        <v>2.286</v>
      </c>
      <c r="E385" s="2">
        <v>0.40699999999999997</v>
      </c>
      <c r="F385" s="2">
        <f>(0.5/0.45)*D385</f>
        <v>2.54</v>
      </c>
      <c r="G385" s="2">
        <f>100*E385/D385</f>
        <v>17.804024496937881</v>
      </c>
    </row>
    <row r="386" spans="1:7" x14ac:dyDescent="0.2">
      <c r="B386">
        <v>19</v>
      </c>
      <c r="C386">
        <v>5</v>
      </c>
      <c r="D386" s="2">
        <v>3.1259999999999999</v>
      </c>
      <c r="E386" s="2">
        <v>0</v>
      </c>
      <c r="F386" s="2">
        <f>(0.5/0.45)*D386</f>
        <v>3.4733333333333332</v>
      </c>
      <c r="G386" s="2">
        <f>100*E386/D386</f>
        <v>0</v>
      </c>
    </row>
    <row r="387" spans="1:7" x14ac:dyDescent="0.2">
      <c r="B387">
        <v>20</v>
      </c>
      <c r="C387">
        <v>6</v>
      </c>
      <c r="D387" s="2">
        <v>3.246</v>
      </c>
      <c r="E387" s="2">
        <v>9.4E-2</v>
      </c>
      <c r="F387" s="2">
        <f>(0.5/0.45)*D387</f>
        <v>3.6066666666666669</v>
      </c>
      <c r="G387" s="2">
        <f>100*E387/D387</f>
        <v>2.8958718422674061</v>
      </c>
    </row>
    <row r="388" spans="1:7" x14ac:dyDescent="0.2">
      <c r="B388">
        <v>21</v>
      </c>
      <c r="C388">
        <v>7</v>
      </c>
      <c r="D388" s="2">
        <v>0.58199999999999996</v>
      </c>
      <c r="E388" s="2">
        <v>0</v>
      </c>
      <c r="F388" s="2">
        <f>(0.5/0.45)*D388</f>
        <v>0.64666666666666661</v>
      </c>
      <c r="G388" s="2">
        <f>100*E388/D388</f>
        <v>0</v>
      </c>
    </row>
    <row r="389" spans="1:7" x14ac:dyDescent="0.2">
      <c r="B389">
        <v>22</v>
      </c>
      <c r="C389">
        <v>8</v>
      </c>
      <c r="D389" s="2">
        <v>1.0449999999999999</v>
      </c>
      <c r="E389" s="2">
        <v>0.108</v>
      </c>
      <c r="F389" s="2">
        <f>(0.5/0.45)*D389</f>
        <v>1.161111111111111</v>
      </c>
      <c r="G389" s="2">
        <f>100*E389/D389</f>
        <v>10.334928229665072</v>
      </c>
    </row>
    <row r="390" spans="1:7" x14ac:dyDescent="0.2">
      <c r="B390">
        <v>23</v>
      </c>
      <c r="C390">
        <v>9</v>
      </c>
      <c r="D390" s="2">
        <v>1.708</v>
      </c>
      <c r="E390" s="2">
        <v>0</v>
      </c>
      <c r="F390" s="2">
        <f>(0.5/0.45)*D390</f>
        <v>1.8977777777777778</v>
      </c>
      <c r="G390" s="2">
        <f>100*E390/D390</f>
        <v>0</v>
      </c>
    </row>
    <row r="391" spans="1:7" x14ac:dyDescent="0.2">
      <c r="B391">
        <v>24</v>
      </c>
      <c r="C391">
        <v>10</v>
      </c>
      <c r="D391" s="2">
        <v>2.33</v>
      </c>
      <c r="E391" s="2">
        <f>0.169+0.187</f>
        <v>0.35599999999999998</v>
      </c>
      <c r="F391" s="2">
        <f>(0.5/0.45)*D391</f>
        <v>2.588888888888889</v>
      </c>
      <c r="G391" s="2">
        <f>100*E391/D391</f>
        <v>15.278969957081545</v>
      </c>
    </row>
    <row r="392" spans="1:7" x14ac:dyDescent="0.2">
      <c r="B392">
        <v>25</v>
      </c>
      <c r="C392">
        <v>11</v>
      </c>
      <c r="D392" s="2">
        <v>1.542</v>
      </c>
      <c r="E392" s="2">
        <v>0</v>
      </c>
      <c r="F392" s="2">
        <f>(0.5/0.45)*D392</f>
        <v>1.7133333333333334</v>
      </c>
      <c r="G392" s="2">
        <f>100*E392/D392</f>
        <v>0</v>
      </c>
    </row>
    <row r="393" spans="1:7" x14ac:dyDescent="0.2">
      <c r="B393">
        <v>26</v>
      </c>
      <c r="C393">
        <v>12</v>
      </c>
      <c r="D393" s="2">
        <v>1.1970000000000001</v>
      </c>
      <c r="E393" s="2">
        <v>0</v>
      </c>
      <c r="F393" s="2">
        <f>(0.5/0.45)*D393</f>
        <v>1.33</v>
      </c>
      <c r="G393" s="2">
        <f>100*E393/D393</f>
        <v>0</v>
      </c>
    </row>
    <row r="394" spans="1:7" x14ac:dyDescent="0.2">
      <c r="B394">
        <v>27</v>
      </c>
      <c r="C394">
        <v>13</v>
      </c>
      <c r="D394" s="2">
        <v>3.0619999999999998</v>
      </c>
      <c r="E394" s="2">
        <f>0.044+0.104</f>
        <v>0.14799999999999999</v>
      </c>
      <c r="F394" s="2">
        <f>(0.5/0.45)*D394</f>
        <v>3.402222222222222</v>
      </c>
      <c r="G394" s="2">
        <f>100*E394/D394</f>
        <v>4.8334421946440234</v>
      </c>
    </row>
    <row r="395" spans="1:7" x14ac:dyDescent="0.2">
      <c r="B395">
        <v>28</v>
      </c>
      <c r="C395">
        <v>14</v>
      </c>
      <c r="D395" s="2">
        <v>0.879</v>
      </c>
      <c r="E395" s="2">
        <v>0.25</v>
      </c>
      <c r="F395" s="2">
        <f>(0.5/0.45)*D395</f>
        <v>0.97666666666666668</v>
      </c>
      <c r="G395" s="2">
        <f>100*E395/D395</f>
        <v>28.441410693970422</v>
      </c>
    </row>
    <row r="396" spans="1:7" x14ac:dyDescent="0.2">
      <c r="B396">
        <v>29</v>
      </c>
      <c r="C396">
        <v>15</v>
      </c>
      <c r="D396" s="2">
        <v>0.86799999999999999</v>
      </c>
      <c r="E396" s="2">
        <v>0.39200000000000002</v>
      </c>
      <c r="F396" s="2">
        <f>(0.5/0.45)*D396</f>
        <v>0.96444444444444444</v>
      </c>
      <c r="G396" s="2">
        <f>100*E396/D396</f>
        <v>45.161290322580648</v>
      </c>
    </row>
    <row r="397" spans="1:7" x14ac:dyDescent="0.2">
      <c r="B397">
        <v>30</v>
      </c>
      <c r="C397">
        <v>16</v>
      </c>
      <c r="D397" s="2">
        <v>1.083</v>
      </c>
      <c r="E397" s="2">
        <v>0</v>
      </c>
      <c r="F397" s="2">
        <f>(0.5/0.45)*D397</f>
        <v>1.2033333333333334</v>
      </c>
      <c r="G397" s="2">
        <f>100*E397/D397</f>
        <v>0</v>
      </c>
    </row>
    <row r="398" spans="1:7" x14ac:dyDescent="0.2">
      <c r="B398">
        <v>31</v>
      </c>
      <c r="C398">
        <v>17</v>
      </c>
      <c r="D398" s="2">
        <v>2.1920000000000002</v>
      </c>
      <c r="E398" s="2">
        <f>0.322+0.183</f>
        <v>0.505</v>
      </c>
      <c r="F398" s="2">
        <f>(0.5/0.45)*D398</f>
        <v>2.4355555555555557</v>
      </c>
      <c r="G398" s="2">
        <f>100*E398/D398</f>
        <v>23.038321167883211</v>
      </c>
    </row>
    <row r="399" spans="1:7" x14ac:dyDescent="0.2">
      <c r="A399" t="s">
        <v>125</v>
      </c>
      <c r="B399">
        <v>32</v>
      </c>
      <c r="C399">
        <v>1</v>
      </c>
      <c r="D399" s="2">
        <v>3.4209999999999998</v>
      </c>
      <c r="E399" s="2">
        <v>0</v>
      </c>
      <c r="F399" s="2">
        <f>(0.5/0.45)*D399</f>
        <v>3.8011111111111111</v>
      </c>
      <c r="G399" s="2">
        <f>100*E399/D399</f>
        <v>0</v>
      </c>
    </row>
    <row r="400" spans="1:7" x14ac:dyDescent="0.2">
      <c r="B400">
        <v>33</v>
      </c>
      <c r="C400">
        <v>2</v>
      </c>
      <c r="D400" s="2">
        <v>1.825</v>
      </c>
      <c r="E400" s="2">
        <v>0</v>
      </c>
      <c r="F400" s="2">
        <f>(0.5/0.45)*D400</f>
        <v>2.0277777777777777</v>
      </c>
      <c r="G400" s="2">
        <f>100*E400/D400</f>
        <v>0</v>
      </c>
    </row>
    <row r="401" spans="1:7" x14ac:dyDescent="0.2">
      <c r="B401">
        <v>34</v>
      </c>
      <c r="C401">
        <v>3</v>
      </c>
      <c r="D401" s="2">
        <v>1.5720000000000001</v>
      </c>
      <c r="E401" s="2">
        <v>0</v>
      </c>
      <c r="F401" s="2">
        <f>(0.5/0.45)*D401</f>
        <v>1.7466666666666668</v>
      </c>
      <c r="G401" s="2">
        <f>100*E401/D401</f>
        <v>0</v>
      </c>
    </row>
    <row r="402" spans="1:7" x14ac:dyDescent="0.2">
      <c r="B402">
        <v>35</v>
      </c>
      <c r="C402">
        <v>4</v>
      </c>
      <c r="D402" s="2">
        <v>3.2160000000000002</v>
      </c>
      <c r="E402" s="2">
        <v>0</v>
      </c>
      <c r="F402" s="2">
        <f>(0.5/0.45)*D402</f>
        <v>3.5733333333333337</v>
      </c>
      <c r="G402" s="2">
        <f>100*E402/D402</f>
        <v>0</v>
      </c>
    </row>
    <row r="403" spans="1:7" x14ac:dyDescent="0.2">
      <c r="B403">
        <v>36</v>
      </c>
      <c r="C403">
        <v>5</v>
      </c>
      <c r="D403" s="2">
        <v>1.3919999999999999</v>
      </c>
      <c r="E403" s="2">
        <v>0</v>
      </c>
      <c r="F403" s="2">
        <f>(0.5/0.45)*D403</f>
        <v>1.5466666666666666</v>
      </c>
      <c r="G403" s="2">
        <f>100*E403/D403</f>
        <v>0</v>
      </c>
    </row>
    <row r="404" spans="1:7" x14ac:dyDescent="0.2">
      <c r="B404">
        <v>37</v>
      </c>
      <c r="C404">
        <v>6</v>
      </c>
      <c r="D404" s="2">
        <v>1.4319999999999999</v>
      </c>
      <c r="E404" s="2">
        <v>0</v>
      </c>
      <c r="F404" s="2">
        <f>(0.5/0.45)*D404</f>
        <v>1.5911111111111111</v>
      </c>
      <c r="G404" s="2">
        <f>100*E404/D404</f>
        <v>0</v>
      </c>
    </row>
    <row r="405" spans="1:7" x14ac:dyDescent="0.2">
      <c r="B405">
        <v>38</v>
      </c>
      <c r="C405">
        <v>7</v>
      </c>
      <c r="D405" s="2">
        <v>2.7589999999999999</v>
      </c>
      <c r="E405" s="2">
        <v>0</v>
      </c>
      <c r="F405" s="2">
        <f>(0.5/0.45)*D405</f>
        <v>3.0655555555555556</v>
      </c>
      <c r="G405" s="2">
        <f>100*E405/D405</f>
        <v>0</v>
      </c>
    </row>
    <row r="406" spans="1:7" x14ac:dyDescent="0.2">
      <c r="A406" t="s">
        <v>124</v>
      </c>
      <c r="B406">
        <v>39</v>
      </c>
      <c r="C406">
        <v>1</v>
      </c>
      <c r="D406" s="2">
        <v>1.758</v>
      </c>
      <c r="E406" s="2">
        <v>0.25600000000000001</v>
      </c>
      <c r="F406" s="2">
        <f>(0.5/0.45)*D406</f>
        <v>1.9533333333333334</v>
      </c>
      <c r="G406" s="2">
        <f>100*E406/D406</f>
        <v>14.562002275312857</v>
      </c>
    </row>
    <row r="407" spans="1:7" x14ac:dyDescent="0.2">
      <c r="B407">
        <v>40</v>
      </c>
      <c r="C407">
        <v>2</v>
      </c>
      <c r="D407" s="2">
        <v>2.274</v>
      </c>
      <c r="E407" s="2">
        <v>0.59199999999999997</v>
      </c>
      <c r="F407" s="2">
        <f>(0.5/0.45)*D407</f>
        <v>2.5266666666666668</v>
      </c>
      <c r="G407" s="2">
        <f>100*E407/D407</f>
        <v>26.033421284080912</v>
      </c>
    </row>
    <row r="408" spans="1:7" x14ac:dyDescent="0.2">
      <c r="B408">
        <v>41</v>
      </c>
      <c r="C408">
        <v>3</v>
      </c>
      <c r="D408" s="2">
        <v>1.474</v>
      </c>
      <c r="E408" s="2">
        <v>0</v>
      </c>
      <c r="F408" s="2">
        <f>(0.5/0.45)*D408</f>
        <v>1.6377777777777778</v>
      </c>
      <c r="G408" s="2">
        <f>100*E408/D408</f>
        <v>0</v>
      </c>
    </row>
    <row r="409" spans="1:7" x14ac:dyDescent="0.2">
      <c r="B409">
        <v>42</v>
      </c>
      <c r="C409">
        <v>4</v>
      </c>
      <c r="D409" s="2">
        <v>1.9059999999999999</v>
      </c>
      <c r="E409" s="2">
        <v>0.13100000000000001</v>
      </c>
      <c r="F409" s="2">
        <f>(0.5/0.45)*D409</f>
        <v>2.117777777777778</v>
      </c>
      <c r="G409" s="2">
        <f>100*E409/D409</f>
        <v>6.8730325288562444</v>
      </c>
    </row>
    <row r="410" spans="1:7" x14ac:dyDescent="0.2">
      <c r="B410">
        <v>43</v>
      </c>
      <c r="C410">
        <v>5</v>
      </c>
      <c r="D410" s="2">
        <v>3.218</v>
      </c>
      <c r="E410" s="2">
        <v>0.161</v>
      </c>
      <c r="F410" s="2">
        <f>(0.5/0.45)*D410</f>
        <v>3.5755555555555558</v>
      </c>
      <c r="G410" s="2">
        <f>100*E410/D410</f>
        <v>5.0031075201988822</v>
      </c>
    </row>
    <row r="411" spans="1:7" x14ac:dyDescent="0.2">
      <c r="B411">
        <v>44</v>
      </c>
      <c r="C411">
        <v>6</v>
      </c>
      <c r="D411" s="2">
        <v>2.6230000000000002</v>
      </c>
      <c r="E411" s="2">
        <f>1.077+0.684</f>
        <v>1.7610000000000001</v>
      </c>
      <c r="F411" s="2">
        <f>(0.5/0.45)*D411</f>
        <v>2.9144444444444448</v>
      </c>
      <c r="G411" s="2">
        <f>100*E411/D411</f>
        <v>67.136866183759054</v>
      </c>
    </row>
    <row r="412" spans="1:7" x14ac:dyDescent="0.2">
      <c r="B412">
        <v>45</v>
      </c>
      <c r="C412">
        <v>7</v>
      </c>
      <c r="D412" s="2">
        <v>2.347</v>
      </c>
      <c r="E412" s="2">
        <v>0.45200000000000001</v>
      </c>
      <c r="F412" s="2">
        <f>(0.5/0.45)*D412</f>
        <v>2.6077777777777778</v>
      </c>
      <c r="G412" s="2">
        <f>100*E412/D412</f>
        <v>19.258628035790373</v>
      </c>
    </row>
    <row r="413" spans="1:7" x14ac:dyDescent="0.2">
      <c r="B413">
        <v>46</v>
      </c>
      <c r="C413">
        <v>8</v>
      </c>
      <c r="D413" s="2">
        <v>4.4219999999999997</v>
      </c>
      <c r="E413" s="2">
        <v>0.28799999999999998</v>
      </c>
      <c r="F413" s="2">
        <f>(0.5/0.45)*D413</f>
        <v>4.9133333333333331</v>
      </c>
      <c r="G413" s="2">
        <f>100*E413/D413</f>
        <v>6.5128900949796469</v>
      </c>
    </row>
    <row r="414" spans="1:7" x14ac:dyDescent="0.2">
      <c r="B414">
        <v>47</v>
      </c>
      <c r="C414">
        <v>9</v>
      </c>
      <c r="D414" s="2">
        <v>1.7869999999999999</v>
      </c>
      <c r="E414" s="2">
        <v>0.64</v>
      </c>
      <c r="F414" s="2">
        <f>(0.5/0.45)*D414</f>
        <v>1.9855555555555555</v>
      </c>
      <c r="G414" s="2">
        <f>100*E414/D414</f>
        <v>35.814213766088415</v>
      </c>
    </row>
    <row r="415" spans="1:7" x14ac:dyDescent="0.2">
      <c r="A415" t="s">
        <v>123</v>
      </c>
      <c r="B415">
        <v>48</v>
      </c>
      <c r="C415">
        <v>1</v>
      </c>
      <c r="D415" s="2">
        <v>1.917</v>
      </c>
      <c r="E415" s="2">
        <v>0.58799999999999997</v>
      </c>
      <c r="F415" s="2">
        <f>(0.5/0.45)*D415</f>
        <v>2.1300000000000003</v>
      </c>
      <c r="G415" s="2">
        <f>100*E415/D415</f>
        <v>30.672926447574334</v>
      </c>
    </row>
    <row r="416" spans="1:7" x14ac:dyDescent="0.2">
      <c r="B416">
        <v>49</v>
      </c>
      <c r="C416">
        <v>2</v>
      </c>
      <c r="D416" s="2">
        <v>1.4690000000000001</v>
      </c>
      <c r="E416" s="2">
        <v>0.124</v>
      </c>
      <c r="F416" s="2">
        <f>(0.5/0.45)*D416</f>
        <v>1.6322222222222225</v>
      </c>
      <c r="G416" s="2">
        <f>100*E416/D416</f>
        <v>8.4411164057181747</v>
      </c>
    </row>
    <row r="417" spans="2:7" x14ac:dyDescent="0.2">
      <c r="B417">
        <v>50</v>
      </c>
      <c r="C417">
        <v>3</v>
      </c>
      <c r="D417" s="2">
        <v>2.0550000000000002</v>
      </c>
      <c r="E417" s="2">
        <v>0.187</v>
      </c>
      <c r="F417" s="2">
        <f>(0.5/0.45)*D417</f>
        <v>2.2833333333333337</v>
      </c>
      <c r="G417" s="2">
        <f>100*E417/D417</f>
        <v>9.099756690997566</v>
      </c>
    </row>
    <row r="418" spans="2:7" x14ac:dyDescent="0.2">
      <c r="B418">
        <v>51</v>
      </c>
      <c r="C418">
        <v>4</v>
      </c>
      <c r="D418" s="2">
        <v>2.899</v>
      </c>
      <c r="E418" s="2">
        <v>0.313</v>
      </c>
      <c r="F418" s="2">
        <f>(0.5/0.45)*D418</f>
        <v>3.2211111111111115</v>
      </c>
      <c r="G418" s="2">
        <f>100*E418/D418</f>
        <v>10.796826491893757</v>
      </c>
    </row>
    <row r="419" spans="2:7" x14ac:dyDescent="0.2">
      <c r="B419">
        <v>52</v>
      </c>
      <c r="C419">
        <v>5</v>
      </c>
      <c r="D419" s="2">
        <v>2.5129999999999999</v>
      </c>
      <c r="E419" s="2">
        <f>0.254+0.072</f>
        <v>0.32600000000000001</v>
      </c>
      <c r="F419" s="2">
        <f>(0.5/0.45)*D419</f>
        <v>2.7922222222222222</v>
      </c>
      <c r="G419" s="2">
        <f>100*E419/D419</f>
        <v>12.972542777556706</v>
      </c>
    </row>
    <row r="420" spans="2:7" x14ac:dyDescent="0.2">
      <c r="B420">
        <v>53</v>
      </c>
      <c r="C420">
        <v>6</v>
      </c>
      <c r="D420" s="2">
        <v>3.177</v>
      </c>
      <c r="E420" s="2">
        <f>0.111+0.143</f>
        <v>0.254</v>
      </c>
      <c r="F420" s="2">
        <f>(0.5/0.45)*D420</f>
        <v>3.5300000000000002</v>
      </c>
      <c r="G420" s="2">
        <f>100*E420/D420</f>
        <v>7.9949638023292406</v>
      </c>
    </row>
    <row r="421" spans="2:7" x14ac:dyDescent="0.2">
      <c r="B421">
        <v>54</v>
      </c>
      <c r="C421">
        <v>7</v>
      </c>
      <c r="D421" s="2">
        <v>3.6749999999999998</v>
      </c>
      <c r="E421" s="2">
        <f>0.336+0.135</f>
        <v>0.47100000000000003</v>
      </c>
      <c r="F421" s="2">
        <f>(0.5/0.45)*D421</f>
        <v>4.083333333333333</v>
      </c>
      <c r="G421" s="2">
        <f>100*E421/D421</f>
        <v>12.816326530612246</v>
      </c>
    </row>
    <row r="422" spans="2:7" x14ac:dyDescent="0.2">
      <c r="B422">
        <v>55</v>
      </c>
      <c r="C422">
        <v>8</v>
      </c>
      <c r="D422" s="2">
        <v>1.331</v>
      </c>
      <c r="E422" s="2">
        <v>0.153</v>
      </c>
      <c r="F422" s="2">
        <f>(0.5/0.45)*D422</f>
        <v>1.4788888888888889</v>
      </c>
      <c r="G422" s="2">
        <f>100*E422/D422</f>
        <v>11.495116453794139</v>
      </c>
    </row>
    <row r="423" spans="2:7" x14ac:dyDescent="0.2">
      <c r="B423">
        <v>56</v>
      </c>
      <c r="C423">
        <v>9</v>
      </c>
      <c r="D423" s="2">
        <v>1.179</v>
      </c>
      <c r="E423" s="2">
        <v>0.16800000000000001</v>
      </c>
      <c r="F423" s="2">
        <f>(0.5/0.45)*D423</f>
        <v>1.31</v>
      </c>
      <c r="G423" s="2">
        <f>100*E423/D423</f>
        <v>14.249363867684478</v>
      </c>
    </row>
    <row r="424" spans="2:7" x14ac:dyDescent="0.2">
      <c r="B424">
        <v>57</v>
      </c>
      <c r="C424">
        <v>10</v>
      </c>
      <c r="D424" s="2">
        <v>2.544</v>
      </c>
      <c r="E424" s="2">
        <v>0.375</v>
      </c>
      <c r="F424" s="2">
        <f>(0.5/0.45)*D424</f>
        <v>2.8266666666666667</v>
      </c>
      <c r="G424" s="2">
        <f>100*E424/D424</f>
        <v>14.740566037735849</v>
      </c>
    </row>
    <row r="425" spans="2:7" x14ac:dyDescent="0.2">
      <c r="B425">
        <v>58</v>
      </c>
      <c r="C425">
        <v>11</v>
      </c>
      <c r="D425" s="2">
        <v>1.986</v>
      </c>
      <c r="E425" s="2">
        <v>0.31900000000000001</v>
      </c>
      <c r="F425" s="2">
        <f>(0.5/0.45)*D425</f>
        <v>2.2066666666666666</v>
      </c>
      <c r="G425" s="2">
        <f>100*E425/D425</f>
        <v>16.062437059415913</v>
      </c>
    </row>
    <row r="426" spans="2:7" x14ac:dyDescent="0.2">
      <c r="B426">
        <v>59</v>
      </c>
      <c r="C426">
        <v>12</v>
      </c>
      <c r="D426" s="2">
        <v>1.6259999999999999</v>
      </c>
      <c r="E426" s="2">
        <f>0.159+0.137</f>
        <v>0.29600000000000004</v>
      </c>
      <c r="F426" s="2">
        <f>(0.5/0.45)*D426</f>
        <v>1.8066666666666666</v>
      </c>
      <c r="G426" s="2">
        <f>100*E426/D426</f>
        <v>18.204182041820424</v>
      </c>
    </row>
    <row r="427" spans="2:7" x14ac:dyDescent="0.2">
      <c r="B427">
        <v>60</v>
      </c>
      <c r="C427">
        <v>13</v>
      </c>
      <c r="D427" s="2">
        <v>1.371</v>
      </c>
      <c r="E427" s="2">
        <v>0.35399999999999998</v>
      </c>
      <c r="F427" s="2">
        <f>(0.5/0.45)*D427</f>
        <v>1.5233333333333334</v>
      </c>
      <c r="G427" s="2">
        <f>100*E427/D427</f>
        <v>25.820568927789932</v>
      </c>
    </row>
    <row r="428" spans="2:7" x14ac:dyDescent="0.2">
      <c r="B428">
        <v>61</v>
      </c>
      <c r="C428">
        <v>14</v>
      </c>
      <c r="D428" s="2">
        <v>2.1850000000000001</v>
      </c>
      <c r="E428" s="2">
        <v>7.0000000000000007E-2</v>
      </c>
      <c r="F428" s="2">
        <f>(0.5/0.45)*D428</f>
        <v>2.427777777777778</v>
      </c>
      <c r="G428" s="2">
        <f>100*E428/D428</f>
        <v>3.2036613272311216</v>
      </c>
    </row>
    <row r="429" spans="2:7" x14ac:dyDescent="0.2">
      <c r="B429">
        <v>62</v>
      </c>
      <c r="C429">
        <v>15</v>
      </c>
      <c r="D429" s="2">
        <v>4.6920000000000002</v>
      </c>
      <c r="E429" s="2">
        <f>0.261+0.153</f>
        <v>0.41400000000000003</v>
      </c>
      <c r="F429" s="2">
        <f>(0.5/0.45)*D429</f>
        <v>5.2133333333333338</v>
      </c>
      <c r="G429" s="2">
        <f>100*E429/D429</f>
        <v>8.8235294117647065</v>
      </c>
    </row>
    <row r="430" spans="2:7" x14ac:dyDescent="0.2">
      <c r="B430">
        <v>63</v>
      </c>
      <c r="C430">
        <v>16</v>
      </c>
      <c r="D430" s="2">
        <v>1.577</v>
      </c>
      <c r="E430" s="2">
        <v>0.122</v>
      </c>
      <c r="F430" s="2">
        <f>(0.5/0.45)*D430</f>
        <v>1.7522222222222223</v>
      </c>
      <c r="G430" s="2">
        <f>100*E430/D430</f>
        <v>7.7362079898541536</v>
      </c>
    </row>
    <row r="431" spans="2:7" x14ac:dyDescent="0.2">
      <c r="B431">
        <v>64</v>
      </c>
      <c r="C431">
        <v>17</v>
      </c>
      <c r="D431" s="2">
        <v>1.595</v>
      </c>
      <c r="E431" s="2">
        <v>0</v>
      </c>
      <c r="F431" s="2">
        <f>(0.5/0.45)*D431</f>
        <v>1.7722222222222224</v>
      </c>
      <c r="G431" s="2">
        <f>100*E431/D431</f>
        <v>0</v>
      </c>
    </row>
    <row r="432" spans="2:7" x14ac:dyDescent="0.2">
      <c r="B432">
        <v>65</v>
      </c>
      <c r="C432">
        <v>18</v>
      </c>
      <c r="D432" s="2">
        <v>3.25</v>
      </c>
      <c r="E432" s="2">
        <v>0.21</v>
      </c>
      <c r="F432" s="2">
        <f>(0.5/0.45)*D432</f>
        <v>3.6111111111111112</v>
      </c>
      <c r="G432" s="2">
        <f>100*E432/D432</f>
        <v>6.4615384615384617</v>
      </c>
    </row>
    <row r="433" spans="1:7" x14ac:dyDescent="0.2">
      <c r="B433">
        <v>66</v>
      </c>
      <c r="C433">
        <v>19</v>
      </c>
      <c r="D433" s="2">
        <v>2.484</v>
      </c>
      <c r="E433" s="2">
        <v>0.122</v>
      </c>
      <c r="F433" s="2">
        <f>(0.5/0.45)*D433</f>
        <v>2.7600000000000002</v>
      </c>
      <c r="G433" s="2">
        <f>100*E433/D433</f>
        <v>4.9114331723027371</v>
      </c>
    </row>
    <row r="434" spans="1:7" x14ac:dyDescent="0.2">
      <c r="B434">
        <v>67</v>
      </c>
      <c r="C434">
        <v>20</v>
      </c>
      <c r="D434" s="2">
        <v>1.6679999999999999</v>
      </c>
      <c r="E434" s="2">
        <v>0</v>
      </c>
      <c r="F434" s="2">
        <f>(0.5/0.45)*D434</f>
        <v>1.8533333333333333</v>
      </c>
      <c r="G434" s="2">
        <f>100*E434/D434</f>
        <v>0</v>
      </c>
    </row>
    <row r="435" spans="1:7" x14ac:dyDescent="0.2">
      <c r="B435">
        <v>68</v>
      </c>
      <c r="C435">
        <v>21</v>
      </c>
      <c r="D435" s="2">
        <v>1.3149999999999999</v>
      </c>
      <c r="E435" s="2">
        <v>0</v>
      </c>
      <c r="F435" s="2">
        <f>(0.5/0.45)*D435</f>
        <v>1.461111111111111</v>
      </c>
      <c r="G435" s="2">
        <f>100*E435/D435</f>
        <v>0</v>
      </c>
    </row>
    <row r="436" spans="1:7" x14ac:dyDescent="0.2">
      <c r="B436">
        <v>69</v>
      </c>
      <c r="C436">
        <v>22</v>
      </c>
      <c r="D436" s="2">
        <v>2.274</v>
      </c>
      <c r="E436" s="2">
        <v>0.51</v>
      </c>
      <c r="F436" s="2">
        <f>(0.5/0.45)*D436</f>
        <v>2.5266666666666668</v>
      </c>
      <c r="G436" s="2">
        <f>100*E436/D436</f>
        <v>22.427440633245382</v>
      </c>
    </row>
    <row r="437" spans="1:7" x14ac:dyDescent="0.2">
      <c r="B437">
        <v>70</v>
      </c>
      <c r="C437">
        <v>23</v>
      </c>
      <c r="D437" s="2">
        <v>1.306</v>
      </c>
      <c r="E437" s="2">
        <v>0</v>
      </c>
      <c r="F437" s="2">
        <f>(0.5/0.45)*D437</f>
        <v>1.4511111111111112</v>
      </c>
      <c r="G437" s="2">
        <f>100*E437/D437</f>
        <v>0</v>
      </c>
    </row>
    <row r="438" spans="1:7" x14ac:dyDescent="0.2">
      <c r="A438" t="s">
        <v>122</v>
      </c>
      <c r="B438">
        <v>71</v>
      </c>
      <c r="C438">
        <v>1</v>
      </c>
      <c r="D438" s="2">
        <v>1.3140000000000001</v>
      </c>
      <c r="E438" s="2">
        <v>0.51500000000000001</v>
      </c>
      <c r="F438" s="2">
        <f>(0.5/0.45)*D438</f>
        <v>1.4600000000000002</v>
      </c>
      <c r="G438" s="2">
        <f>100*E438/D438</f>
        <v>39.19330289193303</v>
      </c>
    </row>
    <row r="439" spans="1:7" x14ac:dyDescent="0.2">
      <c r="B439">
        <v>72</v>
      </c>
      <c r="C439">
        <v>2</v>
      </c>
      <c r="D439" s="2">
        <v>2.9470000000000001</v>
      </c>
      <c r="E439" s="2">
        <f>0.155+0.293+0.059</f>
        <v>0.5069999999999999</v>
      </c>
      <c r="F439" s="2">
        <f>(0.5/0.45)*D439</f>
        <v>3.2744444444444447</v>
      </c>
      <c r="G439" s="2">
        <f>100*E439/D439</f>
        <v>17.2039362063115</v>
      </c>
    </row>
    <row r="440" spans="1:7" x14ac:dyDescent="0.2">
      <c r="B440">
        <v>73</v>
      </c>
      <c r="C440">
        <v>3</v>
      </c>
      <c r="D440" s="2">
        <v>1.7629999999999999</v>
      </c>
      <c r="E440" s="2">
        <v>0.433</v>
      </c>
      <c r="F440" s="2">
        <f>(0.5/0.45)*D440</f>
        <v>1.9588888888888889</v>
      </c>
      <c r="G440" s="2">
        <f>100*E440/D440</f>
        <v>24.560408394781621</v>
      </c>
    </row>
    <row r="441" spans="1:7" x14ac:dyDescent="0.2">
      <c r="B441">
        <v>74</v>
      </c>
      <c r="C441">
        <v>4</v>
      </c>
      <c r="D441" s="2">
        <f>5.259+1.551</f>
        <v>6.8100000000000005</v>
      </c>
      <c r="E441" s="2">
        <v>0.30299999999999999</v>
      </c>
      <c r="F441" s="2">
        <f>(0.5/0.45)*D441</f>
        <v>7.5666666666666673</v>
      </c>
      <c r="G441" s="2">
        <f>100*E441/D441</f>
        <v>4.4493392070484576</v>
      </c>
    </row>
    <row r="442" spans="1:7" x14ac:dyDescent="0.2">
      <c r="B442">
        <v>75</v>
      </c>
      <c r="C442">
        <v>5</v>
      </c>
      <c r="D442" s="2">
        <v>1.466</v>
      </c>
      <c r="E442" s="2">
        <v>0</v>
      </c>
      <c r="F442" s="2">
        <f>(0.5/0.45)*D442</f>
        <v>1.6288888888888888</v>
      </c>
      <c r="G442" s="2">
        <f>100*E442/D442</f>
        <v>0</v>
      </c>
    </row>
    <row r="443" spans="1:7" x14ac:dyDescent="0.2">
      <c r="B443">
        <v>76</v>
      </c>
      <c r="C443">
        <v>6</v>
      </c>
      <c r="D443" s="2">
        <v>0.98499999999999999</v>
      </c>
      <c r="E443" s="2">
        <v>0</v>
      </c>
      <c r="F443" s="2">
        <f>(0.5/0.45)*D443</f>
        <v>1.0944444444444446</v>
      </c>
      <c r="G443" s="2">
        <f>100*E443/D443</f>
        <v>0</v>
      </c>
    </row>
    <row r="444" spans="1:7" x14ac:dyDescent="0.2">
      <c r="B444">
        <v>77</v>
      </c>
      <c r="C444">
        <v>7</v>
      </c>
      <c r="D444" s="2">
        <v>2.1869999999999998</v>
      </c>
      <c r="E444" s="2">
        <f>0.166+0.399</f>
        <v>0.56500000000000006</v>
      </c>
      <c r="F444" s="2">
        <f>(0.5/0.45)*D444</f>
        <v>2.4299999999999997</v>
      </c>
      <c r="G444" s="2">
        <f>100*E444/D444</f>
        <v>25.834476451760409</v>
      </c>
    </row>
    <row r="445" spans="1:7" x14ac:dyDescent="0.2">
      <c r="B445">
        <v>78</v>
      </c>
      <c r="C445">
        <v>8</v>
      </c>
      <c r="D445" s="2">
        <v>2.1320000000000001</v>
      </c>
      <c r="E445" s="2">
        <f>0.111+0.141</f>
        <v>0.252</v>
      </c>
      <c r="F445" s="2">
        <f>(0.5/0.45)*D445</f>
        <v>2.3688888888888893</v>
      </c>
      <c r="G445" s="2">
        <f>100*E445/D445</f>
        <v>11.819887429643526</v>
      </c>
    </row>
    <row r="446" spans="1:7" x14ac:dyDescent="0.2">
      <c r="B446">
        <v>79</v>
      </c>
      <c r="C446">
        <v>10</v>
      </c>
      <c r="D446" s="2">
        <v>2.6469999999999998</v>
      </c>
      <c r="E446" s="2">
        <v>0.56299999999999994</v>
      </c>
      <c r="F446" s="2">
        <f>(0.5/0.45)*D446</f>
        <v>2.9411111111111112</v>
      </c>
      <c r="G446" s="2">
        <f>100*E446/D446</f>
        <v>21.269361541367587</v>
      </c>
    </row>
    <row r="447" spans="1:7" x14ac:dyDescent="0.2">
      <c r="B447">
        <v>80</v>
      </c>
      <c r="C447">
        <v>11</v>
      </c>
      <c r="D447" s="2">
        <v>2.746</v>
      </c>
      <c r="E447" s="2">
        <f>0.158+0.226</f>
        <v>0.38400000000000001</v>
      </c>
      <c r="F447" s="2">
        <f>(0.5/0.45)*D447</f>
        <v>3.0511111111111111</v>
      </c>
      <c r="G447" s="2">
        <f>100*E447/D447</f>
        <v>13.983976693372178</v>
      </c>
    </row>
    <row r="448" spans="1:7" x14ac:dyDescent="0.2">
      <c r="B448">
        <v>81</v>
      </c>
      <c r="C448">
        <v>12</v>
      </c>
      <c r="D448" s="2">
        <v>3.0259999999999998</v>
      </c>
      <c r="E448" s="2">
        <f>0.953+0.163</f>
        <v>1.1159999999999999</v>
      </c>
      <c r="F448" s="2">
        <f>(0.5/0.45)*D448</f>
        <v>3.362222222222222</v>
      </c>
      <c r="G448" s="2">
        <f>100*E448/D448</f>
        <v>36.880370125578324</v>
      </c>
    </row>
    <row r="449" spans="1:7" x14ac:dyDescent="0.2">
      <c r="B449">
        <v>82</v>
      </c>
      <c r="C449">
        <v>13</v>
      </c>
      <c r="D449" s="2">
        <v>2.34</v>
      </c>
      <c r="E449" s="2">
        <v>0.248</v>
      </c>
      <c r="F449" s="2">
        <f>(0.5/0.45)*D449</f>
        <v>2.6</v>
      </c>
      <c r="G449" s="2">
        <f>100*E449/D449</f>
        <v>10.5982905982906</v>
      </c>
    </row>
    <row r="450" spans="1:7" x14ac:dyDescent="0.2">
      <c r="B450">
        <v>83</v>
      </c>
      <c r="C450">
        <v>14</v>
      </c>
      <c r="D450" s="2">
        <v>1.28</v>
      </c>
      <c r="E450" s="2">
        <v>0.108</v>
      </c>
      <c r="F450" s="2">
        <f>(0.5/0.45)*D450</f>
        <v>1.4222222222222223</v>
      </c>
      <c r="G450" s="2">
        <f>100*E450/D450</f>
        <v>8.4375</v>
      </c>
    </row>
    <row r="451" spans="1:7" x14ac:dyDescent="0.2">
      <c r="B451">
        <v>84</v>
      </c>
      <c r="C451">
        <v>15</v>
      </c>
      <c r="D451" s="2">
        <v>1.984</v>
      </c>
      <c r="E451" s="2">
        <f>0.384+0.093</f>
        <v>0.47699999999999998</v>
      </c>
      <c r="F451" s="2">
        <f>(0.5/0.45)*D451</f>
        <v>2.2044444444444444</v>
      </c>
      <c r="G451" s="2">
        <f>100*E451/D451</f>
        <v>24.042338709677416</v>
      </c>
    </row>
    <row r="452" spans="1:7" x14ac:dyDescent="0.2">
      <c r="B452">
        <v>85</v>
      </c>
      <c r="C452">
        <v>16</v>
      </c>
      <c r="D452" s="2">
        <v>5.3769999999999998</v>
      </c>
      <c r="E452" s="2">
        <f>0.138+0.545+0.923</f>
        <v>1.6060000000000001</v>
      </c>
      <c r="F452" s="2">
        <f>(0.5/0.45)*D452</f>
        <v>5.9744444444444449</v>
      </c>
      <c r="G452" s="2">
        <f>100*E452/D452</f>
        <v>29.867956109354665</v>
      </c>
    </row>
    <row r="453" spans="1:7" x14ac:dyDescent="0.2">
      <c r="B453">
        <v>86</v>
      </c>
      <c r="C453">
        <v>17</v>
      </c>
      <c r="D453" s="2">
        <v>2.7029999999999998</v>
      </c>
      <c r="E453" s="2">
        <v>0</v>
      </c>
      <c r="F453" s="2">
        <f>(0.5/0.45)*D453</f>
        <v>3.0033333333333334</v>
      </c>
      <c r="G453" s="2">
        <f>100*E453/D453</f>
        <v>0</v>
      </c>
    </row>
    <row r="454" spans="1:7" x14ac:dyDescent="0.2">
      <c r="B454">
        <v>87</v>
      </c>
      <c r="C454">
        <v>18</v>
      </c>
      <c r="D454" s="2">
        <v>1.7729999999999999</v>
      </c>
      <c r="E454" s="2">
        <v>0.46100000000000002</v>
      </c>
      <c r="F454" s="2">
        <f>(0.5/0.45)*D454</f>
        <v>1.97</v>
      </c>
      <c r="G454" s="2">
        <f>100*E454/D454</f>
        <v>26.001128031584887</v>
      </c>
    </row>
    <row r="455" spans="1:7" x14ac:dyDescent="0.2">
      <c r="A455" t="s">
        <v>121</v>
      </c>
      <c r="B455">
        <v>88</v>
      </c>
      <c r="C455">
        <v>1</v>
      </c>
      <c r="D455" s="2">
        <v>3.8010000000000002</v>
      </c>
      <c r="E455" s="2">
        <f>0.715+0.594</f>
        <v>1.3089999999999999</v>
      </c>
      <c r="F455" s="2">
        <f>(0.5/0.45)*D455</f>
        <v>4.2233333333333336</v>
      </c>
      <c r="G455" s="2">
        <f>100*E455/D455</f>
        <v>34.438305709023943</v>
      </c>
    </row>
    <row r="456" spans="1:7" x14ac:dyDescent="0.2">
      <c r="B456">
        <v>89</v>
      </c>
      <c r="C456">
        <v>2</v>
      </c>
      <c r="D456" s="2">
        <v>2.5459999999999998</v>
      </c>
      <c r="E456" s="2">
        <v>0.998</v>
      </c>
      <c r="F456" s="2">
        <f>(0.5/0.45)*D456</f>
        <v>2.8288888888888888</v>
      </c>
      <c r="G456" s="2">
        <f>100*E456/D456</f>
        <v>39.198743126472898</v>
      </c>
    </row>
    <row r="457" spans="1:7" x14ac:dyDescent="0.2">
      <c r="B457">
        <v>90</v>
      </c>
      <c r="C457">
        <v>3</v>
      </c>
      <c r="D457" s="2">
        <v>2.1829999999999998</v>
      </c>
      <c r="E457" s="2">
        <v>0.22800000000000001</v>
      </c>
      <c r="F457" s="2">
        <f>(0.5/0.45)*D457</f>
        <v>2.4255555555555555</v>
      </c>
      <c r="G457" s="2">
        <f>100*E457/D457</f>
        <v>10.44434264773248</v>
      </c>
    </row>
    <row r="458" spans="1:7" x14ac:dyDescent="0.2">
      <c r="B458">
        <v>91</v>
      </c>
      <c r="C458">
        <v>4</v>
      </c>
      <c r="D458" s="2">
        <v>3.0379999999999998</v>
      </c>
      <c r="E458" s="2">
        <f>0.66+0.485</f>
        <v>1.145</v>
      </c>
      <c r="F458" s="2">
        <f>(0.5/0.45)*D458</f>
        <v>3.3755555555555556</v>
      </c>
      <c r="G458" s="2">
        <f>100*E458/D458</f>
        <v>37.689269256089538</v>
      </c>
    </row>
    <row r="459" spans="1:7" x14ac:dyDescent="0.2">
      <c r="B459">
        <v>92</v>
      </c>
      <c r="C459">
        <v>5</v>
      </c>
      <c r="D459" s="2">
        <v>1.5469999999999999</v>
      </c>
      <c r="E459" s="2">
        <v>0.106</v>
      </c>
      <c r="F459" s="2">
        <f>(0.5/0.45)*D459</f>
        <v>1.7188888888888889</v>
      </c>
      <c r="G459" s="2">
        <f>100*E459/D459</f>
        <v>6.8519715578539104</v>
      </c>
    </row>
    <row r="460" spans="1:7" x14ac:dyDescent="0.2">
      <c r="B460">
        <v>93</v>
      </c>
      <c r="C460">
        <v>6</v>
      </c>
      <c r="D460" s="2">
        <v>1.1659999999999999</v>
      </c>
      <c r="E460" s="2">
        <v>0.121</v>
      </c>
      <c r="F460" s="2">
        <f>(0.5/0.45)*D460</f>
        <v>1.2955555555555556</v>
      </c>
      <c r="G460" s="2">
        <f>100*E460/D460</f>
        <v>10.377358490566039</v>
      </c>
    </row>
    <row r="461" spans="1:7" x14ac:dyDescent="0.2">
      <c r="B461">
        <v>94</v>
      </c>
      <c r="C461">
        <v>7</v>
      </c>
      <c r="D461" s="2">
        <v>1.2649999999999999</v>
      </c>
      <c r="E461" s="2">
        <v>8.4000000000000005E-2</v>
      </c>
      <c r="F461" s="2">
        <f>(0.5/0.45)*D461</f>
        <v>1.4055555555555554</v>
      </c>
      <c r="G461" s="2">
        <f>100*E461/D461</f>
        <v>6.6403162055335976</v>
      </c>
    </row>
    <row r="462" spans="1:7" x14ac:dyDescent="0.2">
      <c r="B462">
        <v>95</v>
      </c>
      <c r="C462">
        <v>8</v>
      </c>
      <c r="D462" s="2">
        <v>1.579</v>
      </c>
      <c r="E462" s="2">
        <v>0</v>
      </c>
      <c r="F462" s="2">
        <f>(0.5/0.45)*D462</f>
        <v>1.7544444444444445</v>
      </c>
      <c r="G462" s="2">
        <f>100*E462/D462</f>
        <v>0</v>
      </c>
    </row>
    <row r="463" spans="1:7" x14ac:dyDescent="0.2">
      <c r="B463">
        <v>96</v>
      </c>
      <c r="C463">
        <v>9</v>
      </c>
      <c r="D463" s="2">
        <v>2.4529999999999998</v>
      </c>
      <c r="E463" s="2">
        <v>0</v>
      </c>
      <c r="F463" s="2">
        <f>(0.5/0.45)*D463</f>
        <v>2.7255555555555553</v>
      </c>
      <c r="G463" s="2">
        <f>100*E463/D463</f>
        <v>0</v>
      </c>
    </row>
    <row r="464" spans="1:7" x14ac:dyDescent="0.2">
      <c r="B464">
        <v>97</v>
      </c>
      <c r="C464">
        <v>10</v>
      </c>
      <c r="D464" s="2">
        <v>2.4900000000000002</v>
      </c>
      <c r="E464" s="2">
        <v>0.99399999999999999</v>
      </c>
      <c r="F464" s="2">
        <f>(0.5/0.45)*D464</f>
        <v>2.7666666666666671</v>
      </c>
      <c r="G464" s="2">
        <f>100*E464/D464</f>
        <v>39.919678714859437</v>
      </c>
    </row>
    <row r="465" spans="1:7" x14ac:dyDescent="0.2">
      <c r="B465">
        <v>98</v>
      </c>
      <c r="C465">
        <v>11</v>
      </c>
      <c r="D465" s="2">
        <v>2.407</v>
      </c>
      <c r="E465" s="2">
        <v>0.18</v>
      </c>
      <c r="F465" s="2">
        <f>(0.5/0.45)*D465</f>
        <v>2.6744444444444446</v>
      </c>
      <c r="G465" s="2">
        <f>100*E465/D465</f>
        <v>7.4781886165351059</v>
      </c>
    </row>
    <row r="466" spans="1:7" x14ac:dyDescent="0.2">
      <c r="B466">
        <v>99</v>
      </c>
      <c r="C466">
        <v>12</v>
      </c>
      <c r="D466" s="2">
        <v>1.708</v>
      </c>
      <c r="E466" s="2">
        <v>0.19</v>
      </c>
      <c r="F466" s="2">
        <f>(0.5/0.45)*D466</f>
        <v>1.8977777777777778</v>
      </c>
      <c r="G466" s="2">
        <f>100*E466/D466</f>
        <v>11.124121779859484</v>
      </c>
    </row>
    <row r="467" spans="1:7" x14ac:dyDescent="0.2">
      <c r="B467">
        <v>100</v>
      </c>
      <c r="C467">
        <v>13</v>
      </c>
      <c r="D467" s="2">
        <v>1.5509999999999999</v>
      </c>
      <c r="E467" s="2">
        <v>0.21</v>
      </c>
      <c r="F467" s="2">
        <f>(0.5/0.45)*D467</f>
        <v>1.7233333333333334</v>
      </c>
      <c r="G467" s="2">
        <f>100*E467/D467</f>
        <v>13.539651837524179</v>
      </c>
    </row>
    <row r="468" spans="1:7" x14ac:dyDescent="0.2">
      <c r="B468">
        <v>101</v>
      </c>
      <c r="C468">
        <v>14</v>
      </c>
      <c r="D468" s="2">
        <v>1.401</v>
      </c>
      <c r="E468" s="2">
        <v>0</v>
      </c>
      <c r="F468" s="2">
        <f>(0.5/0.45)*D468</f>
        <v>1.5566666666666669</v>
      </c>
      <c r="G468" s="2">
        <f>100*E468/D468</f>
        <v>0</v>
      </c>
    </row>
    <row r="469" spans="1:7" x14ac:dyDescent="0.2">
      <c r="B469">
        <v>102</v>
      </c>
      <c r="C469">
        <v>15</v>
      </c>
      <c r="D469" s="2">
        <v>1.4379999999999999</v>
      </c>
      <c r="E469" s="2">
        <v>0</v>
      </c>
      <c r="F469" s="2">
        <f>(0.5/0.45)*D469</f>
        <v>1.5977777777777777</v>
      </c>
      <c r="G469" s="2">
        <f>100*E469/D469</f>
        <v>0</v>
      </c>
    </row>
    <row r="470" spans="1:7" x14ac:dyDescent="0.2">
      <c r="A470" t="s">
        <v>120</v>
      </c>
      <c r="B470">
        <v>103</v>
      </c>
      <c r="C470">
        <v>1</v>
      </c>
      <c r="D470" s="2">
        <v>1.752</v>
      </c>
      <c r="E470" s="2">
        <v>0.19600000000000001</v>
      </c>
      <c r="F470" s="2">
        <f>(0.5/0.45)*D470</f>
        <v>1.9466666666666668</v>
      </c>
      <c r="G470" s="2">
        <f>100*E470/D470</f>
        <v>11.187214611872147</v>
      </c>
    </row>
    <row r="471" spans="1:7" x14ac:dyDescent="0.2">
      <c r="B471">
        <v>104</v>
      </c>
      <c r="C471">
        <v>2</v>
      </c>
      <c r="D471" s="2">
        <v>2.4729999999999999</v>
      </c>
      <c r="E471" s="2">
        <v>0</v>
      </c>
      <c r="F471" s="2">
        <f>(0.5/0.45)*D471</f>
        <v>2.7477777777777779</v>
      </c>
      <c r="G471" s="2">
        <f>100*E471/D471</f>
        <v>0</v>
      </c>
    </row>
    <row r="472" spans="1:7" x14ac:dyDescent="0.2">
      <c r="B472">
        <v>105</v>
      </c>
      <c r="C472">
        <v>3</v>
      </c>
      <c r="D472" s="2">
        <v>1.4650000000000001</v>
      </c>
      <c r="E472" s="2">
        <v>0.27600000000000002</v>
      </c>
      <c r="F472" s="2">
        <f>(0.5/0.45)*D472</f>
        <v>1.627777777777778</v>
      </c>
      <c r="G472" s="2">
        <f>100*E472/D472</f>
        <v>18.839590443686006</v>
      </c>
    </row>
    <row r="473" spans="1:7" x14ac:dyDescent="0.2">
      <c r="B473">
        <v>106</v>
      </c>
      <c r="C473">
        <v>4</v>
      </c>
      <c r="D473" s="2">
        <v>2.9990000000000001</v>
      </c>
      <c r="E473" s="2">
        <f>0.198+0.246</f>
        <v>0.44400000000000001</v>
      </c>
      <c r="F473" s="2">
        <f>(0.5/0.45)*D473</f>
        <v>3.3322222222222226</v>
      </c>
      <c r="G473" s="2">
        <f>100*E473/D473</f>
        <v>14.804934978326107</v>
      </c>
    </row>
    <row r="474" spans="1:7" x14ac:dyDescent="0.2">
      <c r="B474">
        <v>107</v>
      </c>
      <c r="C474">
        <v>5</v>
      </c>
      <c r="D474" s="2">
        <v>1.3620000000000001</v>
      </c>
      <c r="E474" s="2">
        <v>0.26100000000000001</v>
      </c>
      <c r="F474" s="2">
        <f>(0.5/0.45)*D474</f>
        <v>1.5133333333333334</v>
      </c>
      <c r="G474" s="2">
        <f>100*E474/D474</f>
        <v>19.162995594713657</v>
      </c>
    </row>
    <row r="475" spans="1:7" x14ac:dyDescent="0.2">
      <c r="B475">
        <v>108</v>
      </c>
      <c r="C475">
        <v>6</v>
      </c>
      <c r="D475" s="2">
        <v>1.246</v>
      </c>
      <c r="E475" s="2">
        <v>0</v>
      </c>
      <c r="F475" s="2">
        <f>(0.5/0.45)*D475</f>
        <v>1.3844444444444446</v>
      </c>
      <c r="G475" s="2">
        <f>100*E475/D475</f>
        <v>0</v>
      </c>
    </row>
    <row r="476" spans="1:7" x14ac:dyDescent="0.2">
      <c r="B476">
        <v>109</v>
      </c>
      <c r="C476">
        <v>7</v>
      </c>
      <c r="D476" s="2">
        <v>1.4359999999999999</v>
      </c>
      <c r="E476" s="2">
        <v>0.52600000000000002</v>
      </c>
      <c r="F476" s="2">
        <f>(0.5/0.45)*D476</f>
        <v>1.5955555555555556</v>
      </c>
      <c r="G476" s="2">
        <f>100*E476/D476</f>
        <v>36.629526462395546</v>
      </c>
    </row>
    <row r="477" spans="1:7" x14ac:dyDescent="0.2">
      <c r="B477">
        <v>110</v>
      </c>
      <c r="C477">
        <v>8</v>
      </c>
      <c r="D477" s="2">
        <v>1.534</v>
      </c>
      <c r="E477" s="2">
        <v>0</v>
      </c>
      <c r="F477" s="2">
        <f>(0.5/0.45)*D477</f>
        <v>1.7044444444444447</v>
      </c>
      <c r="G477" s="2">
        <f>100*E477/D477</f>
        <v>0</v>
      </c>
    </row>
    <row r="478" spans="1:7" x14ac:dyDescent="0.2">
      <c r="B478">
        <v>111</v>
      </c>
      <c r="C478">
        <v>9</v>
      </c>
      <c r="D478" s="2">
        <v>1.18</v>
      </c>
      <c r="E478" s="2">
        <v>0</v>
      </c>
      <c r="F478" s="2">
        <f>(0.5/0.45)*D478</f>
        <v>1.3111111111111111</v>
      </c>
      <c r="G478" s="2">
        <f>100*E478/D478</f>
        <v>0</v>
      </c>
    </row>
    <row r="479" spans="1:7" x14ac:dyDescent="0.2">
      <c r="B479">
        <v>112</v>
      </c>
      <c r="C479">
        <v>10</v>
      </c>
      <c r="D479" s="2">
        <v>2.012</v>
      </c>
      <c r="E479" s="2">
        <v>0</v>
      </c>
      <c r="F479" s="2">
        <f>(0.5/0.45)*D479</f>
        <v>2.2355555555555555</v>
      </c>
      <c r="G479" s="2">
        <f>100*E479/D479</f>
        <v>0</v>
      </c>
    </row>
    <row r="480" spans="1:7" x14ac:dyDescent="0.2">
      <c r="B480">
        <v>113</v>
      </c>
      <c r="C480">
        <v>11</v>
      </c>
      <c r="D480" s="2">
        <v>1.1459999999999999</v>
      </c>
      <c r="E480" s="2">
        <v>0</v>
      </c>
      <c r="F480" s="2">
        <f>(0.5/0.45)*D480</f>
        <v>1.2733333333333332</v>
      </c>
      <c r="G480" s="2">
        <f>100*E480/D480</f>
        <v>0</v>
      </c>
    </row>
    <row r="481" spans="1:7" x14ac:dyDescent="0.2">
      <c r="A481" t="s">
        <v>119</v>
      </c>
      <c r="B481">
        <v>114</v>
      </c>
      <c r="C481">
        <v>1</v>
      </c>
      <c r="D481" s="2">
        <v>0.96399999999999997</v>
      </c>
      <c r="E481" s="2">
        <v>0</v>
      </c>
      <c r="F481" s="2">
        <f>(0.5/0.45)*D481</f>
        <v>1.0711111111111111</v>
      </c>
      <c r="G481" s="2">
        <f>100*E481/D481</f>
        <v>0</v>
      </c>
    </row>
    <row r="482" spans="1:7" x14ac:dyDescent="0.2">
      <c r="B482">
        <v>115</v>
      </c>
      <c r="C482">
        <v>2</v>
      </c>
      <c r="D482" s="2">
        <v>1.0209999999999999</v>
      </c>
      <c r="E482" s="2">
        <v>0</v>
      </c>
      <c r="F482" s="2">
        <f>(0.5/0.45)*D482</f>
        <v>1.1344444444444444</v>
      </c>
      <c r="G482" s="2">
        <f>100*E482/D482</f>
        <v>0</v>
      </c>
    </row>
    <row r="483" spans="1:7" x14ac:dyDescent="0.2">
      <c r="B483">
        <v>116</v>
      </c>
      <c r="C483">
        <v>3</v>
      </c>
      <c r="D483" s="2">
        <v>1.3440000000000001</v>
      </c>
      <c r="E483" s="2">
        <v>0</v>
      </c>
      <c r="F483" s="2">
        <f>(0.5/0.45)*D483</f>
        <v>1.4933333333333334</v>
      </c>
      <c r="G483" s="2">
        <f>100*E483/D483</f>
        <v>0</v>
      </c>
    </row>
    <row r="484" spans="1:7" x14ac:dyDescent="0.2">
      <c r="B484">
        <v>117</v>
      </c>
      <c r="C484">
        <v>4</v>
      </c>
      <c r="D484" s="2">
        <v>0.96099999999999997</v>
      </c>
      <c r="E484" s="2">
        <v>0</v>
      </c>
      <c r="F484" s="2">
        <f>(0.5/0.45)*D484</f>
        <v>1.0677777777777777</v>
      </c>
      <c r="G484" s="2">
        <f>100*E484/D484</f>
        <v>0</v>
      </c>
    </row>
    <row r="485" spans="1:7" x14ac:dyDescent="0.2">
      <c r="B485">
        <v>118</v>
      </c>
      <c r="C485">
        <v>5</v>
      </c>
      <c r="D485" s="2">
        <v>1.242</v>
      </c>
      <c r="E485" s="2">
        <v>0.40200000000000002</v>
      </c>
      <c r="F485" s="2">
        <f>(0.5/0.45)*D485</f>
        <v>1.3800000000000001</v>
      </c>
      <c r="G485" s="2">
        <f>100*E485/D485</f>
        <v>32.367149758454111</v>
      </c>
    </row>
    <row r="486" spans="1:7" x14ac:dyDescent="0.2">
      <c r="B486">
        <v>119</v>
      </c>
      <c r="C486">
        <v>6</v>
      </c>
      <c r="D486" s="2">
        <v>1.21</v>
      </c>
      <c r="E486" s="2">
        <v>0</v>
      </c>
      <c r="F486" s="2">
        <f>(0.5/0.45)*D486</f>
        <v>1.3444444444444446</v>
      </c>
      <c r="G486" s="2">
        <f>100*E486/D486</f>
        <v>0</v>
      </c>
    </row>
    <row r="487" spans="1:7" x14ac:dyDescent="0.2">
      <c r="B487">
        <v>120</v>
      </c>
      <c r="C487">
        <v>7</v>
      </c>
      <c r="D487" s="2">
        <v>1.74</v>
      </c>
      <c r="E487" s="2">
        <v>0.17599999999999999</v>
      </c>
      <c r="F487" s="2">
        <f>(0.5/0.45)*D487</f>
        <v>1.9333333333333333</v>
      </c>
      <c r="G487" s="2">
        <f>100*E487/D487</f>
        <v>10.11494252873563</v>
      </c>
    </row>
    <row r="488" spans="1:7" x14ac:dyDescent="0.2">
      <c r="B488">
        <v>121</v>
      </c>
      <c r="C488">
        <v>8</v>
      </c>
      <c r="D488" s="2">
        <v>2.23</v>
      </c>
      <c r="E488" s="2">
        <v>0</v>
      </c>
      <c r="F488" s="2">
        <f>(0.5/0.45)*D488</f>
        <v>2.4777777777777779</v>
      </c>
      <c r="G488" s="2">
        <f>100*E488/D488</f>
        <v>0</v>
      </c>
    </row>
    <row r="489" spans="1:7" x14ac:dyDescent="0.2">
      <c r="B489">
        <v>122</v>
      </c>
      <c r="C489">
        <v>9</v>
      </c>
      <c r="D489" s="2">
        <v>2.1309999999999998</v>
      </c>
      <c r="E489" s="2">
        <v>9.0999999999999998E-2</v>
      </c>
      <c r="F489" s="2">
        <f>(0.5/0.45)*D489</f>
        <v>2.3677777777777775</v>
      </c>
      <c r="G489" s="2">
        <f>100*E489/D489</f>
        <v>4.2702956358517135</v>
      </c>
    </row>
    <row r="490" spans="1:7" x14ac:dyDescent="0.2">
      <c r="B490">
        <v>123</v>
      </c>
      <c r="C490">
        <v>10</v>
      </c>
      <c r="D490" s="2">
        <v>1.365</v>
      </c>
      <c r="E490" s="2">
        <v>0.11</v>
      </c>
      <c r="F490" s="2">
        <f>(0.5/0.45)*D490</f>
        <v>1.5166666666666668</v>
      </c>
      <c r="G490" s="2">
        <f>100*E490/D490</f>
        <v>8.0586080586080584</v>
      </c>
    </row>
    <row r="491" spans="1:7" x14ac:dyDescent="0.2">
      <c r="B491">
        <v>124</v>
      </c>
      <c r="C491">
        <v>11</v>
      </c>
      <c r="D491" s="2">
        <v>1.52</v>
      </c>
      <c r="E491" s="2">
        <v>0.25900000000000001</v>
      </c>
      <c r="F491" s="2">
        <f>(0.5/0.45)*D491</f>
        <v>1.6888888888888889</v>
      </c>
      <c r="G491" s="2">
        <f>100*E491/D491</f>
        <v>17.039473684210527</v>
      </c>
    </row>
    <row r="492" spans="1:7" x14ac:dyDescent="0.2">
      <c r="B492">
        <v>125</v>
      </c>
      <c r="C492">
        <v>12</v>
      </c>
      <c r="D492" s="2">
        <v>0.80100000000000005</v>
      </c>
      <c r="E492" s="2">
        <v>0</v>
      </c>
      <c r="F492" s="2">
        <f>(0.5/0.45)*D492</f>
        <v>0.89000000000000012</v>
      </c>
      <c r="G492" s="2">
        <f>100*E492/D492</f>
        <v>0</v>
      </c>
    </row>
    <row r="493" spans="1:7" x14ac:dyDescent="0.2">
      <c r="B493">
        <v>126</v>
      </c>
      <c r="C493">
        <v>13</v>
      </c>
      <c r="D493" s="2">
        <v>1.9570000000000001</v>
      </c>
      <c r="E493" s="2">
        <v>0</v>
      </c>
      <c r="F493" s="2">
        <f>(0.5/0.45)*D493</f>
        <v>2.1744444444444446</v>
      </c>
      <c r="G493" s="2">
        <f>100*E493/D493</f>
        <v>0</v>
      </c>
    </row>
    <row r="494" spans="1:7" x14ac:dyDescent="0.2">
      <c r="B494">
        <v>127</v>
      </c>
      <c r="C494">
        <v>14</v>
      </c>
      <c r="D494" s="2">
        <v>1.0389999999999999</v>
      </c>
      <c r="E494" s="2">
        <v>0</v>
      </c>
      <c r="F494" s="2">
        <f>(0.5/0.45)*D494</f>
        <v>1.1544444444444444</v>
      </c>
      <c r="G494" s="2">
        <f>100*E494/D494</f>
        <v>0</v>
      </c>
    </row>
    <row r="495" spans="1:7" x14ac:dyDescent="0.2">
      <c r="B495">
        <v>128</v>
      </c>
      <c r="C495">
        <v>15</v>
      </c>
      <c r="D495" s="2">
        <v>1.3380000000000001</v>
      </c>
      <c r="E495" s="2">
        <v>0.183</v>
      </c>
      <c r="F495" s="2">
        <f>(0.5/0.45)*D495</f>
        <v>1.4866666666666668</v>
      </c>
      <c r="G495" s="2">
        <f>100*E495/D495</f>
        <v>13.677130044843048</v>
      </c>
    </row>
    <row r="496" spans="1:7" x14ac:dyDescent="0.2">
      <c r="B496">
        <v>129</v>
      </c>
      <c r="C496">
        <v>16</v>
      </c>
      <c r="D496" s="2">
        <v>2.1579999999999999</v>
      </c>
      <c r="E496" s="2">
        <v>0</v>
      </c>
      <c r="F496" s="2">
        <f>(0.5/0.45)*D496</f>
        <v>2.3977777777777778</v>
      </c>
      <c r="G496" s="2">
        <f>100*E496/D496</f>
        <v>0</v>
      </c>
    </row>
    <row r="497" spans="1:7" x14ac:dyDescent="0.2">
      <c r="B497">
        <v>130</v>
      </c>
      <c r="C497">
        <v>17</v>
      </c>
      <c r="D497" s="2">
        <v>1.0620000000000001</v>
      </c>
      <c r="E497" s="2">
        <v>0</v>
      </c>
      <c r="F497" s="2">
        <f>(0.5/0.45)*D497</f>
        <v>1.1800000000000002</v>
      </c>
      <c r="G497" s="2">
        <f>100*E497/D497</f>
        <v>0</v>
      </c>
    </row>
    <row r="498" spans="1:7" x14ac:dyDescent="0.2">
      <c r="B498">
        <v>131</v>
      </c>
      <c r="C498">
        <v>18</v>
      </c>
      <c r="D498" s="2">
        <v>1.9590000000000001</v>
      </c>
      <c r="E498" s="2">
        <v>0.111</v>
      </c>
      <c r="F498" s="2">
        <f>(0.5/0.45)*D498</f>
        <v>2.1766666666666667</v>
      </c>
      <c r="G498" s="2">
        <f>100*E498/D498</f>
        <v>5.6661562021439504</v>
      </c>
    </row>
    <row r="499" spans="1:7" x14ac:dyDescent="0.2">
      <c r="B499">
        <v>132</v>
      </c>
      <c r="C499">
        <v>19</v>
      </c>
      <c r="D499" s="2">
        <v>1.8620000000000001</v>
      </c>
      <c r="E499" s="2">
        <v>0</v>
      </c>
      <c r="F499" s="2">
        <f>(0.5/0.45)*D499</f>
        <v>2.068888888888889</v>
      </c>
      <c r="G499" s="2">
        <f>100*E499/D499</f>
        <v>0</v>
      </c>
    </row>
    <row r="500" spans="1:7" x14ac:dyDescent="0.2">
      <c r="B500">
        <v>133</v>
      </c>
      <c r="C500">
        <v>20</v>
      </c>
      <c r="D500" s="2">
        <v>1.4870000000000001</v>
      </c>
      <c r="E500" s="2">
        <v>0</v>
      </c>
      <c r="F500" s="2">
        <f>(0.5/0.45)*D500</f>
        <v>1.6522222222222225</v>
      </c>
      <c r="G500" s="2">
        <f>100*E500/D500</f>
        <v>0</v>
      </c>
    </row>
    <row r="501" spans="1:7" x14ac:dyDescent="0.2">
      <c r="B501">
        <v>134</v>
      </c>
      <c r="C501">
        <v>21</v>
      </c>
      <c r="D501" s="2">
        <v>2.08</v>
      </c>
      <c r="E501" s="2">
        <v>0.13300000000000001</v>
      </c>
      <c r="F501" s="2">
        <f>(0.5/0.45)*D501</f>
        <v>2.3111111111111113</v>
      </c>
      <c r="G501" s="2">
        <f>100*E501/D501</f>
        <v>6.3942307692307692</v>
      </c>
    </row>
    <row r="502" spans="1:7" x14ac:dyDescent="0.2">
      <c r="B502">
        <v>135</v>
      </c>
      <c r="C502">
        <v>22</v>
      </c>
      <c r="D502" s="2">
        <v>1.411</v>
      </c>
      <c r="E502" s="2">
        <v>0</v>
      </c>
      <c r="F502" s="2">
        <f>(0.5/0.45)*D502</f>
        <v>1.5677777777777779</v>
      </c>
      <c r="G502" s="2">
        <f>100*E502/D502</f>
        <v>0</v>
      </c>
    </row>
    <row r="503" spans="1:7" x14ac:dyDescent="0.2">
      <c r="B503">
        <v>136</v>
      </c>
      <c r="C503">
        <v>23</v>
      </c>
      <c r="D503" s="2">
        <v>1.264</v>
      </c>
      <c r="E503" s="2">
        <f>0.253+0.171</f>
        <v>0.42400000000000004</v>
      </c>
      <c r="F503" s="2">
        <f>(0.5/0.45)*D503</f>
        <v>1.4044444444444446</v>
      </c>
      <c r="G503" s="2">
        <f>100*E503/D503</f>
        <v>33.544303797468359</v>
      </c>
    </row>
    <row r="504" spans="1:7" x14ac:dyDescent="0.2">
      <c r="B504">
        <v>137</v>
      </c>
      <c r="C504">
        <v>24</v>
      </c>
      <c r="D504" s="2">
        <v>2.1040000000000001</v>
      </c>
      <c r="E504" s="2">
        <v>0.13600000000000001</v>
      </c>
      <c r="F504" s="2">
        <f>(0.5/0.45)*D504</f>
        <v>2.3377777777777782</v>
      </c>
      <c r="G504" s="2">
        <f>100*E504/D504</f>
        <v>6.4638783269961984</v>
      </c>
    </row>
    <row r="505" spans="1:7" x14ac:dyDescent="0.2">
      <c r="B505">
        <v>138</v>
      </c>
      <c r="C505">
        <v>25</v>
      </c>
      <c r="D505" s="2">
        <v>1.36</v>
      </c>
      <c r="E505" s="2">
        <v>1.0029999999999999</v>
      </c>
      <c r="F505" s="2">
        <f>(0.5/0.45)*D505</f>
        <v>1.5111111111111113</v>
      </c>
      <c r="G505" s="2">
        <f>100*E505/D505</f>
        <v>73.749999999999986</v>
      </c>
    </row>
    <row r="506" spans="1:7" x14ac:dyDescent="0.2">
      <c r="B506">
        <v>139</v>
      </c>
      <c r="C506">
        <v>26</v>
      </c>
      <c r="D506" s="2">
        <v>2.6139999999999999</v>
      </c>
      <c r="E506" s="2">
        <v>0.17</v>
      </c>
      <c r="F506" s="2">
        <f>(0.5/0.45)*D506</f>
        <v>2.9044444444444446</v>
      </c>
      <c r="G506" s="2">
        <f>100*E506/D506</f>
        <v>6.5034429992348892</v>
      </c>
    </row>
    <row r="507" spans="1:7" x14ac:dyDescent="0.2">
      <c r="A507" t="s">
        <v>118</v>
      </c>
      <c r="B507">
        <v>140</v>
      </c>
      <c r="C507">
        <v>1</v>
      </c>
      <c r="D507" s="2">
        <v>3.238</v>
      </c>
      <c r="E507" s="2">
        <v>0</v>
      </c>
      <c r="F507" s="2">
        <f>(0.5/0.45)*D507</f>
        <v>3.597777777777778</v>
      </c>
      <c r="G507" s="2">
        <f>100*E507/D507</f>
        <v>0</v>
      </c>
    </row>
    <row r="508" spans="1:7" x14ac:dyDescent="0.2">
      <c r="B508">
        <v>141</v>
      </c>
      <c r="C508">
        <v>2</v>
      </c>
      <c r="D508" s="2">
        <v>1.448</v>
      </c>
      <c r="E508" s="2">
        <v>0</v>
      </c>
      <c r="F508" s="2">
        <f>(0.5/0.45)*D508</f>
        <v>1.6088888888888888</v>
      </c>
      <c r="G508" s="2">
        <f>100*E508/D508</f>
        <v>0</v>
      </c>
    </row>
    <row r="509" spans="1:7" x14ac:dyDescent="0.2">
      <c r="B509">
        <v>142</v>
      </c>
      <c r="C509">
        <v>3</v>
      </c>
      <c r="D509" s="2">
        <v>3.2040000000000002</v>
      </c>
      <c r="E509" s="2">
        <v>0</v>
      </c>
      <c r="F509" s="2">
        <f>(0.5/0.45)*D509</f>
        <v>3.5600000000000005</v>
      </c>
      <c r="G509" s="2">
        <f>100*E509/D509</f>
        <v>0</v>
      </c>
    </row>
    <row r="510" spans="1:7" x14ac:dyDescent="0.2">
      <c r="B510">
        <v>143</v>
      </c>
      <c r="C510">
        <v>4</v>
      </c>
      <c r="D510" s="2">
        <v>1.3180000000000001</v>
      </c>
      <c r="E510" s="2">
        <v>0</v>
      </c>
      <c r="F510" s="2">
        <f>(0.5/0.45)*D510</f>
        <v>1.4644444444444447</v>
      </c>
      <c r="G510" s="2">
        <f>100*E510/D510</f>
        <v>0</v>
      </c>
    </row>
    <row r="511" spans="1:7" x14ac:dyDescent="0.2">
      <c r="B511">
        <v>144</v>
      </c>
      <c r="C511">
        <v>5</v>
      </c>
      <c r="D511" s="2">
        <v>1.657</v>
      </c>
      <c r="E511" s="2">
        <v>0</v>
      </c>
      <c r="F511" s="2">
        <f>(0.5/0.45)*D511</f>
        <v>1.8411111111111111</v>
      </c>
      <c r="G511" s="2">
        <f>100*E511/D511</f>
        <v>0</v>
      </c>
    </row>
    <row r="512" spans="1:7" x14ac:dyDescent="0.2">
      <c r="B512">
        <v>145</v>
      </c>
      <c r="C512">
        <v>6</v>
      </c>
      <c r="D512" s="2">
        <v>2.621</v>
      </c>
      <c r="E512" s="2">
        <v>0</v>
      </c>
      <c r="F512" s="2">
        <f>(0.5/0.45)*D512</f>
        <v>2.9122222222222223</v>
      </c>
      <c r="G512" s="2">
        <f>100*E512/D512</f>
        <v>0</v>
      </c>
    </row>
    <row r="513" spans="1:7" x14ac:dyDescent="0.2">
      <c r="A513" t="s">
        <v>117</v>
      </c>
      <c r="B513">
        <v>146</v>
      </c>
      <c r="C513">
        <v>1</v>
      </c>
      <c r="D513" s="2">
        <v>1.3180000000000001</v>
      </c>
      <c r="E513" s="2">
        <v>0.33700000000000002</v>
      </c>
      <c r="F513" s="2">
        <f>(0.5/0.45)*D513</f>
        <v>1.4644444444444447</v>
      </c>
      <c r="G513" s="2">
        <f>100*E513/D513</f>
        <v>25.569044006069802</v>
      </c>
    </row>
    <row r="514" spans="1:7" x14ac:dyDescent="0.2">
      <c r="B514">
        <v>147</v>
      </c>
      <c r="C514">
        <v>2</v>
      </c>
      <c r="D514" s="2">
        <v>1.3740000000000001</v>
      </c>
      <c r="E514" s="2">
        <v>0</v>
      </c>
      <c r="F514" s="2">
        <f>(0.5/0.45)*D514</f>
        <v>1.5266666666666668</v>
      </c>
      <c r="G514" s="2">
        <f>100*E514/D514</f>
        <v>0</v>
      </c>
    </row>
    <row r="515" spans="1:7" x14ac:dyDescent="0.2">
      <c r="B515">
        <v>148</v>
      </c>
      <c r="C515">
        <v>3</v>
      </c>
      <c r="D515" s="2">
        <v>2.2669999999999999</v>
      </c>
      <c r="E515" s="2">
        <v>0</v>
      </c>
      <c r="F515" s="2">
        <f>(0.5/0.45)*D515</f>
        <v>2.5188888888888887</v>
      </c>
      <c r="G515" s="2">
        <f>100*E515/D515</f>
        <v>0</v>
      </c>
    </row>
    <row r="516" spans="1:7" x14ac:dyDescent="0.2">
      <c r="B516">
        <v>149</v>
      </c>
      <c r="C516">
        <v>4</v>
      </c>
      <c r="D516" s="2">
        <v>2.0739999999999998</v>
      </c>
      <c r="E516" s="2">
        <v>0</v>
      </c>
      <c r="F516" s="2">
        <f>(0.5/0.45)*D516</f>
        <v>2.3044444444444445</v>
      </c>
      <c r="G516" s="2">
        <f>100*E516/D516</f>
        <v>0</v>
      </c>
    </row>
    <row r="517" spans="1:7" x14ac:dyDescent="0.2">
      <c r="B517">
        <v>150</v>
      </c>
      <c r="C517">
        <v>5</v>
      </c>
      <c r="D517" s="2">
        <v>2.0329999999999999</v>
      </c>
      <c r="E517" s="2">
        <v>0</v>
      </c>
      <c r="F517" s="2">
        <f>(0.5/0.45)*D517</f>
        <v>2.2588888888888889</v>
      </c>
      <c r="G517" s="2">
        <f>100*E517/D517</f>
        <v>0</v>
      </c>
    </row>
    <row r="518" spans="1:7" x14ac:dyDescent="0.2">
      <c r="B518">
        <v>151</v>
      </c>
      <c r="C518">
        <v>6</v>
      </c>
      <c r="D518" s="2">
        <v>1.83</v>
      </c>
      <c r="E518" s="2">
        <v>0.13700000000000001</v>
      </c>
      <c r="F518" s="2">
        <f>(0.5/0.45)*D518</f>
        <v>2.0333333333333337</v>
      </c>
      <c r="G518" s="2">
        <f>100*E518/D518</f>
        <v>7.4863387978142075</v>
      </c>
    </row>
    <row r="519" spans="1:7" x14ac:dyDescent="0.2">
      <c r="B519">
        <v>152</v>
      </c>
      <c r="C519">
        <v>7</v>
      </c>
      <c r="D519" s="2">
        <v>1.1890000000000001</v>
      </c>
      <c r="E519" s="2">
        <v>9.4E-2</v>
      </c>
      <c r="F519" s="2">
        <f>(0.5/0.45)*D519</f>
        <v>1.3211111111111111</v>
      </c>
      <c r="G519" s="2">
        <f>100*E519/D519</f>
        <v>7.905803195962994</v>
      </c>
    </row>
    <row r="520" spans="1:7" x14ac:dyDescent="0.2">
      <c r="B520">
        <v>153</v>
      </c>
      <c r="C520">
        <v>8</v>
      </c>
      <c r="D520" s="2">
        <v>1.3220000000000001</v>
      </c>
      <c r="E520" s="2">
        <v>0.11600000000000001</v>
      </c>
      <c r="F520" s="2">
        <f>(0.5/0.45)*D520</f>
        <v>1.4688888888888891</v>
      </c>
      <c r="G520" s="2">
        <f>100*E520/D520</f>
        <v>8.7745839636913772</v>
      </c>
    </row>
    <row r="521" spans="1:7" x14ac:dyDescent="0.2">
      <c r="B521">
        <v>154</v>
      </c>
      <c r="C521">
        <v>9</v>
      </c>
      <c r="D521" s="2">
        <v>1.2949999999999999</v>
      </c>
      <c r="E521" s="2">
        <v>0.111</v>
      </c>
      <c r="F521" s="2">
        <f>(0.5/0.45)*D521</f>
        <v>1.4388888888888889</v>
      </c>
      <c r="G521" s="2">
        <f>100*E521/D521</f>
        <v>8.5714285714285712</v>
      </c>
    </row>
    <row r="522" spans="1:7" x14ac:dyDescent="0.2">
      <c r="B522">
        <v>155</v>
      </c>
      <c r="C522">
        <v>10</v>
      </c>
      <c r="D522" s="2">
        <v>1.379</v>
      </c>
      <c r="E522" s="2">
        <f>0.174+0.304</f>
        <v>0.47799999999999998</v>
      </c>
      <c r="F522" s="2">
        <f>(0.5/0.45)*D522</f>
        <v>1.5322222222222224</v>
      </c>
      <c r="G522" s="2">
        <f>100*E522/D522</f>
        <v>34.662799129804206</v>
      </c>
    </row>
    <row r="523" spans="1:7" x14ac:dyDescent="0.2">
      <c r="B523">
        <v>156</v>
      </c>
      <c r="C523">
        <v>11</v>
      </c>
      <c r="D523" s="2">
        <v>1.9630000000000001</v>
      </c>
      <c r="E523" s="2">
        <f>0.267+0.201</f>
        <v>0.46800000000000003</v>
      </c>
      <c r="F523" s="2">
        <f>(0.5/0.45)*D523</f>
        <v>2.1811111111111114</v>
      </c>
      <c r="G523" s="2">
        <f>100*E523/D523</f>
        <v>23.841059602649008</v>
      </c>
    </row>
    <row r="524" spans="1:7" x14ac:dyDescent="0.2">
      <c r="B524">
        <v>157</v>
      </c>
      <c r="C524">
        <v>12</v>
      </c>
      <c r="D524" s="2">
        <v>1.397</v>
      </c>
      <c r="E524" s="2">
        <v>0</v>
      </c>
      <c r="F524" s="2">
        <f>(0.5/0.45)*D524</f>
        <v>1.5522222222222224</v>
      </c>
      <c r="G524" s="2">
        <f>100*E524/D524</f>
        <v>0</v>
      </c>
    </row>
    <row r="525" spans="1:7" x14ac:dyDescent="0.2">
      <c r="B525">
        <v>158</v>
      </c>
      <c r="C525">
        <v>13</v>
      </c>
      <c r="D525" s="2">
        <v>1.234</v>
      </c>
      <c r="E525" s="2">
        <v>0.16</v>
      </c>
      <c r="F525" s="2">
        <f>(0.5/0.45)*D525</f>
        <v>1.3711111111111112</v>
      </c>
      <c r="G525" s="2">
        <f>100*E525/D525</f>
        <v>12.965964343598054</v>
      </c>
    </row>
    <row r="526" spans="1:7" x14ac:dyDescent="0.2">
      <c r="B526">
        <v>159</v>
      </c>
      <c r="C526">
        <v>14</v>
      </c>
      <c r="D526" s="2">
        <v>2.5249999999999999</v>
      </c>
      <c r="E526" s="2">
        <v>0</v>
      </c>
      <c r="F526" s="2">
        <f>(0.5/0.45)*D526</f>
        <v>2.8055555555555558</v>
      </c>
      <c r="G526" s="2">
        <f>100*E526/D526</f>
        <v>0</v>
      </c>
    </row>
    <row r="527" spans="1:7" x14ac:dyDescent="0.2">
      <c r="B527">
        <v>160</v>
      </c>
      <c r="C527">
        <v>15</v>
      </c>
      <c r="D527" s="2">
        <v>2.1579999999999999</v>
      </c>
      <c r="E527" s="2">
        <v>0.112</v>
      </c>
      <c r="F527" s="2">
        <f>(0.5/0.45)*D527</f>
        <v>2.3977777777777778</v>
      </c>
      <c r="G527" s="2">
        <f>100*E527/D527</f>
        <v>5.1899907321594076</v>
      </c>
    </row>
    <row r="528" spans="1:7" x14ac:dyDescent="0.2">
      <c r="B528">
        <v>161</v>
      </c>
      <c r="C528">
        <v>16</v>
      </c>
      <c r="D528" s="2">
        <v>1.996</v>
      </c>
      <c r="E528" s="2">
        <v>0.153</v>
      </c>
      <c r="F528" s="2">
        <f>(0.5/0.45)*D528</f>
        <v>2.2177777777777781</v>
      </c>
      <c r="G528" s="2">
        <f>100*E528/D528</f>
        <v>7.6653306613226446</v>
      </c>
    </row>
    <row r="529" spans="1:7" x14ac:dyDescent="0.2">
      <c r="B529">
        <v>162</v>
      </c>
      <c r="C529">
        <v>17</v>
      </c>
      <c r="D529" s="2">
        <v>2.3279999999999998</v>
      </c>
      <c r="E529" s="2">
        <v>0</v>
      </c>
      <c r="F529" s="2">
        <f>(0.5/0.45)*D529</f>
        <v>2.5866666666666664</v>
      </c>
      <c r="G529" s="2">
        <f>100*E529/D529</f>
        <v>0</v>
      </c>
    </row>
    <row r="530" spans="1:7" x14ac:dyDescent="0.2">
      <c r="B530">
        <v>163</v>
      </c>
      <c r="C530">
        <v>18</v>
      </c>
      <c r="D530" s="2">
        <v>1.31</v>
      </c>
      <c r="E530" s="2">
        <v>0</v>
      </c>
      <c r="F530" s="2">
        <f>(0.5/0.45)*D530</f>
        <v>1.4555555555555557</v>
      </c>
      <c r="G530" s="2">
        <f>100*E530/D530</f>
        <v>0</v>
      </c>
    </row>
    <row r="531" spans="1:7" x14ac:dyDescent="0.2">
      <c r="B531">
        <v>164</v>
      </c>
      <c r="C531">
        <v>19</v>
      </c>
      <c r="D531" s="2">
        <v>1.327</v>
      </c>
      <c r="E531" s="2">
        <v>0.25600000000000001</v>
      </c>
      <c r="F531" s="2">
        <f>(0.5/0.45)*D531</f>
        <v>1.4744444444444444</v>
      </c>
      <c r="G531" s="2">
        <f>100*E531/D531</f>
        <v>19.291635267520725</v>
      </c>
    </row>
    <row r="532" spans="1:7" x14ac:dyDescent="0.2">
      <c r="A532" t="s">
        <v>116</v>
      </c>
      <c r="B532">
        <v>165</v>
      </c>
      <c r="C532">
        <v>1</v>
      </c>
      <c r="D532" s="2">
        <v>3.73</v>
      </c>
      <c r="E532" s="2">
        <v>0</v>
      </c>
      <c r="F532" s="2">
        <f>(0.5/0.45)*D532</f>
        <v>4.1444444444444448</v>
      </c>
      <c r="G532" s="2">
        <f>100*E532/D532</f>
        <v>0</v>
      </c>
    </row>
    <row r="533" spans="1:7" x14ac:dyDescent="0.2">
      <c r="B533">
        <v>166</v>
      </c>
      <c r="C533">
        <v>2</v>
      </c>
      <c r="D533" s="2">
        <v>2.8479999999999999</v>
      </c>
      <c r="E533" s="2">
        <v>0</v>
      </c>
      <c r="F533" s="2">
        <f>(0.5/0.45)*D533</f>
        <v>3.1644444444444444</v>
      </c>
      <c r="G533" s="2">
        <f>100*E533/D533</f>
        <v>0</v>
      </c>
    </row>
    <row r="534" spans="1:7" x14ac:dyDescent="0.2">
      <c r="B534">
        <v>167</v>
      </c>
      <c r="C534">
        <v>3</v>
      </c>
      <c r="D534" s="2">
        <v>3.8370000000000002</v>
      </c>
      <c r="E534" s="2">
        <v>0.44800000000000001</v>
      </c>
      <c r="F534" s="2">
        <f>(0.5/0.45)*D534</f>
        <v>4.2633333333333336</v>
      </c>
      <c r="G534" s="2">
        <f>100*E534/D534</f>
        <v>11.67578837633568</v>
      </c>
    </row>
    <row r="535" spans="1:7" x14ac:dyDescent="0.2">
      <c r="B535">
        <v>168</v>
      </c>
      <c r="C535">
        <v>4</v>
      </c>
      <c r="D535" s="2">
        <v>2.1709999999999998</v>
      </c>
      <c r="E535" s="2">
        <v>0</v>
      </c>
      <c r="F535" s="2">
        <f>(0.5/0.45)*D535</f>
        <v>2.4122222222222223</v>
      </c>
      <c r="G535" s="2">
        <f>100*E535/D535</f>
        <v>0</v>
      </c>
    </row>
    <row r="536" spans="1:7" x14ac:dyDescent="0.2">
      <c r="B536">
        <v>169</v>
      </c>
      <c r="C536">
        <v>5</v>
      </c>
      <c r="D536" s="2">
        <v>1.623</v>
      </c>
      <c r="E536" s="2">
        <v>0</v>
      </c>
      <c r="F536" s="2">
        <f>(0.5/0.45)*D536</f>
        <v>1.8033333333333335</v>
      </c>
      <c r="G536" s="2">
        <f>100*E536/D536</f>
        <v>0</v>
      </c>
    </row>
    <row r="537" spans="1:7" x14ac:dyDescent="0.2">
      <c r="B537">
        <v>170</v>
      </c>
      <c r="C537">
        <v>6</v>
      </c>
      <c r="D537" s="2">
        <v>1.766</v>
      </c>
      <c r="E537" s="2">
        <v>0</v>
      </c>
      <c r="F537" s="2">
        <f>(0.5/0.45)*D537</f>
        <v>1.9622222222222223</v>
      </c>
      <c r="G537" s="2">
        <f>100*E537/D537</f>
        <v>0</v>
      </c>
    </row>
    <row r="538" spans="1:7" x14ac:dyDescent="0.2">
      <c r="B538">
        <v>171</v>
      </c>
      <c r="C538">
        <v>7</v>
      </c>
      <c r="D538" s="2">
        <v>1.462</v>
      </c>
      <c r="E538" s="2">
        <v>0</v>
      </c>
      <c r="F538" s="2">
        <f>(0.5/0.45)*D538</f>
        <v>1.6244444444444446</v>
      </c>
      <c r="G538" s="2">
        <f>100*E538/D538</f>
        <v>0</v>
      </c>
    </row>
    <row r="539" spans="1:7" x14ac:dyDescent="0.2">
      <c r="A539" t="s">
        <v>115</v>
      </c>
      <c r="B539">
        <v>172</v>
      </c>
      <c r="C539">
        <v>1</v>
      </c>
      <c r="D539" s="2">
        <v>1.6359999999999999</v>
      </c>
      <c r="E539" s="2">
        <v>0.86599999999999999</v>
      </c>
      <c r="F539" s="2">
        <f>(0.5/0.45)*D539</f>
        <v>1.8177777777777777</v>
      </c>
      <c r="G539" s="2">
        <f>100*E539/D539</f>
        <v>52.933985330073348</v>
      </c>
    </row>
    <row r="540" spans="1:7" x14ac:dyDescent="0.2">
      <c r="B540">
        <v>173</v>
      </c>
      <c r="C540">
        <v>2</v>
      </c>
      <c r="D540" s="2">
        <v>2.4590000000000001</v>
      </c>
      <c r="E540" s="2">
        <f>0.303+0.108</f>
        <v>0.41099999999999998</v>
      </c>
      <c r="F540" s="2">
        <f>(0.5/0.45)*D540</f>
        <v>2.7322222222222226</v>
      </c>
      <c r="G540" s="2">
        <f>100*E540/D540</f>
        <v>16.714111427409513</v>
      </c>
    </row>
    <row r="541" spans="1:7" x14ac:dyDescent="0.2">
      <c r="B541">
        <v>174</v>
      </c>
      <c r="C541">
        <v>3</v>
      </c>
      <c r="D541" s="2">
        <v>3.915</v>
      </c>
      <c r="E541" s="2">
        <f>0.294+0.214</f>
        <v>0.50800000000000001</v>
      </c>
      <c r="F541" s="2">
        <f>(0.5/0.45)*D541</f>
        <v>4.3500000000000005</v>
      </c>
      <c r="G541" s="2">
        <f>100*E541/D541</f>
        <v>12.975734355044699</v>
      </c>
    </row>
    <row r="542" spans="1:7" x14ac:dyDescent="0.2">
      <c r="B542">
        <v>175</v>
      </c>
      <c r="C542">
        <v>4</v>
      </c>
      <c r="D542" s="2">
        <v>1.5820000000000001</v>
      </c>
      <c r="E542" s="2">
        <v>0.14799999999999999</v>
      </c>
      <c r="F542" s="2">
        <f>(0.5/0.45)*D542</f>
        <v>1.7577777777777779</v>
      </c>
      <c r="G542" s="2">
        <f>100*E542/D542</f>
        <v>9.3552465233881144</v>
      </c>
    </row>
    <row r="543" spans="1:7" x14ac:dyDescent="0.2">
      <c r="B543">
        <v>176</v>
      </c>
      <c r="C543">
        <v>5</v>
      </c>
      <c r="D543" s="2">
        <v>1.8080000000000001</v>
      </c>
      <c r="E543" s="2">
        <v>0.38500000000000001</v>
      </c>
      <c r="F543" s="2">
        <f>(0.5/0.45)*D543</f>
        <v>2.0088888888888889</v>
      </c>
      <c r="G543" s="2">
        <f>100*E543/D543</f>
        <v>21.294247787610619</v>
      </c>
    </row>
    <row r="544" spans="1:7" x14ac:dyDescent="0.2">
      <c r="B544">
        <v>177</v>
      </c>
      <c r="C544">
        <v>6</v>
      </c>
      <c r="D544" s="2">
        <v>2.4700000000000002</v>
      </c>
      <c r="E544" s="2">
        <f>0.094+0.093</f>
        <v>0.187</v>
      </c>
      <c r="F544" s="2">
        <f>(0.5/0.45)*D544</f>
        <v>2.7444444444444449</v>
      </c>
      <c r="G544" s="2">
        <f>100*E544/D544</f>
        <v>7.5708502024291491</v>
      </c>
    </row>
    <row r="545" spans="1:7" x14ac:dyDescent="0.2">
      <c r="B545">
        <v>178</v>
      </c>
      <c r="C545">
        <v>7</v>
      </c>
      <c r="D545" s="2">
        <v>1.603</v>
      </c>
      <c r="E545" s="2">
        <v>0.247</v>
      </c>
      <c r="F545" s="2">
        <f>(0.5/0.45)*D545</f>
        <v>1.7811111111111111</v>
      </c>
      <c r="G545" s="2">
        <f>100*E545/D545</f>
        <v>15.408608858390517</v>
      </c>
    </row>
    <row r="546" spans="1:7" x14ac:dyDescent="0.2">
      <c r="B546">
        <v>179</v>
      </c>
      <c r="C546">
        <v>8</v>
      </c>
      <c r="D546" s="2">
        <v>2.387</v>
      </c>
      <c r="E546" s="2">
        <v>0</v>
      </c>
      <c r="F546" s="2">
        <f>(0.5/0.45)*D546</f>
        <v>2.6522222222222225</v>
      </c>
      <c r="G546" s="2">
        <f>100*E546/D546</f>
        <v>0</v>
      </c>
    </row>
    <row r="547" spans="1:7" x14ac:dyDescent="0.2">
      <c r="B547">
        <v>180</v>
      </c>
      <c r="C547">
        <v>9</v>
      </c>
      <c r="D547" s="2">
        <v>2.1269999999999998</v>
      </c>
      <c r="E547" s="2">
        <v>0.54400000000000004</v>
      </c>
      <c r="F547" s="2">
        <f>(0.5/0.45)*D547</f>
        <v>2.3633333333333333</v>
      </c>
      <c r="G547" s="2">
        <f>100*E547/D547</f>
        <v>25.575928537846739</v>
      </c>
    </row>
    <row r="548" spans="1:7" x14ac:dyDescent="0.2">
      <c r="B548">
        <v>181</v>
      </c>
      <c r="C548">
        <v>10</v>
      </c>
      <c r="D548" s="2">
        <v>1.847</v>
      </c>
      <c r="E548" s="2">
        <v>0.249</v>
      </c>
      <c r="F548" s="2">
        <f>(0.5/0.45)*D548</f>
        <v>2.0522222222222224</v>
      </c>
      <c r="G548" s="2">
        <f>100*E548/D548</f>
        <v>13.481321061180292</v>
      </c>
    </row>
    <row r="549" spans="1:7" x14ac:dyDescent="0.2">
      <c r="A549" t="s">
        <v>114</v>
      </c>
      <c r="B549">
        <v>182</v>
      </c>
      <c r="C549">
        <v>1</v>
      </c>
      <c r="D549" s="2">
        <v>2.5680000000000001</v>
      </c>
      <c r="E549" s="2">
        <v>0.25600000000000001</v>
      </c>
      <c r="F549" s="2">
        <f>(0.5/0.45)*D549</f>
        <v>2.8533333333333335</v>
      </c>
      <c r="G549" s="2">
        <f>100*E549/D549</f>
        <v>9.9688473520249232</v>
      </c>
    </row>
    <row r="550" spans="1:7" x14ac:dyDescent="0.2">
      <c r="B550">
        <v>183</v>
      </c>
      <c r="C550">
        <v>2</v>
      </c>
      <c r="D550" s="2">
        <v>1.7450000000000001</v>
      </c>
      <c r="E550" s="2">
        <v>0.27200000000000002</v>
      </c>
      <c r="F550" s="2">
        <f>(0.5/0.45)*D550</f>
        <v>1.9388888888888891</v>
      </c>
      <c r="G550" s="2">
        <f>100*E550/D550</f>
        <v>15.587392550143267</v>
      </c>
    </row>
    <row r="551" spans="1:7" x14ac:dyDescent="0.2">
      <c r="B551">
        <v>184</v>
      </c>
      <c r="C551">
        <v>3</v>
      </c>
      <c r="D551" s="2">
        <v>1.1879999999999999</v>
      </c>
      <c r="E551" s="2">
        <f>0.104+0.104</f>
        <v>0.20799999999999999</v>
      </c>
      <c r="F551" s="2">
        <f>(0.5/0.45)*D551</f>
        <v>1.32</v>
      </c>
      <c r="G551" s="2">
        <f>100*E551/D551</f>
        <v>17.508417508417509</v>
      </c>
    </row>
    <row r="552" spans="1:7" x14ac:dyDescent="0.2">
      <c r="B552">
        <v>185</v>
      </c>
      <c r="C552">
        <v>4</v>
      </c>
      <c r="D552" s="2">
        <v>3.7029999999999998</v>
      </c>
      <c r="E552" s="2">
        <f>0.742+0.099+0.587</f>
        <v>1.4279999999999999</v>
      </c>
      <c r="F552" s="2">
        <f>(0.5/0.45)*D552</f>
        <v>4.1144444444444446</v>
      </c>
      <c r="G552" s="2">
        <f>100*E552/D552</f>
        <v>38.563327032136101</v>
      </c>
    </row>
    <row r="553" spans="1:7" x14ac:dyDescent="0.2">
      <c r="B553">
        <v>186</v>
      </c>
      <c r="C553">
        <v>5</v>
      </c>
      <c r="D553" s="2">
        <v>2.1840000000000002</v>
      </c>
      <c r="E553" s="2">
        <v>0.153</v>
      </c>
      <c r="F553" s="2">
        <f>(0.5/0.45)*D553</f>
        <v>2.4266666666666667</v>
      </c>
      <c r="G553" s="2">
        <f>100*E553/D553</f>
        <v>7.0054945054945046</v>
      </c>
    </row>
    <row r="554" spans="1:7" x14ac:dyDescent="0.2">
      <c r="B554">
        <v>187</v>
      </c>
      <c r="C554">
        <v>6</v>
      </c>
      <c r="D554" s="2">
        <v>1.7649999999999999</v>
      </c>
      <c r="E554" s="2">
        <f>0.401+0.114</f>
        <v>0.51500000000000001</v>
      </c>
      <c r="F554" s="2">
        <f>(0.5/0.45)*D554</f>
        <v>1.961111111111111</v>
      </c>
      <c r="G554" s="2">
        <f>100*E554/D554</f>
        <v>29.17847025495751</v>
      </c>
    </row>
    <row r="555" spans="1:7" x14ac:dyDescent="0.2">
      <c r="B555">
        <v>188</v>
      </c>
      <c r="C555">
        <v>7</v>
      </c>
      <c r="D555" s="2">
        <v>1.2250000000000001</v>
      </c>
      <c r="E555" s="2">
        <v>0</v>
      </c>
      <c r="F555" s="2">
        <f>(0.5/0.45)*D555</f>
        <v>1.3611111111111112</v>
      </c>
      <c r="G555" s="2">
        <f>100*E555/D555</f>
        <v>0</v>
      </c>
    </row>
    <row r="556" spans="1:7" x14ac:dyDescent="0.2">
      <c r="B556">
        <v>189</v>
      </c>
      <c r="C556">
        <v>8</v>
      </c>
      <c r="D556" s="2">
        <v>3.3159999999999998</v>
      </c>
      <c r="E556" s="2">
        <v>0.73799999999999999</v>
      </c>
      <c r="F556" s="2">
        <f>(0.5/0.45)*D556</f>
        <v>3.6844444444444444</v>
      </c>
      <c r="G556" s="2">
        <f>100*E556/D556</f>
        <v>22.255729794933654</v>
      </c>
    </row>
    <row r="557" spans="1:7" x14ac:dyDescent="0.2">
      <c r="B557">
        <v>190</v>
      </c>
      <c r="C557">
        <v>9</v>
      </c>
      <c r="D557" s="2">
        <v>2.4620000000000002</v>
      </c>
      <c r="E557" s="2">
        <v>0.71599999999999997</v>
      </c>
      <c r="F557" s="2">
        <f>(0.5/0.45)*D557</f>
        <v>2.735555555555556</v>
      </c>
      <c r="G557" s="2">
        <f>100*E557/D557</f>
        <v>29.082047116165715</v>
      </c>
    </row>
    <row r="558" spans="1:7" x14ac:dyDescent="0.2">
      <c r="B558">
        <v>191</v>
      </c>
      <c r="C558">
        <v>10</v>
      </c>
      <c r="D558" s="2">
        <v>0.88300000000000001</v>
      </c>
      <c r="E558" s="2">
        <v>0</v>
      </c>
      <c r="F558" s="2">
        <f>(0.5/0.45)*D558</f>
        <v>0.98111111111111116</v>
      </c>
      <c r="G558" s="2">
        <f>100*E558/D558</f>
        <v>0</v>
      </c>
    </row>
    <row r="559" spans="1:7" x14ac:dyDescent="0.2">
      <c r="B559">
        <v>192</v>
      </c>
      <c r="C559">
        <v>11</v>
      </c>
      <c r="D559" s="2">
        <v>1.802</v>
      </c>
      <c r="E559" s="2">
        <v>0.60599999999999998</v>
      </c>
      <c r="F559" s="2">
        <f>(0.5/0.45)*D559</f>
        <v>2.0022222222222226</v>
      </c>
      <c r="G559" s="2">
        <f>100*E559/D559</f>
        <v>33.62930077691454</v>
      </c>
    </row>
    <row r="560" spans="1:7" x14ac:dyDescent="0.2">
      <c r="B560">
        <v>193</v>
      </c>
      <c r="C560">
        <v>12</v>
      </c>
      <c r="D560" s="2">
        <v>1.71</v>
      </c>
      <c r="E560" s="2">
        <v>0.95</v>
      </c>
      <c r="F560" s="2">
        <f>(0.5/0.45)*D560</f>
        <v>1.9000000000000001</v>
      </c>
      <c r="G560" s="2">
        <f>100*E560/D560</f>
        <v>55.555555555555557</v>
      </c>
    </row>
    <row r="561" spans="1:7" x14ac:dyDescent="0.2">
      <c r="B561">
        <v>194</v>
      </c>
      <c r="C561">
        <v>13</v>
      </c>
      <c r="D561" s="2">
        <v>1.849</v>
      </c>
      <c r="E561" s="2">
        <v>0</v>
      </c>
      <c r="F561" s="2">
        <f>(0.5/0.45)*D561</f>
        <v>2.0544444444444445</v>
      </c>
      <c r="G561" s="2">
        <f>100*E561/D561</f>
        <v>0</v>
      </c>
    </row>
    <row r="562" spans="1:7" x14ac:dyDescent="0.2">
      <c r="B562">
        <v>195</v>
      </c>
      <c r="C562">
        <v>14</v>
      </c>
      <c r="D562" s="2">
        <v>1.3380000000000001</v>
      </c>
      <c r="E562" s="2">
        <v>0</v>
      </c>
      <c r="F562" s="2">
        <f>(0.5/0.45)*D562</f>
        <v>1.4866666666666668</v>
      </c>
      <c r="G562" s="2">
        <f>100*E562/D562</f>
        <v>0</v>
      </c>
    </row>
    <row r="563" spans="1:7" x14ac:dyDescent="0.2">
      <c r="B563">
        <v>196</v>
      </c>
      <c r="C563">
        <v>15</v>
      </c>
      <c r="D563" s="2">
        <v>1.5669999999999999</v>
      </c>
      <c r="E563" s="2">
        <v>0.188</v>
      </c>
      <c r="F563" s="2">
        <f>(0.5/0.45)*D563</f>
        <v>1.7411111111111111</v>
      </c>
      <c r="G563" s="2">
        <f>100*E563/D563</f>
        <v>11.997447351627315</v>
      </c>
    </row>
    <row r="564" spans="1:7" x14ac:dyDescent="0.2">
      <c r="B564">
        <v>197</v>
      </c>
      <c r="C564">
        <v>16</v>
      </c>
      <c r="D564" s="2">
        <v>2.0529999999999999</v>
      </c>
      <c r="E564" s="2">
        <v>0.153</v>
      </c>
      <c r="F564" s="2">
        <f>(0.5/0.45)*D564</f>
        <v>2.2811111111111111</v>
      </c>
      <c r="G564" s="2">
        <f>100*E564/D564</f>
        <v>7.4525085241110567</v>
      </c>
    </row>
    <row r="565" spans="1:7" x14ac:dyDescent="0.2">
      <c r="B565">
        <v>198</v>
      </c>
      <c r="C565">
        <v>17</v>
      </c>
      <c r="D565" s="2">
        <v>1.919</v>
      </c>
      <c r="E565" s="2">
        <v>0.122</v>
      </c>
      <c r="F565" s="2">
        <f>(0.5/0.45)*D565</f>
        <v>2.1322222222222225</v>
      </c>
      <c r="G565" s="2">
        <f>100*E565/D565</f>
        <v>6.3574778530484624</v>
      </c>
    </row>
    <row r="566" spans="1:7" x14ac:dyDescent="0.2">
      <c r="B566">
        <v>199</v>
      </c>
      <c r="C566">
        <v>18</v>
      </c>
      <c r="D566" s="2">
        <v>1.44</v>
      </c>
      <c r="E566" s="2">
        <v>0</v>
      </c>
      <c r="F566" s="2">
        <f>(0.5/0.45)*D566</f>
        <v>1.6</v>
      </c>
      <c r="G566" s="2">
        <f>100*E566/D566</f>
        <v>0</v>
      </c>
    </row>
    <row r="567" spans="1:7" x14ac:dyDescent="0.2">
      <c r="B567">
        <v>200</v>
      </c>
      <c r="C567">
        <v>19</v>
      </c>
      <c r="D567" s="2">
        <v>1.56</v>
      </c>
      <c r="E567" s="2">
        <v>0.23300000000000001</v>
      </c>
      <c r="F567" s="2">
        <f>(0.5/0.45)*D567</f>
        <v>1.7333333333333334</v>
      </c>
      <c r="G567" s="2">
        <f>100*E567/D567</f>
        <v>14.935897435897436</v>
      </c>
    </row>
    <row r="568" spans="1:7" x14ac:dyDescent="0.2">
      <c r="B568">
        <v>201</v>
      </c>
      <c r="C568">
        <v>20</v>
      </c>
      <c r="D568" s="2">
        <v>1.8220000000000001</v>
      </c>
      <c r="E568" s="2">
        <f>0.254+0.2</f>
        <v>0.45400000000000001</v>
      </c>
      <c r="F568" s="2">
        <f>(0.5/0.45)*D568</f>
        <v>2.0244444444444447</v>
      </c>
      <c r="G568" s="2">
        <f>100*E568/D568</f>
        <v>24.917672886937428</v>
      </c>
    </row>
    <row r="569" spans="1:7" x14ac:dyDescent="0.2">
      <c r="B569">
        <v>202</v>
      </c>
      <c r="C569">
        <v>21</v>
      </c>
      <c r="D569" s="2">
        <v>1.2909999999999999</v>
      </c>
      <c r="E569" s="2">
        <v>0</v>
      </c>
      <c r="F569" s="2">
        <f>(0.5/0.45)*D569</f>
        <v>1.4344444444444444</v>
      </c>
      <c r="G569" s="2">
        <f>100*E569/D569</f>
        <v>0</v>
      </c>
    </row>
    <row r="570" spans="1:7" x14ac:dyDescent="0.2">
      <c r="B570">
        <v>203</v>
      </c>
      <c r="C570">
        <v>22</v>
      </c>
      <c r="D570" s="2">
        <v>1.302</v>
      </c>
      <c r="E570" s="2">
        <v>0.159</v>
      </c>
      <c r="F570" s="2">
        <f>(0.5/0.45)*D570</f>
        <v>1.4466666666666668</v>
      </c>
      <c r="G570" s="2">
        <f>100*E570/D570</f>
        <v>12.211981566820276</v>
      </c>
    </row>
    <row r="572" spans="1:7" x14ac:dyDescent="0.2">
      <c r="C572" t="s">
        <v>1</v>
      </c>
      <c r="D572" s="2">
        <f>AVERAGE(D368:D570)</f>
        <v>2.0060541871921189</v>
      </c>
      <c r="E572" s="2">
        <f>AVERAGE(E368:E570)</f>
        <v>0.22520689655172416</v>
      </c>
      <c r="F572" s="2">
        <f>AVERAGE(F368:F570)</f>
        <v>2.2289490968801315</v>
      </c>
      <c r="G572" s="2">
        <f>AVERAGE(G368:G570)</f>
        <v>10.919295778179032</v>
      </c>
    </row>
    <row r="573" spans="1:7" x14ac:dyDescent="0.2">
      <c r="C573" t="s">
        <v>0</v>
      </c>
      <c r="D573" s="2">
        <f>STDEV(D368:D570)</f>
        <v>0.85617335504025904</v>
      </c>
      <c r="E573" s="2">
        <f>STDEV(E368:E570)</f>
        <v>0.30449795809964902</v>
      </c>
      <c r="F573" s="2">
        <f>STDEV(F368:F570)</f>
        <v>0.95130372782250949</v>
      </c>
      <c r="G573" s="2">
        <f>STDEV(G368:G570)</f>
        <v>13.517034304545232</v>
      </c>
    </row>
    <row r="575" spans="1:7" x14ac:dyDescent="0.2">
      <c r="A575" t="s">
        <v>113</v>
      </c>
    </row>
    <row r="576" spans="1:7" x14ac:dyDescent="0.2">
      <c r="A576" s="5" t="s">
        <v>95</v>
      </c>
      <c r="B576" s="5" t="s">
        <v>23</v>
      </c>
      <c r="C576" s="5" t="s">
        <v>22</v>
      </c>
      <c r="D576" s="4" t="s">
        <v>94</v>
      </c>
      <c r="E576" s="4" t="s">
        <v>93</v>
      </c>
      <c r="F576" s="4" t="s">
        <v>92</v>
      </c>
      <c r="G576" s="4" t="s">
        <v>91</v>
      </c>
    </row>
    <row r="577" spans="1:7" x14ac:dyDescent="0.2">
      <c r="A577" t="s">
        <v>112</v>
      </c>
      <c r="B577">
        <v>1</v>
      </c>
      <c r="C577">
        <v>1</v>
      </c>
      <c r="D577" s="2">
        <v>2.8279999999999998</v>
      </c>
      <c r="E577" s="2">
        <v>0.28000000000000003</v>
      </c>
      <c r="F577" s="2">
        <f>(0.5/0.45)*D577</f>
        <v>3.1422222222222222</v>
      </c>
      <c r="G577" s="2">
        <f>100*E577/D577</f>
        <v>9.9009900990099027</v>
      </c>
    </row>
    <row r="578" spans="1:7" x14ac:dyDescent="0.2">
      <c r="B578">
        <v>2</v>
      </c>
      <c r="C578">
        <v>2</v>
      </c>
      <c r="D578" s="2">
        <v>4.3090000000000002</v>
      </c>
      <c r="E578" s="2">
        <f>0.25+0.863+0.293</f>
        <v>1.4059999999999999</v>
      </c>
      <c r="F578" s="2">
        <f>(0.5/0.45)*D578</f>
        <v>4.7877777777777784</v>
      </c>
      <c r="G578" s="2">
        <f>100*E578/D578</f>
        <v>32.629380366674397</v>
      </c>
    </row>
    <row r="579" spans="1:7" x14ac:dyDescent="0.2">
      <c r="B579">
        <v>3</v>
      </c>
      <c r="C579">
        <v>3</v>
      </c>
      <c r="D579" s="2">
        <v>2.2400000000000002</v>
      </c>
      <c r="E579" s="2">
        <f>0.528+0.227</f>
        <v>0.755</v>
      </c>
      <c r="F579" s="2">
        <f>(0.5/0.45)*D579</f>
        <v>2.4888888888888894</v>
      </c>
      <c r="G579" s="2">
        <f>100*E579/D579</f>
        <v>33.705357142857139</v>
      </c>
    </row>
    <row r="580" spans="1:7" x14ac:dyDescent="0.2">
      <c r="B580">
        <v>4</v>
      </c>
      <c r="C580">
        <v>4</v>
      </c>
      <c r="D580" s="2">
        <v>2.6080000000000001</v>
      </c>
      <c r="E580" s="2">
        <f>0.513+0.166</f>
        <v>0.67900000000000005</v>
      </c>
      <c r="F580" s="2">
        <f>(0.5/0.45)*D580</f>
        <v>2.8977777777777782</v>
      </c>
      <c r="G580" s="2">
        <f>100*E580/D580</f>
        <v>26.035276073619634</v>
      </c>
    </row>
    <row r="581" spans="1:7" x14ac:dyDescent="0.2">
      <c r="B581">
        <v>5</v>
      </c>
      <c r="C581">
        <v>5</v>
      </c>
      <c r="D581" s="2">
        <v>1.67</v>
      </c>
      <c r="E581" s="2">
        <f>0.166+0.144</f>
        <v>0.31</v>
      </c>
      <c r="F581" s="2">
        <f>(0.5/0.45)*D581</f>
        <v>1.8555555555555556</v>
      </c>
      <c r="G581" s="2">
        <f>100*E581/D581</f>
        <v>18.562874251497007</v>
      </c>
    </row>
    <row r="582" spans="1:7" x14ac:dyDescent="0.2">
      <c r="A582" t="s">
        <v>111</v>
      </c>
      <c r="B582">
        <v>6</v>
      </c>
      <c r="C582">
        <v>1</v>
      </c>
      <c r="D582" s="2">
        <v>2.8250000000000002</v>
      </c>
      <c r="E582" s="2">
        <f>1.025+0.288</f>
        <v>1.3129999999999999</v>
      </c>
      <c r="F582" s="2">
        <f>(0.5/0.45)*D582</f>
        <v>3.1388888888888893</v>
      </c>
      <c r="G582" s="2">
        <f>100*E582/D582</f>
        <v>46.477876106194678</v>
      </c>
    </row>
    <row r="583" spans="1:7" x14ac:dyDescent="0.2">
      <c r="B583">
        <v>7</v>
      </c>
      <c r="C583">
        <v>2</v>
      </c>
      <c r="D583" s="2">
        <v>2.669</v>
      </c>
      <c r="E583" s="2">
        <f>0.595+0.31</f>
        <v>0.90500000000000003</v>
      </c>
      <c r="F583" s="2">
        <f>(0.5/0.45)*D583</f>
        <v>2.9655555555555559</v>
      </c>
      <c r="G583" s="2">
        <f>100*E583/D583</f>
        <v>33.907830648182838</v>
      </c>
    </row>
    <row r="584" spans="1:7" x14ac:dyDescent="0.2">
      <c r="B584">
        <v>8</v>
      </c>
      <c r="C584">
        <v>3</v>
      </c>
      <c r="D584" s="2">
        <v>2.117</v>
      </c>
      <c r="E584" s="2">
        <f>0.111+0.27</f>
        <v>0.38100000000000001</v>
      </c>
      <c r="F584" s="2">
        <f>(0.5/0.45)*D584</f>
        <v>2.3522222222222222</v>
      </c>
      <c r="G584" s="2">
        <f>100*E584/D584</f>
        <v>17.997165800661314</v>
      </c>
    </row>
    <row r="585" spans="1:7" x14ac:dyDescent="0.2">
      <c r="B585">
        <v>9</v>
      </c>
      <c r="C585">
        <v>4</v>
      </c>
      <c r="D585" s="2">
        <v>1.7869999999999999</v>
      </c>
      <c r="E585" s="2">
        <f>0.157+0.67</f>
        <v>0.82700000000000007</v>
      </c>
      <c r="F585" s="2">
        <f>(0.5/0.45)*D585</f>
        <v>1.9855555555555555</v>
      </c>
      <c r="G585" s="2">
        <f>100*E585/D585</f>
        <v>46.278679350867378</v>
      </c>
    </row>
    <row r="586" spans="1:7" x14ac:dyDescent="0.2">
      <c r="B586">
        <v>10</v>
      </c>
      <c r="C586">
        <v>5</v>
      </c>
      <c r="D586" s="2">
        <v>2.3559999999999999</v>
      </c>
      <c r="E586" s="2">
        <v>0.96599999999999997</v>
      </c>
      <c r="F586" s="2">
        <f>(0.5/0.45)*D586</f>
        <v>2.6177777777777775</v>
      </c>
      <c r="G586" s="2">
        <f>100*E586/D586</f>
        <v>41.001697792869273</v>
      </c>
    </row>
    <row r="587" spans="1:7" x14ac:dyDescent="0.2">
      <c r="B587">
        <v>11</v>
      </c>
      <c r="C587">
        <v>6</v>
      </c>
      <c r="D587" s="2">
        <v>2.6859999999999999</v>
      </c>
      <c r="E587" s="2">
        <v>0.82</v>
      </c>
      <c r="F587" s="2">
        <f>(0.5/0.45)*D587</f>
        <v>2.9844444444444447</v>
      </c>
      <c r="G587" s="2">
        <f>100*E587/D587</f>
        <v>30.528667163067759</v>
      </c>
    </row>
    <row r="588" spans="1:7" x14ac:dyDescent="0.2">
      <c r="B588">
        <v>12</v>
      </c>
      <c r="C588">
        <v>7</v>
      </c>
      <c r="D588" s="2">
        <v>2.6989999999999998</v>
      </c>
      <c r="E588" s="2">
        <f>0.104+0.759</f>
        <v>0.86299999999999999</v>
      </c>
      <c r="F588" s="2">
        <f>(0.5/0.45)*D588</f>
        <v>2.9988888888888887</v>
      </c>
      <c r="G588" s="2">
        <f>100*E588/D588</f>
        <v>31.974805483512412</v>
      </c>
    </row>
    <row r="589" spans="1:7" x14ac:dyDescent="0.2">
      <c r="B589">
        <v>13</v>
      </c>
      <c r="C589">
        <v>8</v>
      </c>
      <c r="D589" s="2">
        <v>3.677</v>
      </c>
      <c r="E589" s="2">
        <v>1.282</v>
      </c>
      <c r="F589" s="2">
        <f>(0.5/0.45)*D589</f>
        <v>4.0855555555555556</v>
      </c>
      <c r="G589" s="2">
        <f>100*E589/D589</f>
        <v>34.865379385368506</v>
      </c>
    </row>
    <row r="590" spans="1:7" x14ac:dyDescent="0.2">
      <c r="A590" t="s">
        <v>110</v>
      </c>
      <c r="B590">
        <v>14</v>
      </c>
      <c r="C590">
        <v>1</v>
      </c>
      <c r="D590" s="2">
        <v>4.8040000000000003</v>
      </c>
      <c r="E590" s="2">
        <f>1.244+0.535</f>
        <v>1.7789999999999999</v>
      </c>
      <c r="F590" s="2">
        <f>(0.5/0.45)*D590</f>
        <v>5.3377777777777782</v>
      </c>
      <c r="G590" s="2">
        <f>100*E590/D590</f>
        <v>37.031640299750201</v>
      </c>
    </row>
    <row r="591" spans="1:7" x14ac:dyDescent="0.2">
      <c r="B591">
        <v>15</v>
      </c>
      <c r="C591">
        <v>2</v>
      </c>
      <c r="D591" s="2">
        <v>1.7949999999999999</v>
      </c>
      <c r="E591" s="2">
        <v>0.68799999999999994</v>
      </c>
      <c r="F591" s="2">
        <f>(0.5/0.45)*D591</f>
        <v>1.9944444444444445</v>
      </c>
      <c r="G591" s="2">
        <f>100*E591/D591</f>
        <v>38.32869080779944</v>
      </c>
    </row>
    <row r="592" spans="1:7" x14ac:dyDescent="0.2">
      <c r="B592">
        <v>16</v>
      </c>
      <c r="C592">
        <v>3</v>
      </c>
      <c r="D592" s="2">
        <v>3.1749999999999998</v>
      </c>
      <c r="E592" s="2">
        <f>0.313+0.942</f>
        <v>1.2549999999999999</v>
      </c>
      <c r="F592" s="2">
        <f>(0.5/0.45)*D592</f>
        <v>3.5277777777777777</v>
      </c>
      <c r="G592" s="2">
        <f>100*E592/D592</f>
        <v>39.527559055118111</v>
      </c>
    </row>
    <row r="593" spans="1:7" x14ac:dyDescent="0.2">
      <c r="B593">
        <v>17</v>
      </c>
      <c r="C593">
        <v>4</v>
      </c>
      <c r="D593" s="2">
        <v>2.3250000000000002</v>
      </c>
      <c r="E593" s="2">
        <v>0.216</v>
      </c>
      <c r="F593" s="2">
        <f>(0.5/0.45)*D593</f>
        <v>2.5833333333333335</v>
      </c>
      <c r="G593" s="2">
        <f>100*E593/D593</f>
        <v>9.2903225806451619</v>
      </c>
    </row>
    <row r="594" spans="1:7" x14ac:dyDescent="0.2">
      <c r="B594">
        <v>18</v>
      </c>
      <c r="C594">
        <v>5</v>
      </c>
      <c r="D594" s="2">
        <v>4.2359999999999998</v>
      </c>
      <c r="E594" s="2">
        <v>1.92</v>
      </c>
      <c r="F594" s="2">
        <f>(0.5/0.45)*D594</f>
        <v>4.706666666666667</v>
      </c>
      <c r="G594" s="2">
        <f>100*E594/D594</f>
        <v>45.3257790368272</v>
      </c>
    </row>
    <row r="595" spans="1:7" x14ac:dyDescent="0.2">
      <c r="B595">
        <v>19</v>
      </c>
      <c r="C595">
        <v>6</v>
      </c>
      <c r="D595" s="2">
        <v>2.887</v>
      </c>
      <c r="E595" s="2">
        <v>0.56699999999999995</v>
      </c>
      <c r="F595" s="2">
        <f>(0.5/0.45)*D595</f>
        <v>3.2077777777777778</v>
      </c>
      <c r="G595" s="2">
        <f>100*E595/D595</f>
        <v>19.639764461378594</v>
      </c>
    </row>
    <row r="596" spans="1:7" x14ac:dyDescent="0.2">
      <c r="A596" t="s">
        <v>109</v>
      </c>
      <c r="B596">
        <v>20</v>
      </c>
      <c r="C596">
        <v>1</v>
      </c>
      <c r="D596" s="2">
        <v>1.4570000000000001</v>
      </c>
      <c r="E596" s="2">
        <v>0.374</v>
      </c>
      <c r="F596" s="2">
        <f>(0.5/0.45)*D596</f>
        <v>1.618888888888889</v>
      </c>
      <c r="G596" s="2">
        <f>100*E596/D596</f>
        <v>25.669183253260123</v>
      </c>
    </row>
    <row r="597" spans="1:7" x14ac:dyDescent="0.2">
      <c r="B597">
        <v>21</v>
      </c>
      <c r="C597">
        <v>2</v>
      </c>
      <c r="D597" s="2">
        <v>2.4329999999999998</v>
      </c>
      <c r="E597" s="2">
        <v>0.64100000000000001</v>
      </c>
      <c r="F597" s="2">
        <f>(0.5/0.45)*D597</f>
        <v>2.7033333333333331</v>
      </c>
      <c r="G597" s="2">
        <f>100*E597/D597</f>
        <v>26.346074804767778</v>
      </c>
    </row>
    <row r="598" spans="1:7" x14ac:dyDescent="0.2">
      <c r="B598">
        <v>22</v>
      </c>
      <c r="C598">
        <v>3</v>
      </c>
      <c r="D598" s="2">
        <v>2.1139999999999999</v>
      </c>
      <c r="E598" s="2">
        <v>0.30299999999999999</v>
      </c>
      <c r="F598" s="2">
        <f>(0.5/0.45)*D598</f>
        <v>2.3488888888888888</v>
      </c>
      <c r="G598" s="2">
        <f>100*E598/D598</f>
        <v>14.333017975402083</v>
      </c>
    </row>
    <row r="599" spans="1:7" x14ac:dyDescent="0.2">
      <c r="B599">
        <v>23</v>
      </c>
      <c r="C599">
        <v>4</v>
      </c>
      <c r="D599" s="2">
        <v>1.875</v>
      </c>
      <c r="E599" s="2">
        <v>0.28599999999999998</v>
      </c>
      <c r="F599" s="2">
        <f>(0.5/0.45)*D599</f>
        <v>2.0833333333333335</v>
      </c>
      <c r="G599" s="2">
        <f>100*E599/D599</f>
        <v>15.253333333333332</v>
      </c>
    </row>
    <row r="600" spans="1:7" x14ac:dyDescent="0.2">
      <c r="B600">
        <v>24</v>
      </c>
      <c r="C600">
        <v>5</v>
      </c>
      <c r="D600" s="2">
        <v>4.9690000000000003</v>
      </c>
      <c r="E600" s="2">
        <f>0.857+0.17</f>
        <v>1.0269999999999999</v>
      </c>
      <c r="F600" s="2">
        <f>(0.5/0.45)*D600</f>
        <v>5.5211111111111117</v>
      </c>
      <c r="G600" s="2">
        <f>100*E600/D600</f>
        <v>20.668142483397059</v>
      </c>
    </row>
    <row r="601" spans="1:7" x14ac:dyDescent="0.2">
      <c r="A601" t="s">
        <v>108</v>
      </c>
      <c r="B601">
        <v>25</v>
      </c>
      <c r="C601">
        <v>1</v>
      </c>
      <c r="D601" s="2">
        <v>4.665</v>
      </c>
      <c r="E601" s="2">
        <f>1.029+0.479</f>
        <v>1.508</v>
      </c>
      <c r="F601" s="2">
        <f>(0.5/0.45)*D601</f>
        <v>5.1833333333333336</v>
      </c>
      <c r="G601" s="2">
        <f>100*E601/D601</f>
        <v>32.325830653804935</v>
      </c>
    </row>
    <row r="602" spans="1:7" x14ac:dyDescent="0.2">
      <c r="B602">
        <v>26</v>
      </c>
      <c r="C602">
        <v>2</v>
      </c>
      <c r="D602" s="2">
        <v>1.1850000000000001</v>
      </c>
      <c r="E602" s="2">
        <v>8.3000000000000004E-2</v>
      </c>
      <c r="F602" s="2">
        <f>(0.5/0.45)*D602</f>
        <v>1.3166666666666669</v>
      </c>
      <c r="G602" s="2">
        <f>100*E602/D602</f>
        <v>7.004219409282701</v>
      </c>
    </row>
    <row r="603" spans="1:7" x14ac:dyDescent="0.2">
      <c r="B603">
        <v>27</v>
      </c>
      <c r="C603">
        <v>3</v>
      </c>
      <c r="D603" s="2">
        <v>3.9249999999999998</v>
      </c>
      <c r="E603" s="2">
        <f>0.232+0.131+0.331</f>
        <v>0.69399999999999995</v>
      </c>
      <c r="F603" s="2">
        <f>(0.5/0.45)*D603</f>
        <v>4.3611111111111107</v>
      </c>
      <c r="G603" s="2">
        <f>100*E603/D603</f>
        <v>17.68152866242038</v>
      </c>
    </row>
    <row r="604" spans="1:7" x14ac:dyDescent="0.2">
      <c r="B604">
        <v>28</v>
      </c>
      <c r="C604">
        <v>4</v>
      </c>
      <c r="D604" s="2">
        <v>1.6040000000000001</v>
      </c>
      <c r="E604" s="2">
        <f>0.424+0.18</f>
        <v>0.60399999999999998</v>
      </c>
      <c r="F604" s="2">
        <f>(0.5/0.45)*D604</f>
        <v>1.7822222222222224</v>
      </c>
      <c r="G604" s="2">
        <f>100*E604/D604</f>
        <v>37.655860349127181</v>
      </c>
    </row>
    <row r="605" spans="1:7" x14ac:dyDescent="0.2">
      <c r="B605">
        <v>29</v>
      </c>
      <c r="C605">
        <v>5</v>
      </c>
      <c r="D605" s="2">
        <v>2.202</v>
      </c>
      <c r="E605" s="2">
        <f>0.083+0.32+0.845</f>
        <v>1.248</v>
      </c>
      <c r="F605" s="2">
        <f>(0.5/0.45)*D605</f>
        <v>2.4466666666666668</v>
      </c>
      <c r="G605" s="2">
        <f>100*E605/D605</f>
        <v>56.675749318801088</v>
      </c>
    </row>
    <row r="606" spans="1:7" x14ac:dyDescent="0.2">
      <c r="B606">
        <v>30</v>
      </c>
      <c r="C606">
        <v>6</v>
      </c>
      <c r="D606" s="2">
        <v>4.2329999999999997</v>
      </c>
      <c r="E606" s="2">
        <f>0.576+0.282</f>
        <v>0.85799999999999987</v>
      </c>
      <c r="F606" s="2">
        <f>(0.5/0.45)*D606</f>
        <v>4.7033333333333331</v>
      </c>
      <c r="G606" s="2">
        <f>100*E606/D606</f>
        <v>20.269312544294824</v>
      </c>
    </row>
    <row r="607" spans="1:7" x14ac:dyDescent="0.2">
      <c r="A607" t="s">
        <v>107</v>
      </c>
      <c r="B607">
        <v>31</v>
      </c>
      <c r="C607">
        <v>1</v>
      </c>
      <c r="D607" s="2">
        <v>1.395</v>
      </c>
      <c r="E607" s="2">
        <v>0</v>
      </c>
      <c r="F607" s="2">
        <f>(0.5/0.45)*D607</f>
        <v>1.55</v>
      </c>
      <c r="G607" s="2">
        <f>100*E607/D607</f>
        <v>0</v>
      </c>
    </row>
    <row r="608" spans="1:7" x14ac:dyDescent="0.2">
      <c r="B608">
        <v>32</v>
      </c>
      <c r="C608">
        <v>2</v>
      </c>
      <c r="D608" s="2">
        <v>4.9610000000000003</v>
      </c>
      <c r="E608" s="2">
        <f>0.56+0.701+0.201+0.366</f>
        <v>1.8280000000000003</v>
      </c>
      <c r="F608" s="2">
        <f>(0.5/0.45)*D608</f>
        <v>5.5122222222222224</v>
      </c>
      <c r="G608" s="2">
        <f>100*E608/D608</f>
        <v>36.847409796412016</v>
      </c>
    </row>
    <row r="609" spans="1:7" x14ac:dyDescent="0.2">
      <c r="B609">
        <v>33</v>
      </c>
      <c r="C609">
        <v>2</v>
      </c>
      <c r="D609" s="2">
        <v>2.8740000000000001</v>
      </c>
      <c r="E609" s="2">
        <f>0.343+1.453</f>
        <v>1.796</v>
      </c>
      <c r="F609" s="2">
        <f>(0.5/0.45)*D609</f>
        <v>3.1933333333333338</v>
      </c>
      <c r="G609" s="2">
        <f>100*E609/D609</f>
        <v>62.491301322199021</v>
      </c>
    </row>
    <row r="610" spans="1:7" x14ac:dyDescent="0.2">
      <c r="B610">
        <v>34</v>
      </c>
      <c r="C610">
        <v>3</v>
      </c>
      <c r="D610" s="2">
        <v>1.4710000000000001</v>
      </c>
      <c r="E610" s="2">
        <v>9.9000000000000005E-2</v>
      </c>
      <c r="F610" s="2">
        <f>(0.5/0.45)*D610</f>
        <v>1.6344444444444446</v>
      </c>
      <c r="G610" s="2">
        <f>100*E610/D610</f>
        <v>6.73011556764106</v>
      </c>
    </row>
    <row r="611" spans="1:7" x14ac:dyDescent="0.2">
      <c r="B611">
        <v>35</v>
      </c>
      <c r="C611">
        <v>4</v>
      </c>
      <c r="D611" s="2">
        <v>1.8540000000000001</v>
      </c>
      <c r="E611" s="2">
        <v>0.59099999999999997</v>
      </c>
      <c r="F611" s="2">
        <f>(0.5/0.45)*D611</f>
        <v>2.06</v>
      </c>
      <c r="G611" s="2">
        <f>100*E611/D611</f>
        <v>31.877022653721678</v>
      </c>
    </row>
    <row r="612" spans="1:7" x14ac:dyDescent="0.2">
      <c r="A612" t="s">
        <v>106</v>
      </c>
      <c r="B612">
        <v>36</v>
      </c>
      <c r="C612">
        <v>1</v>
      </c>
      <c r="D612" s="2">
        <v>3.08</v>
      </c>
      <c r="E612" s="2">
        <v>0.89700000000000002</v>
      </c>
      <c r="F612" s="2">
        <f>(0.5/0.45)*D612</f>
        <v>3.4222222222222225</v>
      </c>
      <c r="G612" s="2">
        <f>100*E612/D612</f>
        <v>29.123376623376625</v>
      </c>
    </row>
    <row r="613" spans="1:7" x14ac:dyDescent="0.2">
      <c r="B613">
        <v>37</v>
      </c>
      <c r="C613">
        <v>2</v>
      </c>
      <c r="D613" s="2">
        <v>1.6160000000000001</v>
      </c>
      <c r="E613" s="2">
        <f>0.38+0.445</f>
        <v>0.82499999999999996</v>
      </c>
      <c r="F613" s="2">
        <f>(0.5/0.45)*D613</f>
        <v>1.7955555555555558</v>
      </c>
      <c r="G613" s="2">
        <f>100*E613/D613</f>
        <v>51.051980198019798</v>
      </c>
    </row>
    <row r="614" spans="1:7" x14ac:dyDescent="0.2">
      <c r="B614">
        <v>38</v>
      </c>
      <c r="C614">
        <v>3</v>
      </c>
      <c r="D614" s="2">
        <v>2.048</v>
      </c>
      <c r="E614" s="2">
        <f>0.59+0.184</f>
        <v>0.77400000000000002</v>
      </c>
      <c r="F614" s="2">
        <f>(0.5/0.45)*D614</f>
        <v>2.2755555555555556</v>
      </c>
      <c r="G614" s="2">
        <f>100*E614/D614</f>
        <v>37.79296875</v>
      </c>
    </row>
    <row r="615" spans="1:7" x14ac:dyDescent="0.2">
      <c r="B615">
        <v>39</v>
      </c>
      <c r="C615">
        <v>4</v>
      </c>
      <c r="D615" s="2">
        <v>2.3170000000000002</v>
      </c>
      <c r="E615" s="2">
        <f>0.577+0.202</f>
        <v>0.77899999999999991</v>
      </c>
      <c r="F615" s="2">
        <f>(0.5/0.45)*D615</f>
        <v>2.5744444444444445</v>
      </c>
      <c r="G615" s="2">
        <f>100*E615/D615</f>
        <v>33.621061717738449</v>
      </c>
    </row>
    <row r="616" spans="1:7" x14ac:dyDescent="0.2">
      <c r="B616">
        <v>40</v>
      </c>
      <c r="C616">
        <v>5</v>
      </c>
      <c r="D616" s="2">
        <v>2.1989999999999998</v>
      </c>
      <c r="E616" s="2">
        <f>0.4+0.341</f>
        <v>0.7410000000000001</v>
      </c>
      <c r="F616" s="2">
        <f>(0.5/0.45)*D616</f>
        <v>2.4433333333333334</v>
      </c>
      <c r="G616" s="2">
        <f>100*E616/D616</f>
        <v>33.697135061391549</v>
      </c>
    </row>
    <row r="617" spans="1:7" x14ac:dyDescent="0.2">
      <c r="B617">
        <v>41</v>
      </c>
      <c r="C617">
        <v>6</v>
      </c>
      <c r="D617" s="2">
        <v>2.95</v>
      </c>
      <c r="E617" s="2">
        <f>0.786+0.232+0.492</f>
        <v>1.51</v>
      </c>
      <c r="F617" s="2">
        <f>(0.5/0.45)*D617</f>
        <v>3.2777777777777781</v>
      </c>
      <c r="G617" s="2">
        <f>100*E617/D617</f>
        <v>51.186440677966097</v>
      </c>
    </row>
    <row r="618" spans="1:7" x14ac:dyDescent="0.2">
      <c r="B618">
        <v>42</v>
      </c>
      <c r="C618">
        <v>7</v>
      </c>
      <c r="D618" s="2">
        <v>2.4929999999999999</v>
      </c>
      <c r="E618" s="2">
        <v>0</v>
      </c>
      <c r="F618" s="2">
        <f>(0.5/0.45)*D618</f>
        <v>2.77</v>
      </c>
      <c r="G618" s="2">
        <f>100*E618/D618</f>
        <v>0</v>
      </c>
    </row>
    <row r="619" spans="1:7" x14ac:dyDescent="0.2">
      <c r="B619">
        <v>43</v>
      </c>
      <c r="C619">
        <v>8</v>
      </c>
      <c r="D619" s="2">
        <v>1.591</v>
      </c>
      <c r="E619" s="2">
        <v>0.88100000000000001</v>
      </c>
      <c r="F619" s="2">
        <f>(0.5/0.45)*D619</f>
        <v>1.7677777777777779</v>
      </c>
      <c r="G619" s="2">
        <f>100*E619/D619</f>
        <v>55.373978629792582</v>
      </c>
    </row>
    <row r="620" spans="1:7" x14ac:dyDescent="0.2">
      <c r="B620">
        <v>44</v>
      </c>
      <c r="C620">
        <v>9</v>
      </c>
      <c r="D620" s="2">
        <v>1.7949999999999999</v>
      </c>
      <c r="E620" s="2">
        <v>0.81200000000000006</v>
      </c>
      <c r="F620" s="2">
        <f>(0.5/0.45)*D620</f>
        <v>1.9944444444444445</v>
      </c>
      <c r="G620" s="2">
        <f>100*E620/D620</f>
        <v>45.236768802228418</v>
      </c>
    </row>
    <row r="621" spans="1:7" x14ac:dyDescent="0.2">
      <c r="B621">
        <v>45</v>
      </c>
      <c r="C621">
        <v>10</v>
      </c>
      <c r="D621" s="2">
        <v>0.436</v>
      </c>
      <c r="E621" s="2">
        <v>0.151</v>
      </c>
      <c r="F621" s="2">
        <f>(0.5/0.45)*D621</f>
        <v>0.48444444444444446</v>
      </c>
      <c r="G621" s="2">
        <f>100*E621/D621</f>
        <v>34.633027522935777</v>
      </c>
    </row>
    <row r="622" spans="1:7" x14ac:dyDescent="0.2">
      <c r="B622">
        <v>46</v>
      </c>
      <c r="C622">
        <v>11</v>
      </c>
      <c r="D622" s="2">
        <v>1.1000000000000001</v>
      </c>
      <c r="E622" s="2">
        <v>0.187</v>
      </c>
      <c r="F622" s="2">
        <f>(0.5/0.45)*D622</f>
        <v>1.2222222222222223</v>
      </c>
      <c r="G622" s="2">
        <f>100*E622/D622</f>
        <v>16.999999999999996</v>
      </c>
    </row>
    <row r="623" spans="1:7" x14ac:dyDescent="0.2">
      <c r="B623">
        <v>47</v>
      </c>
      <c r="C623">
        <v>12</v>
      </c>
      <c r="D623" s="2">
        <v>1.238</v>
      </c>
      <c r="E623" s="2">
        <v>9.8000000000000004E-2</v>
      </c>
      <c r="F623" s="2">
        <f>(0.5/0.45)*D623</f>
        <v>1.3755555555555556</v>
      </c>
      <c r="G623" s="2">
        <f>100*E623/D623</f>
        <v>7.915993537964459</v>
      </c>
    </row>
    <row r="624" spans="1:7" x14ac:dyDescent="0.2">
      <c r="A624" t="s">
        <v>105</v>
      </c>
      <c r="B624">
        <v>48</v>
      </c>
      <c r="C624">
        <v>1</v>
      </c>
      <c r="D624" s="2">
        <v>2.5009999999999999</v>
      </c>
      <c r="E624" s="2">
        <v>0.97099999999999997</v>
      </c>
      <c r="F624" s="2">
        <f>(0.5/0.45)*D624</f>
        <v>2.778888888888889</v>
      </c>
      <c r="G624" s="2">
        <f>100*E624/D624</f>
        <v>38.824470211915234</v>
      </c>
    </row>
    <row r="625" spans="1:7" x14ac:dyDescent="0.2">
      <c r="B625">
        <v>49</v>
      </c>
      <c r="C625">
        <v>2</v>
      </c>
      <c r="D625" s="2">
        <v>2.4500000000000002</v>
      </c>
      <c r="E625" s="2">
        <f>0.915+0.133</f>
        <v>1.048</v>
      </c>
      <c r="F625" s="2">
        <f>(0.5/0.45)*D625</f>
        <v>2.7222222222222223</v>
      </c>
      <c r="G625" s="2">
        <f>100*E625/D625</f>
        <v>42.775510204081634</v>
      </c>
    </row>
    <row r="626" spans="1:7" x14ac:dyDescent="0.2">
      <c r="B626">
        <v>50</v>
      </c>
      <c r="C626">
        <v>3</v>
      </c>
      <c r="D626" s="2">
        <v>3.093</v>
      </c>
      <c r="E626" s="2">
        <f>0.597+0.209</f>
        <v>0.80599999999999994</v>
      </c>
      <c r="F626" s="2">
        <f>(0.5/0.45)*D626</f>
        <v>3.436666666666667</v>
      </c>
      <c r="G626" s="2">
        <f>100*E626/D626</f>
        <v>26.058842547688325</v>
      </c>
    </row>
    <row r="627" spans="1:7" x14ac:dyDescent="0.2">
      <c r="A627" t="s">
        <v>104</v>
      </c>
      <c r="B627">
        <v>51</v>
      </c>
      <c r="C627">
        <v>1</v>
      </c>
      <c r="D627" s="2">
        <v>2.4460000000000002</v>
      </c>
      <c r="E627" s="2">
        <v>0.248</v>
      </c>
      <c r="F627" s="2">
        <f>(0.5/0.45)*D627</f>
        <v>2.7177777777777781</v>
      </c>
      <c r="G627" s="2">
        <f>100*E627/D627</f>
        <v>10.139002452984464</v>
      </c>
    </row>
    <row r="628" spans="1:7" x14ac:dyDescent="0.2">
      <c r="B628">
        <v>52</v>
      </c>
      <c r="C628">
        <v>2</v>
      </c>
      <c r="D628" s="2">
        <v>2.9569999999999999</v>
      </c>
      <c r="E628" s="2">
        <v>0.13400000000000001</v>
      </c>
      <c r="F628" s="2">
        <f>(0.5/0.45)*D628</f>
        <v>3.2855555555555553</v>
      </c>
      <c r="G628" s="2">
        <f>100*E628/D628</f>
        <v>4.5316198850186007</v>
      </c>
    </row>
    <row r="629" spans="1:7" x14ac:dyDescent="0.2">
      <c r="B629">
        <v>53</v>
      </c>
      <c r="C629">
        <v>3</v>
      </c>
      <c r="D629" s="2">
        <v>1.383</v>
      </c>
      <c r="E629" s="2">
        <v>9.7000000000000003E-2</v>
      </c>
      <c r="F629" s="2">
        <f>(0.5/0.45)*D629</f>
        <v>1.5366666666666668</v>
      </c>
      <c r="G629" s="2">
        <f>100*E629/D629</f>
        <v>7.0137382501807668</v>
      </c>
    </row>
    <row r="630" spans="1:7" x14ac:dyDescent="0.2">
      <c r="B630">
        <v>54</v>
      </c>
      <c r="C630">
        <v>4</v>
      </c>
      <c r="D630" s="2">
        <v>3.2890000000000001</v>
      </c>
      <c r="E630" s="2">
        <v>0.221</v>
      </c>
      <c r="F630" s="2">
        <f>(0.5/0.45)*D630</f>
        <v>3.6544444444444446</v>
      </c>
      <c r="G630" s="2">
        <f>100*E630/D630</f>
        <v>6.7193675889328066</v>
      </c>
    </row>
    <row r="631" spans="1:7" x14ac:dyDescent="0.2">
      <c r="B631">
        <v>55</v>
      </c>
      <c r="C631">
        <v>5</v>
      </c>
      <c r="D631" s="2">
        <v>1.5960000000000001</v>
      </c>
      <c r="E631" s="2">
        <v>0</v>
      </c>
      <c r="F631" s="2">
        <f>(0.5/0.45)*D631</f>
        <v>1.7733333333333334</v>
      </c>
      <c r="G631" s="2">
        <f>100*E631/D631</f>
        <v>0</v>
      </c>
    </row>
    <row r="632" spans="1:7" x14ac:dyDescent="0.2">
      <c r="B632">
        <v>56</v>
      </c>
      <c r="C632">
        <v>6</v>
      </c>
      <c r="D632" s="2">
        <v>2.617</v>
      </c>
      <c r="E632" s="2">
        <f>0.211+0.29</f>
        <v>0.501</v>
      </c>
      <c r="F632" s="2">
        <f>(0.5/0.45)*D632</f>
        <v>2.907777777777778</v>
      </c>
      <c r="G632" s="2">
        <f>100*E632/D632</f>
        <v>19.144058081773021</v>
      </c>
    </row>
    <row r="633" spans="1:7" x14ac:dyDescent="0.2">
      <c r="B633">
        <v>57</v>
      </c>
      <c r="C633">
        <v>7</v>
      </c>
      <c r="D633" s="2">
        <v>1.496</v>
      </c>
      <c r="E633" s="2">
        <v>0.20300000000000001</v>
      </c>
      <c r="F633" s="2">
        <f>(0.5/0.45)*D633</f>
        <v>1.6622222222222223</v>
      </c>
      <c r="G633" s="2">
        <f>100*E633/D633</f>
        <v>13.569518716577541</v>
      </c>
    </row>
    <row r="634" spans="1:7" x14ac:dyDescent="0.2">
      <c r="B634">
        <v>58</v>
      </c>
      <c r="C634">
        <v>8</v>
      </c>
      <c r="D634" s="2">
        <v>1.915</v>
      </c>
      <c r="E634" s="2">
        <v>0.48099999999999998</v>
      </c>
      <c r="F634" s="2">
        <f>(0.5/0.45)*D634</f>
        <v>2.1277777777777778</v>
      </c>
      <c r="G634" s="2">
        <f>100*E634/D634</f>
        <v>25.117493472584858</v>
      </c>
    </row>
    <row r="635" spans="1:7" x14ac:dyDescent="0.2">
      <c r="B635">
        <v>59</v>
      </c>
      <c r="C635">
        <v>9</v>
      </c>
      <c r="D635" s="2">
        <v>2.0089999999999999</v>
      </c>
      <c r="E635" s="2">
        <v>0.14099999999999999</v>
      </c>
      <c r="F635" s="2">
        <f>(0.5/0.45)*D635</f>
        <v>2.2322222222222221</v>
      </c>
      <c r="G635" s="2">
        <f>100*E635/D635</f>
        <v>7.0184171229467394</v>
      </c>
    </row>
    <row r="636" spans="1:7" x14ac:dyDescent="0.2">
      <c r="B636">
        <v>60</v>
      </c>
      <c r="C636">
        <v>10</v>
      </c>
      <c r="D636" s="2">
        <v>2.9460000000000002</v>
      </c>
      <c r="E636" s="2">
        <f>0.265+0.238</f>
        <v>0.503</v>
      </c>
      <c r="F636" s="2">
        <f>(0.5/0.45)*D636</f>
        <v>3.2733333333333339</v>
      </c>
      <c r="G636" s="2">
        <f>100*E636/D636</f>
        <v>17.073998642226748</v>
      </c>
    </row>
    <row r="637" spans="1:7" x14ac:dyDescent="0.2">
      <c r="B637">
        <v>61</v>
      </c>
      <c r="C637">
        <v>11</v>
      </c>
      <c r="D637" s="2">
        <v>2.1739999999999999</v>
      </c>
      <c r="E637" s="2">
        <v>0.18099999999999999</v>
      </c>
      <c r="F637" s="2">
        <f>(0.5/0.45)*D637</f>
        <v>2.4155555555555557</v>
      </c>
      <c r="G637" s="2">
        <f>100*E637/D637</f>
        <v>8.3256669733210664</v>
      </c>
    </row>
    <row r="638" spans="1:7" x14ac:dyDescent="0.2">
      <c r="B638">
        <v>62</v>
      </c>
      <c r="C638">
        <v>12</v>
      </c>
      <c r="D638" s="2">
        <v>2.0649999999999999</v>
      </c>
      <c r="E638" s="2">
        <v>0.32900000000000001</v>
      </c>
      <c r="F638" s="2">
        <f>(0.5/0.45)*D638</f>
        <v>2.2944444444444443</v>
      </c>
      <c r="G638" s="2">
        <f>100*E638/D638</f>
        <v>15.932203389830509</v>
      </c>
    </row>
    <row r="639" spans="1:7" x14ac:dyDescent="0.2">
      <c r="B639">
        <v>63</v>
      </c>
      <c r="C639">
        <v>13</v>
      </c>
      <c r="D639" s="2">
        <v>1.63</v>
      </c>
      <c r="E639" s="2">
        <v>0</v>
      </c>
      <c r="F639" s="2">
        <f>(0.5/0.45)*D639</f>
        <v>1.8111111111111111</v>
      </c>
      <c r="G639" s="2">
        <f>100*E639/D639</f>
        <v>0</v>
      </c>
    </row>
    <row r="640" spans="1:7" x14ac:dyDescent="0.2">
      <c r="B640">
        <v>64</v>
      </c>
      <c r="C640">
        <v>14</v>
      </c>
      <c r="D640" s="2">
        <v>1.367</v>
      </c>
      <c r="E640" s="2">
        <v>0</v>
      </c>
      <c r="F640" s="2">
        <f>(0.5/0.45)*D640</f>
        <v>1.518888888888889</v>
      </c>
      <c r="G640" s="2">
        <f>100*E640/D640</f>
        <v>0</v>
      </c>
    </row>
    <row r="641" spans="1:7" x14ac:dyDescent="0.2">
      <c r="B641">
        <v>65</v>
      </c>
      <c r="C641">
        <v>15</v>
      </c>
      <c r="D641" s="2">
        <v>2.0470000000000002</v>
      </c>
      <c r="E641" s="2">
        <v>0.32400000000000001</v>
      </c>
      <c r="F641" s="2">
        <f>(0.5/0.45)*D641</f>
        <v>2.2744444444444447</v>
      </c>
      <c r="G641" s="2">
        <f>100*E641/D641</f>
        <v>15.828041035661942</v>
      </c>
    </row>
    <row r="642" spans="1:7" x14ac:dyDescent="0.2">
      <c r="A642" t="s">
        <v>103</v>
      </c>
      <c r="B642">
        <v>66</v>
      </c>
      <c r="C642">
        <v>1</v>
      </c>
      <c r="D642" s="2">
        <v>2.6320000000000001</v>
      </c>
      <c r="E642" s="2">
        <v>0.32800000000000001</v>
      </c>
      <c r="F642" s="2">
        <f>(0.5/0.45)*D642</f>
        <v>2.9244444444444446</v>
      </c>
      <c r="G642" s="2">
        <f>100*E642/D642</f>
        <v>12.462006079027356</v>
      </c>
    </row>
    <row r="643" spans="1:7" x14ac:dyDescent="0.2">
      <c r="B643">
        <v>67</v>
      </c>
      <c r="C643">
        <v>2</v>
      </c>
      <c r="D643" s="2">
        <v>1.2270000000000001</v>
      </c>
      <c r="E643" s="2">
        <v>0.36899999999999999</v>
      </c>
      <c r="F643" s="2">
        <f>(0.5/0.45)*D643</f>
        <v>1.3633333333333335</v>
      </c>
      <c r="G643" s="2">
        <f>100*E643/D643</f>
        <v>30.07334963325183</v>
      </c>
    </row>
    <row r="644" spans="1:7" x14ac:dyDescent="0.2">
      <c r="B644">
        <v>68</v>
      </c>
      <c r="C644">
        <v>3</v>
      </c>
      <c r="D644" s="2">
        <v>1.1359999999999999</v>
      </c>
      <c r="E644" s="2">
        <f>0.288+0.114</f>
        <v>0.40199999999999997</v>
      </c>
      <c r="F644" s="2">
        <f>(0.5/0.45)*D644</f>
        <v>1.2622222222222221</v>
      </c>
      <c r="G644" s="2">
        <f>100*E644/D644</f>
        <v>35.387323943661968</v>
      </c>
    </row>
    <row r="645" spans="1:7" x14ac:dyDescent="0.2">
      <c r="B645">
        <v>69</v>
      </c>
      <c r="C645">
        <v>4</v>
      </c>
      <c r="D645" s="2">
        <v>3.1080000000000001</v>
      </c>
      <c r="E645" s="2">
        <f>0.103+0.416+0.396+0.09</f>
        <v>1.0050000000000001</v>
      </c>
      <c r="F645" s="2">
        <f>(0.5/0.45)*D645</f>
        <v>3.4533333333333336</v>
      </c>
      <c r="G645" s="2">
        <f>100*E645/D645</f>
        <v>32.335907335907336</v>
      </c>
    </row>
    <row r="646" spans="1:7" x14ac:dyDescent="0.2">
      <c r="B646">
        <v>70</v>
      </c>
      <c r="C646">
        <v>5</v>
      </c>
      <c r="D646" s="2">
        <v>1.284</v>
      </c>
      <c r="E646" s="2">
        <v>0.19600000000000001</v>
      </c>
      <c r="F646" s="2">
        <f>(0.5/0.45)*D646</f>
        <v>1.4266666666666667</v>
      </c>
      <c r="G646" s="2">
        <f>100*E646/D646</f>
        <v>15.264797507788163</v>
      </c>
    </row>
    <row r="647" spans="1:7" x14ac:dyDescent="0.2">
      <c r="B647">
        <v>71</v>
      </c>
      <c r="C647">
        <v>6</v>
      </c>
      <c r="D647" s="2">
        <v>3.452</v>
      </c>
      <c r="E647" s="2">
        <f>0.366+0.281+0.149</f>
        <v>0.79600000000000004</v>
      </c>
      <c r="F647" s="2">
        <f>(0.5/0.45)*D647</f>
        <v>3.8355555555555556</v>
      </c>
      <c r="G647" s="2">
        <f>100*E647/D647</f>
        <v>23.059096176129781</v>
      </c>
    </row>
    <row r="648" spans="1:7" x14ac:dyDescent="0.2">
      <c r="B648">
        <v>72</v>
      </c>
      <c r="C648">
        <v>7</v>
      </c>
      <c r="D648" s="2">
        <v>2.7789999999999999</v>
      </c>
      <c r="E648" s="2">
        <v>0.96899999999999997</v>
      </c>
      <c r="F648" s="2">
        <f>(0.5/0.45)*D648</f>
        <v>3.0877777777777777</v>
      </c>
      <c r="G648" s="2">
        <f>100*E648/D648</f>
        <v>34.868657790572144</v>
      </c>
    </row>
    <row r="649" spans="1:7" x14ac:dyDescent="0.2">
      <c r="B649">
        <v>73</v>
      </c>
      <c r="C649">
        <v>8</v>
      </c>
      <c r="D649" s="2">
        <v>3.0169999999999999</v>
      </c>
      <c r="E649" s="2">
        <f>0.402+0.182</f>
        <v>0.58400000000000007</v>
      </c>
      <c r="F649" s="2">
        <f>(0.5/0.45)*D649</f>
        <v>3.3522222222222222</v>
      </c>
      <c r="G649" s="2">
        <f>100*E649/D649</f>
        <v>19.356977129598942</v>
      </c>
    </row>
    <row r="650" spans="1:7" x14ac:dyDescent="0.2">
      <c r="B650">
        <v>74</v>
      </c>
      <c r="C650">
        <v>9</v>
      </c>
      <c r="D650" s="2">
        <v>2.9260000000000002</v>
      </c>
      <c r="E650" s="2">
        <v>8.1000000000000003E-2</v>
      </c>
      <c r="F650" s="2">
        <f>(0.5/0.45)*D650</f>
        <v>3.2511111111111113</v>
      </c>
      <c r="G650" s="2">
        <f>100*E650/D650</f>
        <v>2.7682843472317153</v>
      </c>
    </row>
    <row r="651" spans="1:7" x14ac:dyDescent="0.2">
      <c r="B651">
        <v>75</v>
      </c>
      <c r="C651">
        <v>10</v>
      </c>
      <c r="D651" s="2">
        <v>1.716</v>
      </c>
      <c r="E651" s="2">
        <f>0.429+0.202</f>
        <v>0.63100000000000001</v>
      </c>
      <c r="F651" s="2">
        <f>(0.5/0.45)*D651</f>
        <v>1.9066666666666667</v>
      </c>
      <c r="G651" s="2">
        <f>100*E651/D651</f>
        <v>36.771561771561771</v>
      </c>
    </row>
    <row r="652" spans="1:7" x14ac:dyDescent="0.2">
      <c r="A652" t="s">
        <v>102</v>
      </c>
      <c r="B652">
        <v>76</v>
      </c>
      <c r="C652">
        <v>1</v>
      </c>
      <c r="D652" s="2">
        <v>1.206</v>
      </c>
      <c r="E652" s="2">
        <f>0.164+0.283</f>
        <v>0.44699999999999995</v>
      </c>
      <c r="F652" s="2">
        <f>(0.5/0.45)*D652</f>
        <v>1.34</v>
      </c>
      <c r="G652" s="2">
        <f>100*E652/D652</f>
        <v>37.06467661691542</v>
      </c>
    </row>
    <row r="653" spans="1:7" x14ac:dyDescent="0.2">
      <c r="B653">
        <v>77</v>
      </c>
      <c r="C653">
        <v>2</v>
      </c>
      <c r="D653" s="2">
        <v>2.536</v>
      </c>
      <c r="E653" s="2">
        <v>0.92800000000000005</v>
      </c>
      <c r="F653" s="2">
        <f>(0.5/0.45)*D653</f>
        <v>2.8177777777777782</v>
      </c>
      <c r="G653" s="2">
        <f>100*E653/D653</f>
        <v>36.593059936908524</v>
      </c>
    </row>
    <row r="654" spans="1:7" x14ac:dyDescent="0.2">
      <c r="B654">
        <v>78</v>
      </c>
      <c r="C654">
        <v>3</v>
      </c>
      <c r="D654" s="2">
        <v>3.202</v>
      </c>
      <c r="E654" s="2">
        <f>0.245+0.104</f>
        <v>0.34899999999999998</v>
      </c>
      <c r="F654" s="2">
        <f>(0.5/0.45)*D654</f>
        <v>3.5577777777777779</v>
      </c>
      <c r="G654" s="2">
        <f>100*E654/D654</f>
        <v>10.89943785134291</v>
      </c>
    </row>
    <row r="655" spans="1:7" x14ac:dyDescent="0.2">
      <c r="B655">
        <v>79</v>
      </c>
      <c r="C655">
        <v>4</v>
      </c>
      <c r="D655" s="2">
        <v>2.46</v>
      </c>
      <c r="E655" s="2">
        <v>0.35899999999999999</v>
      </c>
      <c r="F655" s="2">
        <f>(0.5/0.45)*D655</f>
        <v>2.7333333333333334</v>
      </c>
      <c r="G655" s="2">
        <f>100*E655/D655</f>
        <v>14.59349593495935</v>
      </c>
    </row>
    <row r="656" spans="1:7" x14ac:dyDescent="0.2">
      <c r="B656">
        <v>80</v>
      </c>
      <c r="C656">
        <v>5</v>
      </c>
      <c r="D656" s="2">
        <v>3.879</v>
      </c>
      <c r="E656" s="2">
        <f>0.208+0.169</f>
        <v>0.377</v>
      </c>
      <c r="F656" s="2">
        <f>(0.5/0.45)*D656</f>
        <v>4.3100000000000005</v>
      </c>
      <c r="G656" s="2">
        <f>100*E656/D656</f>
        <v>9.7189997422015999</v>
      </c>
    </row>
    <row r="657" spans="1:7" x14ac:dyDescent="0.2">
      <c r="B657">
        <v>81</v>
      </c>
      <c r="C657">
        <v>6</v>
      </c>
      <c r="D657" s="2">
        <v>1.2030000000000001</v>
      </c>
      <c r="E657" s="2">
        <v>0.27600000000000002</v>
      </c>
      <c r="F657" s="2">
        <f>(0.5/0.45)*D657</f>
        <v>1.3366666666666669</v>
      </c>
      <c r="G657" s="2">
        <f>100*E657/D657</f>
        <v>22.942643391521198</v>
      </c>
    </row>
    <row r="658" spans="1:7" x14ac:dyDescent="0.2">
      <c r="B658">
        <v>82</v>
      </c>
      <c r="C658">
        <v>7</v>
      </c>
      <c r="D658" s="2">
        <v>1.5449999999999999</v>
      </c>
      <c r="E658" s="2">
        <v>0.156</v>
      </c>
      <c r="F658" s="2">
        <f>(0.5/0.45)*D658</f>
        <v>1.7166666666666666</v>
      </c>
      <c r="G658" s="2">
        <f>100*E658/D658</f>
        <v>10.097087378640778</v>
      </c>
    </row>
    <row r="659" spans="1:7" x14ac:dyDescent="0.2">
      <c r="B659">
        <v>83</v>
      </c>
      <c r="C659">
        <v>8</v>
      </c>
      <c r="D659" s="2">
        <v>1.397</v>
      </c>
      <c r="E659" s="2">
        <v>0</v>
      </c>
      <c r="F659" s="2">
        <f>(0.5/0.45)*D659</f>
        <v>1.5522222222222224</v>
      </c>
      <c r="G659" s="2">
        <f>100*E659/D659</f>
        <v>0</v>
      </c>
    </row>
    <row r="660" spans="1:7" x14ac:dyDescent="0.2">
      <c r="B660">
        <v>84</v>
      </c>
      <c r="C660">
        <v>9</v>
      </c>
      <c r="D660" s="2">
        <v>4.6779999999999999</v>
      </c>
      <c r="E660" s="2">
        <v>1.7130000000000001</v>
      </c>
      <c r="F660" s="2">
        <f>(0.5/0.45)*D660</f>
        <v>5.1977777777777776</v>
      </c>
      <c r="G660" s="2">
        <f>100*E660/D660</f>
        <v>36.618212911500642</v>
      </c>
    </row>
    <row r="661" spans="1:7" x14ac:dyDescent="0.2">
      <c r="B661">
        <v>85</v>
      </c>
      <c r="C661">
        <v>10</v>
      </c>
      <c r="D661" s="2">
        <v>4.9420000000000002</v>
      </c>
      <c r="E661" s="2">
        <v>0.91100000000000003</v>
      </c>
      <c r="F661" s="2">
        <f>(0.5/0.45)*D661</f>
        <v>5.4911111111111115</v>
      </c>
      <c r="G661" s="2">
        <f>100*E661/D661</f>
        <v>18.433832456495349</v>
      </c>
    </row>
    <row r="662" spans="1:7" x14ac:dyDescent="0.2">
      <c r="A662" t="s">
        <v>101</v>
      </c>
      <c r="B662">
        <v>86</v>
      </c>
      <c r="C662">
        <v>1</v>
      </c>
      <c r="D662" s="2">
        <v>1.722</v>
      </c>
      <c r="E662" s="2">
        <v>0.27300000000000002</v>
      </c>
      <c r="F662" s="2">
        <f>(0.5/0.45)*D662</f>
        <v>1.9133333333333333</v>
      </c>
      <c r="G662" s="2">
        <f>100*E662/D662</f>
        <v>15.853658536585366</v>
      </c>
    </row>
    <row r="663" spans="1:7" x14ac:dyDescent="0.2">
      <c r="B663">
        <v>87</v>
      </c>
      <c r="C663">
        <v>2</v>
      </c>
      <c r="D663" s="2">
        <v>1.855</v>
      </c>
      <c r="E663" s="2">
        <v>0.372</v>
      </c>
      <c r="F663" s="2">
        <f>(0.5/0.45)*D663</f>
        <v>2.0611111111111113</v>
      </c>
      <c r="G663" s="2">
        <f>100*E663/D663</f>
        <v>20.053908355795151</v>
      </c>
    </row>
    <row r="664" spans="1:7" x14ac:dyDescent="0.2">
      <c r="B664">
        <v>88</v>
      </c>
      <c r="C664">
        <v>3</v>
      </c>
      <c r="D664" s="2">
        <v>2.351</v>
      </c>
      <c r="E664" s="2">
        <v>1.3620000000000001</v>
      </c>
      <c r="F664" s="2">
        <f>(0.5/0.45)*D664</f>
        <v>2.6122222222222224</v>
      </c>
      <c r="G664" s="2">
        <f>100*E664/D664</f>
        <v>57.932794555508302</v>
      </c>
    </row>
    <row r="665" spans="1:7" x14ac:dyDescent="0.2">
      <c r="B665">
        <v>89</v>
      </c>
      <c r="C665">
        <v>4</v>
      </c>
      <c r="D665" s="2">
        <v>1.234</v>
      </c>
      <c r="E665" s="2">
        <v>0.22</v>
      </c>
      <c r="F665" s="2">
        <f>(0.5/0.45)*D665</f>
        <v>1.3711111111111112</v>
      </c>
      <c r="G665" s="2">
        <f>100*E665/D665</f>
        <v>17.828200972447327</v>
      </c>
    </row>
    <row r="666" spans="1:7" x14ac:dyDescent="0.2">
      <c r="B666">
        <v>90</v>
      </c>
      <c r="C666">
        <v>5</v>
      </c>
      <c r="D666" s="2">
        <v>2.1560000000000001</v>
      </c>
      <c r="E666" s="2">
        <v>0.191</v>
      </c>
      <c r="F666" s="2">
        <f>(0.5/0.45)*D666</f>
        <v>2.3955555555555557</v>
      </c>
      <c r="G666" s="2">
        <f>100*E666/D666</f>
        <v>8.8589981447124302</v>
      </c>
    </row>
    <row r="667" spans="1:7" x14ac:dyDescent="0.2">
      <c r="B667">
        <v>91</v>
      </c>
      <c r="C667">
        <v>6</v>
      </c>
      <c r="D667" s="2">
        <v>2.3319999999999999</v>
      </c>
      <c r="E667" s="2">
        <v>0.69799999999999995</v>
      </c>
      <c r="F667" s="2">
        <f>(0.5/0.45)*D667</f>
        <v>2.5911111111111111</v>
      </c>
      <c r="G667" s="2">
        <f>100*E667/D667</f>
        <v>29.931389365351631</v>
      </c>
    </row>
    <row r="668" spans="1:7" x14ac:dyDescent="0.2">
      <c r="B668">
        <v>92</v>
      </c>
      <c r="C668">
        <v>7</v>
      </c>
      <c r="D668" s="2">
        <v>1.575</v>
      </c>
      <c r="E668" s="2">
        <v>0.312</v>
      </c>
      <c r="F668" s="2">
        <f>(0.5/0.45)*D668</f>
        <v>1.75</v>
      </c>
      <c r="G668" s="2">
        <f>100*E668/D668</f>
        <v>19.80952380952381</v>
      </c>
    </row>
    <row r="669" spans="1:7" x14ac:dyDescent="0.2">
      <c r="A669" t="s">
        <v>100</v>
      </c>
      <c r="B669">
        <v>93</v>
      </c>
      <c r="C669">
        <v>1</v>
      </c>
      <c r="D669" s="2">
        <v>3.1720000000000002</v>
      </c>
      <c r="E669" s="2">
        <f>0.299+0.109+0.138</f>
        <v>0.54600000000000004</v>
      </c>
      <c r="F669" s="2">
        <f>(0.5/0.45)*D669</f>
        <v>3.5244444444444447</v>
      </c>
      <c r="G669" s="2">
        <f>100*E669/D669</f>
        <v>17.21311475409836</v>
      </c>
    </row>
    <row r="670" spans="1:7" x14ac:dyDescent="0.2">
      <c r="B670">
        <v>94</v>
      </c>
      <c r="C670">
        <v>2</v>
      </c>
      <c r="D670" s="2">
        <v>1.6930000000000001</v>
      </c>
      <c r="E670" s="2">
        <v>0.66500000000000004</v>
      </c>
      <c r="F670" s="2">
        <f>(0.5/0.45)*D670</f>
        <v>1.8811111111111112</v>
      </c>
      <c r="G670" s="2">
        <f>100*E670/D670</f>
        <v>39.279385705847609</v>
      </c>
    </row>
    <row r="671" spans="1:7" x14ac:dyDescent="0.2">
      <c r="B671">
        <v>95</v>
      </c>
      <c r="C671">
        <v>3</v>
      </c>
      <c r="D671" s="2">
        <v>0.89400000000000002</v>
      </c>
      <c r="E671" s="2">
        <v>0.27800000000000002</v>
      </c>
      <c r="F671" s="2">
        <f>(0.5/0.45)*D671</f>
        <v>0.9933333333333334</v>
      </c>
      <c r="G671" s="2">
        <f>100*E671/D671</f>
        <v>31.096196868008953</v>
      </c>
    </row>
    <row r="672" spans="1:7" x14ac:dyDescent="0.2">
      <c r="B672">
        <v>96</v>
      </c>
      <c r="C672">
        <v>4</v>
      </c>
      <c r="D672" s="2">
        <v>4.5949999999999998</v>
      </c>
      <c r="E672" s="2">
        <f>0.087+0.754+0.188+0.096</f>
        <v>1.125</v>
      </c>
      <c r="F672" s="2">
        <f>(0.5/0.45)*D672</f>
        <v>5.1055555555555552</v>
      </c>
      <c r="G672" s="2">
        <f>100*E672/D672</f>
        <v>24.483133841131668</v>
      </c>
    </row>
    <row r="673" spans="1:7" x14ac:dyDescent="0.2">
      <c r="B673">
        <v>97</v>
      </c>
      <c r="C673">
        <v>5</v>
      </c>
      <c r="D673" s="2">
        <v>3.1840000000000002</v>
      </c>
      <c r="E673" s="2">
        <f>0.506+0.316</f>
        <v>0.82200000000000006</v>
      </c>
      <c r="F673" s="2">
        <f>(0.5/0.45)*D673</f>
        <v>3.5377777777777779</v>
      </c>
      <c r="G673" s="2">
        <f>100*E673/D673</f>
        <v>25.816582914572862</v>
      </c>
    </row>
    <row r="674" spans="1:7" x14ac:dyDescent="0.2">
      <c r="B674">
        <v>98</v>
      </c>
      <c r="C674">
        <v>6</v>
      </c>
      <c r="D674" s="2">
        <v>3.4340000000000002</v>
      </c>
      <c r="E674" s="2">
        <v>0.17499999999999999</v>
      </c>
      <c r="F674" s="2">
        <f>(0.5/0.45)*D674</f>
        <v>3.815555555555556</v>
      </c>
      <c r="G674" s="2">
        <f>100*E674/D674</f>
        <v>5.0960978450786252</v>
      </c>
    </row>
    <row r="675" spans="1:7" x14ac:dyDescent="0.2">
      <c r="A675" t="s">
        <v>99</v>
      </c>
      <c r="B675">
        <v>99</v>
      </c>
      <c r="C675">
        <v>1</v>
      </c>
      <c r="D675" s="2">
        <v>1.0269999999999999</v>
      </c>
      <c r="E675" s="2">
        <v>0.124</v>
      </c>
      <c r="F675" s="2">
        <f>(0.5/0.45)*D675</f>
        <v>1.141111111111111</v>
      </c>
      <c r="G675" s="2">
        <f>100*E675/D675</f>
        <v>12.074001947419671</v>
      </c>
    </row>
    <row r="676" spans="1:7" x14ac:dyDescent="0.2">
      <c r="B676">
        <v>100</v>
      </c>
      <c r="C676">
        <v>2</v>
      </c>
      <c r="D676" s="2">
        <v>2.5640000000000001</v>
      </c>
      <c r="E676" s="2">
        <v>0.93300000000000005</v>
      </c>
      <c r="F676" s="2">
        <f>(0.5/0.45)*D676</f>
        <v>2.8488888888888892</v>
      </c>
      <c r="G676" s="2">
        <f>100*E676/D676</f>
        <v>36.388455538221535</v>
      </c>
    </row>
    <row r="677" spans="1:7" x14ac:dyDescent="0.2">
      <c r="B677">
        <v>101</v>
      </c>
      <c r="C677">
        <v>3</v>
      </c>
      <c r="D677" s="2">
        <v>5.0209999999999999</v>
      </c>
      <c r="E677" s="2">
        <f>0.33+1.105</f>
        <v>1.4350000000000001</v>
      </c>
      <c r="F677" s="2">
        <f>(0.5/0.45)*D677</f>
        <v>5.5788888888888888</v>
      </c>
      <c r="G677" s="2">
        <f>100*E677/D677</f>
        <v>28.579964150567616</v>
      </c>
    </row>
    <row r="678" spans="1:7" x14ac:dyDescent="0.2">
      <c r="B678">
        <v>102</v>
      </c>
      <c r="C678">
        <v>4</v>
      </c>
      <c r="D678" s="2">
        <v>3.0470000000000002</v>
      </c>
      <c r="E678" s="2">
        <v>1.425</v>
      </c>
      <c r="F678" s="2">
        <f>(0.5/0.45)*D678</f>
        <v>3.3855555555555559</v>
      </c>
      <c r="G678" s="2">
        <f>100*E678/D678</f>
        <v>46.7673121102724</v>
      </c>
    </row>
    <row r="679" spans="1:7" x14ac:dyDescent="0.2">
      <c r="A679" t="s">
        <v>98</v>
      </c>
      <c r="B679">
        <v>103</v>
      </c>
      <c r="C679">
        <v>1</v>
      </c>
      <c r="D679" s="2">
        <v>4.0890000000000004</v>
      </c>
      <c r="E679" s="2">
        <f>0.256+1.318</f>
        <v>1.5740000000000001</v>
      </c>
      <c r="F679" s="2">
        <f>(0.5/0.45)*D679</f>
        <v>4.5433333333333339</v>
      </c>
      <c r="G679" s="2">
        <f>100*E679/D679</f>
        <v>38.493519197847881</v>
      </c>
    </row>
    <row r="680" spans="1:7" x14ac:dyDescent="0.2">
      <c r="B680">
        <v>104</v>
      </c>
      <c r="C680">
        <v>2</v>
      </c>
      <c r="D680" s="2">
        <v>2.8679999999999999</v>
      </c>
      <c r="E680" s="2">
        <v>1.0640000000000001</v>
      </c>
      <c r="F680" s="2">
        <f>(0.5/0.45)*D680</f>
        <v>3.1866666666666665</v>
      </c>
      <c r="G680" s="2">
        <f>100*E680/D680</f>
        <v>37.099023709902376</v>
      </c>
    </row>
    <row r="681" spans="1:7" x14ac:dyDescent="0.2">
      <c r="B681">
        <v>105</v>
      </c>
      <c r="C681">
        <v>3</v>
      </c>
      <c r="D681" s="2">
        <v>2.8</v>
      </c>
      <c r="E681" s="2">
        <v>0.38800000000000001</v>
      </c>
      <c r="F681" s="2">
        <f>(0.5/0.45)*D681</f>
        <v>3.1111111111111112</v>
      </c>
      <c r="G681" s="2">
        <f>100*E681/D681</f>
        <v>13.857142857142859</v>
      </c>
    </row>
    <row r="682" spans="1:7" x14ac:dyDescent="0.2">
      <c r="B682">
        <v>106</v>
      </c>
      <c r="C682">
        <v>4</v>
      </c>
      <c r="D682" s="2">
        <v>3.173</v>
      </c>
      <c r="E682" s="2">
        <f>0.139+0.272</f>
        <v>0.41100000000000003</v>
      </c>
      <c r="F682" s="2">
        <f>(0.5/0.45)*D682</f>
        <v>3.5255555555555556</v>
      </c>
      <c r="G682" s="2">
        <f>100*E682/D682</f>
        <v>12.953041285849354</v>
      </c>
    </row>
    <row r="683" spans="1:7" x14ac:dyDescent="0.2">
      <c r="B683">
        <v>107</v>
      </c>
      <c r="C683">
        <v>5</v>
      </c>
      <c r="D683" s="2">
        <v>1.123</v>
      </c>
      <c r="E683" s="2">
        <f>0.095+0.082</f>
        <v>0.17699999999999999</v>
      </c>
      <c r="F683" s="2">
        <f>(0.5/0.45)*D683</f>
        <v>1.2477777777777779</v>
      </c>
      <c r="G683" s="2">
        <f>100*E683/D683</f>
        <v>15.761353517364203</v>
      </c>
    </row>
    <row r="684" spans="1:7" x14ac:dyDescent="0.2">
      <c r="B684">
        <v>108</v>
      </c>
      <c r="C684">
        <v>6</v>
      </c>
      <c r="D684" s="2">
        <v>1.373</v>
      </c>
      <c r="E684" s="2">
        <v>0.20300000000000001</v>
      </c>
      <c r="F684" s="2">
        <f>(0.5/0.45)*D684</f>
        <v>1.5255555555555556</v>
      </c>
      <c r="G684" s="2">
        <f>100*E684/D684</f>
        <v>14.785142024763292</v>
      </c>
    </row>
    <row r="685" spans="1:7" x14ac:dyDescent="0.2">
      <c r="B685">
        <v>109</v>
      </c>
      <c r="C685">
        <v>7</v>
      </c>
      <c r="D685" s="2">
        <v>1.621</v>
      </c>
      <c r="E685" s="2">
        <v>0.96499999999999997</v>
      </c>
      <c r="F685" s="2">
        <f>(0.5/0.45)*D685</f>
        <v>1.8011111111111111</v>
      </c>
      <c r="G685" s="2">
        <f>100*E685/D685</f>
        <v>59.531153608883407</v>
      </c>
    </row>
    <row r="686" spans="1:7" x14ac:dyDescent="0.2">
      <c r="B686">
        <v>110</v>
      </c>
      <c r="C686">
        <v>8</v>
      </c>
      <c r="D686" s="2">
        <v>3.0259999999999998</v>
      </c>
      <c r="E686" s="2">
        <f>0.209+0.796</f>
        <v>1.0050000000000001</v>
      </c>
      <c r="F686" s="2">
        <f>(0.5/0.45)*D686</f>
        <v>3.362222222222222</v>
      </c>
      <c r="G686" s="2">
        <f>100*E686/D686</f>
        <v>33.212161269001989</v>
      </c>
    </row>
    <row r="687" spans="1:7" x14ac:dyDescent="0.2">
      <c r="A687" t="s">
        <v>97</v>
      </c>
      <c r="B687">
        <v>111</v>
      </c>
      <c r="C687">
        <v>1</v>
      </c>
      <c r="D687" s="2">
        <v>2.9750000000000001</v>
      </c>
      <c r="E687" s="2">
        <f>0.282+0.25</f>
        <v>0.53200000000000003</v>
      </c>
      <c r="F687" s="2">
        <f>(0.5/0.45)*D687</f>
        <v>3.3055555555555558</v>
      </c>
      <c r="G687" s="2">
        <f>100*E687/D687</f>
        <v>17.882352941176471</v>
      </c>
    </row>
    <row r="688" spans="1:7" x14ac:dyDescent="0.2">
      <c r="B688">
        <v>112</v>
      </c>
      <c r="C688">
        <v>2</v>
      </c>
      <c r="D688" s="2">
        <v>1.778</v>
      </c>
      <c r="E688" s="2">
        <v>0.26900000000000002</v>
      </c>
      <c r="F688" s="2">
        <f>(0.5/0.45)*D688</f>
        <v>1.9755555555555557</v>
      </c>
      <c r="G688" s="2">
        <f>100*E688/D688</f>
        <v>15.129358830146233</v>
      </c>
    </row>
    <row r="689" spans="1:7" x14ac:dyDescent="0.2">
      <c r="B689">
        <v>113</v>
      </c>
      <c r="C689">
        <v>3</v>
      </c>
      <c r="D689" s="2">
        <v>1.776</v>
      </c>
      <c r="E689" s="2">
        <f>0.326+0.145</f>
        <v>0.47099999999999997</v>
      </c>
      <c r="F689" s="2">
        <f>(0.5/0.45)*D689</f>
        <v>1.9733333333333334</v>
      </c>
      <c r="G689" s="2">
        <f>100*E689/D689</f>
        <v>26.520270270270267</v>
      </c>
    </row>
    <row r="690" spans="1:7" x14ac:dyDescent="0.2">
      <c r="B690">
        <v>114</v>
      </c>
      <c r="C690">
        <v>4</v>
      </c>
      <c r="D690" s="2">
        <v>1.2969999999999999</v>
      </c>
      <c r="E690" s="2">
        <v>0.24299999999999999</v>
      </c>
      <c r="F690" s="2">
        <f>(0.5/0.45)*D690</f>
        <v>1.441111111111111</v>
      </c>
      <c r="G690" s="2">
        <f>100*E690/D690</f>
        <v>18.735543562066308</v>
      </c>
    </row>
    <row r="691" spans="1:7" x14ac:dyDescent="0.2">
      <c r="B691">
        <v>115</v>
      </c>
      <c r="C691">
        <v>5</v>
      </c>
      <c r="D691" s="2">
        <v>1.93</v>
      </c>
      <c r="E691" s="2">
        <v>0.127</v>
      </c>
      <c r="F691" s="2">
        <f>(0.5/0.45)*D691</f>
        <v>2.1444444444444444</v>
      </c>
      <c r="G691" s="2">
        <f>100*E691/D691</f>
        <v>6.5803108808290158</v>
      </c>
    </row>
    <row r="692" spans="1:7" x14ac:dyDescent="0.2">
      <c r="B692">
        <v>116</v>
      </c>
      <c r="C692">
        <v>6</v>
      </c>
      <c r="D692" s="2">
        <v>3.8319999999999999</v>
      </c>
      <c r="E692" s="2">
        <f>1.189+0.367</f>
        <v>1.556</v>
      </c>
      <c r="F692" s="2">
        <f>(0.5/0.45)*D692</f>
        <v>4.2577777777777781</v>
      </c>
      <c r="G692" s="2">
        <f>100*E692/D692</f>
        <v>40.605427974947808</v>
      </c>
    </row>
    <row r="693" spans="1:7" x14ac:dyDescent="0.2">
      <c r="B693">
        <v>117</v>
      </c>
      <c r="C693">
        <v>7</v>
      </c>
      <c r="D693" s="2">
        <v>1.7929999999999999</v>
      </c>
      <c r="E693" s="2">
        <f>0.147+0.841</f>
        <v>0.98799999999999999</v>
      </c>
      <c r="F693" s="2">
        <f>(0.5/0.45)*D693</f>
        <v>1.9922222222222223</v>
      </c>
      <c r="G693" s="2">
        <f>100*E693/D693</f>
        <v>55.103179029559399</v>
      </c>
    </row>
    <row r="694" spans="1:7" x14ac:dyDescent="0.2">
      <c r="B694">
        <v>118</v>
      </c>
      <c r="C694">
        <v>8</v>
      </c>
      <c r="D694" s="2">
        <v>2.9750000000000001</v>
      </c>
      <c r="E694" s="2">
        <f>1.39+0.949</f>
        <v>2.339</v>
      </c>
      <c r="F694" s="2">
        <f>(0.5/0.45)*D694</f>
        <v>3.3055555555555558</v>
      </c>
      <c r="G694" s="2">
        <f>100*E694/D694</f>
        <v>78.621848739495803</v>
      </c>
    </row>
    <row r="695" spans="1:7" x14ac:dyDescent="0.2">
      <c r="B695">
        <v>119</v>
      </c>
      <c r="C695">
        <v>9</v>
      </c>
      <c r="D695" s="2">
        <v>1.036</v>
      </c>
      <c r="E695" s="2">
        <v>0.40500000000000003</v>
      </c>
      <c r="F695" s="2">
        <f>(0.5/0.45)*D695</f>
        <v>1.1511111111111112</v>
      </c>
      <c r="G695" s="2">
        <f>100*E695/D695</f>
        <v>39.092664092664094</v>
      </c>
    </row>
    <row r="696" spans="1:7" x14ac:dyDescent="0.2">
      <c r="B696">
        <v>120</v>
      </c>
      <c r="C696">
        <v>10</v>
      </c>
      <c r="D696" s="2">
        <v>2.5379999999999998</v>
      </c>
      <c r="E696" s="2">
        <f>0.215+0.315</f>
        <v>0.53</v>
      </c>
      <c r="F696" s="2">
        <f>(0.5/0.45)*D696</f>
        <v>2.82</v>
      </c>
      <c r="G696" s="2">
        <f>100*E696/D696</f>
        <v>20.882584712371948</v>
      </c>
    </row>
    <row r="698" spans="1:7" x14ac:dyDescent="0.2">
      <c r="C698" t="s">
        <v>1</v>
      </c>
      <c r="D698" s="2">
        <f>AVERAGE(D577:D696)</f>
        <v>2.4494833333333332</v>
      </c>
      <c r="E698" s="2">
        <f>AVERAGE(E577:E696)</f>
        <v>0.65062500000000012</v>
      </c>
      <c r="F698" s="2">
        <f>AVERAGE(F577:F696)</f>
        <v>2.7216481481481485</v>
      </c>
      <c r="G698" s="2">
        <f>AVERAGE(G577:G696)</f>
        <v>25.673006033212896</v>
      </c>
    </row>
    <row r="699" spans="1:7" x14ac:dyDescent="0.2">
      <c r="C699" t="s">
        <v>0</v>
      </c>
      <c r="D699" s="2">
        <f>STDEV(D577:D696)</f>
        <v>1.0285515227804618</v>
      </c>
      <c r="E699" s="2">
        <f>STDEV(E577:E696)</f>
        <v>0.49823972601533056</v>
      </c>
      <c r="F699" s="2">
        <f>STDEV(F577:F696)</f>
        <v>1.1428350253116222</v>
      </c>
      <c r="G699" s="2">
        <f>STDEV(G577:G696)</f>
        <v>15.646666883621938</v>
      </c>
    </row>
    <row r="701" spans="1:7" x14ac:dyDescent="0.2">
      <c r="A701" t="s">
        <v>96</v>
      </c>
    </row>
    <row r="702" spans="1:7" x14ac:dyDescent="0.2">
      <c r="A702" s="5" t="s">
        <v>95</v>
      </c>
      <c r="B702" s="5" t="s">
        <v>23</v>
      </c>
      <c r="C702" s="5" t="s">
        <v>22</v>
      </c>
      <c r="D702" s="4" t="s">
        <v>94</v>
      </c>
      <c r="E702" s="4" t="s">
        <v>93</v>
      </c>
      <c r="F702" s="4" t="s">
        <v>92</v>
      </c>
      <c r="G702" s="4" t="s">
        <v>91</v>
      </c>
    </row>
    <row r="703" spans="1:7" x14ac:dyDescent="0.2">
      <c r="A703" t="s">
        <v>84</v>
      </c>
      <c r="B703">
        <v>1</v>
      </c>
      <c r="C703">
        <v>1</v>
      </c>
      <c r="D703" s="2">
        <v>4.41</v>
      </c>
      <c r="E703" s="2">
        <v>0.72699999999999998</v>
      </c>
      <c r="F703" s="2">
        <f>(0.5/0.45)*D703</f>
        <v>4.9000000000000004</v>
      </c>
      <c r="G703" s="2">
        <f>100*E703/D703</f>
        <v>16.485260770975056</v>
      </c>
    </row>
    <row r="704" spans="1:7" x14ac:dyDescent="0.2">
      <c r="B704">
        <v>2</v>
      </c>
      <c r="C704">
        <v>2</v>
      </c>
      <c r="D704" s="2">
        <v>2.4630000000000001</v>
      </c>
      <c r="E704" s="2">
        <f>0.094+0.077+0.184</f>
        <v>0.35499999999999998</v>
      </c>
      <c r="F704" s="2">
        <f>(0.5/0.45)*D704</f>
        <v>2.7366666666666668</v>
      </c>
      <c r="G704" s="2">
        <f>100*E704/D704</f>
        <v>14.413317092976046</v>
      </c>
    </row>
    <row r="705" spans="1:7" x14ac:dyDescent="0.2">
      <c r="B705">
        <v>3</v>
      </c>
      <c r="C705">
        <v>3</v>
      </c>
      <c r="D705" s="2">
        <v>3.4390000000000001</v>
      </c>
      <c r="E705" s="2">
        <v>0.52600000000000002</v>
      </c>
      <c r="F705" s="2">
        <f>(0.5/0.45)*D705</f>
        <v>3.8211111111111111</v>
      </c>
      <c r="G705" s="2">
        <f>100*E705/D705</f>
        <v>15.295143937191044</v>
      </c>
    </row>
    <row r="706" spans="1:7" x14ac:dyDescent="0.2">
      <c r="B706">
        <v>4</v>
      </c>
      <c r="C706">
        <v>4</v>
      </c>
      <c r="D706" s="2">
        <v>1.579</v>
      </c>
      <c r="E706" s="2">
        <f>0.105+0.147</f>
        <v>0.252</v>
      </c>
      <c r="F706" s="2">
        <f>(0.5/0.45)*D706</f>
        <v>1.7544444444444445</v>
      </c>
      <c r="G706" s="2">
        <f>100*E706/D706</f>
        <v>15.959468017732743</v>
      </c>
    </row>
    <row r="707" spans="1:7" x14ac:dyDescent="0.2">
      <c r="B707">
        <v>5</v>
      </c>
      <c r="C707">
        <v>5</v>
      </c>
      <c r="D707" s="2">
        <v>2.8769999999999998</v>
      </c>
      <c r="E707" s="2">
        <v>0</v>
      </c>
      <c r="F707" s="2">
        <f>(0.5/0.45)*D707</f>
        <v>3.1966666666666668</v>
      </c>
      <c r="G707" s="2">
        <f>100*E707/D707</f>
        <v>0</v>
      </c>
    </row>
    <row r="708" spans="1:7" x14ac:dyDescent="0.2">
      <c r="B708">
        <v>6</v>
      </c>
      <c r="C708">
        <v>6</v>
      </c>
      <c r="D708" s="2">
        <v>1.9570000000000001</v>
      </c>
      <c r="E708" s="2">
        <f>0.346+0.19</f>
        <v>0.53600000000000003</v>
      </c>
      <c r="F708" s="2">
        <f>(0.5/0.45)*D708</f>
        <v>2.1744444444444446</v>
      </c>
      <c r="G708" s="2">
        <f>100*E708/D708</f>
        <v>27.38886050076648</v>
      </c>
    </row>
    <row r="709" spans="1:7" x14ac:dyDescent="0.2">
      <c r="B709">
        <v>7</v>
      </c>
      <c r="C709">
        <v>7</v>
      </c>
      <c r="D709" s="2">
        <v>2.2360000000000002</v>
      </c>
      <c r="E709" s="2">
        <v>0.58099999999999996</v>
      </c>
      <c r="F709" s="2">
        <f>(0.5/0.45)*D709</f>
        <v>2.4844444444444447</v>
      </c>
      <c r="G709" s="2">
        <f>100*E709/D709</f>
        <v>25.983899821109119</v>
      </c>
    </row>
    <row r="710" spans="1:7" x14ac:dyDescent="0.2">
      <c r="B710">
        <v>8</v>
      </c>
      <c r="C710">
        <v>8</v>
      </c>
      <c r="D710" s="2">
        <v>1.196</v>
      </c>
      <c r="E710" s="2">
        <v>0.28000000000000003</v>
      </c>
      <c r="F710" s="2">
        <f>(0.5/0.45)*D710</f>
        <v>1.3288888888888888</v>
      </c>
      <c r="G710" s="2">
        <f>100*E710/D710</f>
        <v>23.411371237458198</v>
      </c>
    </row>
    <row r="711" spans="1:7" x14ac:dyDescent="0.2">
      <c r="B711">
        <v>9</v>
      </c>
      <c r="C711">
        <v>9</v>
      </c>
      <c r="D711" s="2">
        <v>2.2669999999999999</v>
      </c>
      <c r="E711" s="2">
        <v>0</v>
      </c>
      <c r="F711" s="2">
        <f>(0.5/0.45)*D711</f>
        <v>2.5188888888888887</v>
      </c>
      <c r="G711" s="2">
        <f>100*E711/D711</f>
        <v>0</v>
      </c>
    </row>
    <row r="712" spans="1:7" x14ac:dyDescent="0.2">
      <c r="B712">
        <v>10</v>
      </c>
      <c r="C712">
        <v>10</v>
      </c>
      <c r="D712" s="2">
        <v>3.82</v>
      </c>
      <c r="E712" s="2">
        <f>0.172+0.448</f>
        <v>0.62</v>
      </c>
      <c r="F712" s="2">
        <f>(0.5/0.45)*D712</f>
        <v>4.2444444444444445</v>
      </c>
      <c r="G712" s="2">
        <f>100*E712/D712</f>
        <v>16.230366492146597</v>
      </c>
    </row>
    <row r="713" spans="1:7" x14ac:dyDescent="0.2">
      <c r="B713">
        <v>11</v>
      </c>
      <c r="C713">
        <v>11</v>
      </c>
      <c r="D713" s="2">
        <v>2.403</v>
      </c>
      <c r="E713" s="2">
        <v>0.151</v>
      </c>
      <c r="F713" s="2">
        <f>(0.5/0.45)*D713</f>
        <v>2.67</v>
      </c>
      <c r="G713" s="2">
        <f>100*E713/D713</f>
        <v>6.2838119017894298</v>
      </c>
    </row>
    <row r="714" spans="1:7" x14ac:dyDescent="0.2">
      <c r="B714">
        <v>12</v>
      </c>
      <c r="C714">
        <v>12</v>
      </c>
      <c r="D714" s="2">
        <v>2.407</v>
      </c>
      <c r="E714" s="2">
        <f>0.133+0.2</f>
        <v>0.33300000000000002</v>
      </c>
      <c r="F714" s="2">
        <f>(0.5/0.45)*D714</f>
        <v>2.6744444444444446</v>
      </c>
      <c r="G714" s="2">
        <f>100*E714/D714</f>
        <v>13.834648940589947</v>
      </c>
    </row>
    <row r="715" spans="1:7" x14ac:dyDescent="0.2">
      <c r="A715" t="s">
        <v>83</v>
      </c>
      <c r="B715">
        <v>13</v>
      </c>
      <c r="C715">
        <v>1</v>
      </c>
      <c r="D715" s="2">
        <v>2.3359999999999999</v>
      </c>
      <c r="E715" s="2">
        <v>0.20699999999999999</v>
      </c>
      <c r="F715" s="2">
        <f>(0.5/0.45)*D715</f>
        <v>2.5955555555555554</v>
      </c>
      <c r="G715" s="2">
        <f>100*E715/D715</f>
        <v>8.8613013698630141</v>
      </c>
    </row>
    <row r="716" spans="1:7" x14ac:dyDescent="0.2">
      <c r="B716">
        <v>14</v>
      </c>
      <c r="C716">
        <v>2</v>
      </c>
      <c r="D716" s="2">
        <v>1.2070000000000001</v>
      </c>
      <c r="E716" s="2">
        <v>0.59499999999999997</v>
      </c>
      <c r="F716" s="2">
        <f>(0.5/0.45)*D716</f>
        <v>1.3411111111111111</v>
      </c>
      <c r="G716" s="2">
        <f>100*E716/D716</f>
        <v>49.29577464788732</v>
      </c>
    </row>
    <row r="717" spans="1:7" x14ac:dyDescent="0.2">
      <c r="B717">
        <v>15</v>
      </c>
      <c r="C717">
        <v>3</v>
      </c>
      <c r="D717" s="2">
        <v>2.0979999999999999</v>
      </c>
      <c r="E717" s="2">
        <f>0.304+0.298</f>
        <v>0.60199999999999998</v>
      </c>
      <c r="F717" s="2">
        <f>(0.5/0.45)*D717</f>
        <v>2.3311111111111109</v>
      </c>
      <c r="G717" s="2">
        <f>100*E717/D717</f>
        <v>28.693994280266921</v>
      </c>
    </row>
    <row r="718" spans="1:7" x14ac:dyDescent="0.2">
      <c r="B718">
        <v>16</v>
      </c>
      <c r="C718">
        <v>4</v>
      </c>
      <c r="D718" s="2">
        <v>1.952</v>
      </c>
      <c r="E718" s="2">
        <f>0.24+0.595</f>
        <v>0.83499999999999996</v>
      </c>
      <c r="F718" s="2">
        <f>(0.5/0.45)*D718</f>
        <v>2.1688888888888891</v>
      </c>
      <c r="G718" s="2">
        <f>100*E718/D718</f>
        <v>42.776639344262293</v>
      </c>
    </row>
    <row r="719" spans="1:7" x14ac:dyDescent="0.2">
      <c r="B719">
        <v>17</v>
      </c>
      <c r="C719">
        <v>5</v>
      </c>
      <c r="D719" s="2">
        <v>2.0289999999999999</v>
      </c>
      <c r="E719" s="2">
        <f>0.153+0.115</f>
        <v>0.26800000000000002</v>
      </c>
      <c r="F719" s="2">
        <f>(0.5/0.45)*D719</f>
        <v>2.2544444444444443</v>
      </c>
      <c r="G719" s="2">
        <f>100*E719/D719</f>
        <v>13.208477082306556</v>
      </c>
    </row>
    <row r="720" spans="1:7" x14ac:dyDescent="0.2">
      <c r="B720">
        <v>18</v>
      </c>
      <c r="C720">
        <v>6</v>
      </c>
      <c r="D720" s="2">
        <v>2.149</v>
      </c>
      <c r="E720" s="2">
        <v>0.36099999999999999</v>
      </c>
      <c r="F720" s="2">
        <f>(0.5/0.45)*D720</f>
        <v>2.387777777777778</v>
      </c>
      <c r="G720" s="2">
        <f>100*E720/D720</f>
        <v>16.798510935318753</v>
      </c>
    </row>
    <row r="721" spans="1:7" x14ac:dyDescent="0.2">
      <c r="B721">
        <v>19</v>
      </c>
      <c r="C721">
        <v>7</v>
      </c>
      <c r="D721" s="2">
        <v>1.306</v>
      </c>
      <c r="E721" s="2">
        <f>0.173+0.155</f>
        <v>0.32799999999999996</v>
      </c>
      <c r="F721" s="2">
        <f>(0.5/0.45)*D721</f>
        <v>1.4511111111111112</v>
      </c>
      <c r="G721" s="2">
        <f>100*E721/D721</f>
        <v>25.114854517611022</v>
      </c>
    </row>
    <row r="722" spans="1:7" x14ac:dyDescent="0.2">
      <c r="B722">
        <v>20</v>
      </c>
      <c r="C722">
        <v>8</v>
      </c>
      <c r="D722" s="2">
        <v>0.95599999999999996</v>
      </c>
      <c r="E722" s="2">
        <v>8.3000000000000004E-2</v>
      </c>
      <c r="F722" s="2">
        <f>(0.5/0.45)*D722</f>
        <v>1.0622222222222222</v>
      </c>
      <c r="G722" s="2">
        <f>100*E722/D722</f>
        <v>8.6820083682008384</v>
      </c>
    </row>
    <row r="723" spans="1:7" x14ac:dyDescent="0.2">
      <c r="B723">
        <v>21</v>
      </c>
      <c r="C723">
        <v>9</v>
      </c>
      <c r="D723" s="2">
        <v>1.4279999999999999</v>
      </c>
      <c r="E723" s="2">
        <v>0.20699999999999999</v>
      </c>
      <c r="F723" s="2">
        <f>(0.5/0.45)*D723</f>
        <v>1.5866666666666667</v>
      </c>
      <c r="G723" s="2">
        <f>100*E723/D723</f>
        <v>14.495798319327731</v>
      </c>
    </row>
    <row r="724" spans="1:7" x14ac:dyDescent="0.2">
      <c r="B724">
        <v>22</v>
      </c>
      <c r="C724">
        <v>10</v>
      </c>
      <c r="D724" s="2">
        <v>1.6040000000000001</v>
      </c>
      <c r="E724" s="2">
        <f>0.469+0.094</f>
        <v>0.56299999999999994</v>
      </c>
      <c r="F724" s="2">
        <f>(0.5/0.45)*D724</f>
        <v>1.7822222222222224</v>
      </c>
      <c r="G724" s="2">
        <f>100*E724/D724</f>
        <v>35.099750623441395</v>
      </c>
    </row>
    <row r="725" spans="1:7" x14ac:dyDescent="0.2">
      <c r="B725">
        <v>23</v>
      </c>
      <c r="C725">
        <v>11</v>
      </c>
      <c r="D725" s="2">
        <v>1.83</v>
      </c>
      <c r="E725" s="2">
        <f>0.14+0.418</f>
        <v>0.55800000000000005</v>
      </c>
      <c r="F725" s="2">
        <f>(0.5/0.45)*D725</f>
        <v>2.0333333333333337</v>
      </c>
      <c r="G725" s="2">
        <f>100*E725/D725</f>
        <v>30.491803278688526</v>
      </c>
    </row>
    <row r="726" spans="1:7" x14ac:dyDescent="0.2">
      <c r="B726">
        <v>24</v>
      </c>
      <c r="C726">
        <v>12</v>
      </c>
      <c r="D726" s="2">
        <v>1.8740000000000001</v>
      </c>
      <c r="E726" s="2">
        <f>0.137+0.37</f>
        <v>0.50700000000000001</v>
      </c>
      <c r="F726" s="2">
        <f>(0.5/0.45)*D726</f>
        <v>2.0822222222222226</v>
      </c>
      <c r="G726" s="2">
        <f>100*E726/D726</f>
        <v>27.054429028815367</v>
      </c>
    </row>
    <row r="727" spans="1:7" x14ac:dyDescent="0.2">
      <c r="B727">
        <v>25</v>
      </c>
      <c r="C727">
        <v>13</v>
      </c>
      <c r="D727" s="2">
        <v>2.3730000000000002</v>
      </c>
      <c r="E727" s="2">
        <f>0.353+0.136</f>
        <v>0.48899999999999999</v>
      </c>
      <c r="F727" s="2">
        <f>(0.5/0.45)*D727</f>
        <v>2.6366666666666672</v>
      </c>
      <c r="G727" s="2">
        <f>100*E727/D727</f>
        <v>20.606826801517066</v>
      </c>
    </row>
    <row r="728" spans="1:7" x14ac:dyDescent="0.2">
      <c r="B728">
        <v>26</v>
      </c>
      <c r="C728">
        <v>14</v>
      </c>
      <c r="D728" s="2">
        <v>1.851</v>
      </c>
      <c r="E728" s="2">
        <v>0.83699999999999997</v>
      </c>
      <c r="F728" s="2">
        <f>(0.5/0.45)*D728</f>
        <v>2.0566666666666666</v>
      </c>
      <c r="G728" s="2">
        <f>100*E728/D728</f>
        <v>45.21880064829822</v>
      </c>
    </row>
    <row r="729" spans="1:7" x14ac:dyDescent="0.2">
      <c r="B729">
        <v>27</v>
      </c>
      <c r="C729">
        <v>15</v>
      </c>
      <c r="D729" s="2">
        <v>1.379</v>
      </c>
      <c r="E729" s="2">
        <v>0.28399999999999997</v>
      </c>
      <c r="F729" s="2">
        <f>(0.5/0.45)*D729</f>
        <v>1.5322222222222224</v>
      </c>
      <c r="G729" s="2">
        <f>100*E729/D729</f>
        <v>20.594633792603336</v>
      </c>
    </row>
    <row r="730" spans="1:7" x14ac:dyDescent="0.2">
      <c r="B730">
        <v>28</v>
      </c>
      <c r="C730">
        <v>16</v>
      </c>
      <c r="D730" s="2">
        <v>1.423</v>
      </c>
      <c r="E730" s="2">
        <v>0.25900000000000001</v>
      </c>
      <c r="F730" s="2">
        <f>(0.5/0.45)*D730</f>
        <v>1.5811111111111111</v>
      </c>
      <c r="G730" s="2">
        <f>100*E730/D730</f>
        <v>18.200983836964163</v>
      </c>
    </row>
    <row r="731" spans="1:7" x14ac:dyDescent="0.2">
      <c r="B731">
        <v>29</v>
      </c>
      <c r="C731">
        <v>17</v>
      </c>
      <c r="D731" s="2">
        <v>1.5529999999999999</v>
      </c>
      <c r="E731" s="2">
        <v>0.624</v>
      </c>
      <c r="F731" s="2">
        <f>(0.5/0.45)*D731</f>
        <v>1.7255555555555555</v>
      </c>
      <c r="G731" s="2">
        <f>100*E731/D731</f>
        <v>40.180296200901481</v>
      </c>
    </row>
    <row r="732" spans="1:7" x14ac:dyDescent="0.2">
      <c r="A732" t="s">
        <v>82</v>
      </c>
      <c r="B732">
        <v>30</v>
      </c>
      <c r="C732">
        <v>1</v>
      </c>
      <c r="D732" s="2">
        <v>1.286</v>
      </c>
      <c r="E732" s="2">
        <f>0.608+0.121</f>
        <v>0.72899999999999998</v>
      </c>
      <c r="F732" s="2">
        <f>(0.5/0.45)*D732</f>
        <v>1.4288888888888891</v>
      </c>
      <c r="G732" s="2">
        <f>100*E732/D732</f>
        <v>56.687402799377907</v>
      </c>
    </row>
    <row r="733" spans="1:7" x14ac:dyDescent="0.2">
      <c r="B733">
        <v>31</v>
      </c>
      <c r="C733">
        <v>2</v>
      </c>
      <c r="D733" s="2">
        <v>1.923</v>
      </c>
      <c r="E733" s="2">
        <v>0</v>
      </c>
      <c r="F733" s="2">
        <f>(0.5/0.45)*D733</f>
        <v>2.1366666666666667</v>
      </c>
      <c r="G733" s="2">
        <f>100*E733/D733</f>
        <v>0</v>
      </c>
    </row>
    <row r="734" spans="1:7" x14ac:dyDescent="0.2">
      <c r="B734">
        <v>32</v>
      </c>
      <c r="C734">
        <v>3</v>
      </c>
      <c r="D734" s="2">
        <v>0.98899999999999999</v>
      </c>
      <c r="E734" s="2">
        <f>0.124+0.399</f>
        <v>0.52300000000000002</v>
      </c>
      <c r="F734" s="2">
        <f>(0.5/0.45)*D734</f>
        <v>1.098888888888889</v>
      </c>
      <c r="G734" s="2">
        <f>100*E734/D734</f>
        <v>52.881698685540954</v>
      </c>
    </row>
    <row r="735" spans="1:7" x14ac:dyDescent="0.2">
      <c r="B735">
        <v>33</v>
      </c>
      <c r="C735">
        <v>4</v>
      </c>
      <c r="D735" s="2">
        <v>1.17</v>
      </c>
      <c r="E735" s="2">
        <v>0.41499999999999998</v>
      </c>
      <c r="F735" s="2">
        <f>(0.5/0.45)*D735</f>
        <v>1.3</v>
      </c>
      <c r="G735" s="2">
        <f>100*E735/D735</f>
        <v>35.470085470085472</v>
      </c>
    </row>
    <row r="736" spans="1:7" x14ac:dyDescent="0.2">
      <c r="B736">
        <v>34</v>
      </c>
      <c r="C736">
        <v>5</v>
      </c>
      <c r="D736" s="2">
        <v>1.4890000000000001</v>
      </c>
      <c r="E736" s="2">
        <f>0.168+0.563+0.14</f>
        <v>0.871</v>
      </c>
      <c r="F736" s="2">
        <f>(0.5/0.45)*D736</f>
        <v>1.6544444444444446</v>
      </c>
      <c r="G736" s="2">
        <f>100*E736/D736</f>
        <v>58.495634654130278</v>
      </c>
    </row>
    <row r="737" spans="1:7" x14ac:dyDescent="0.2">
      <c r="B737">
        <v>35</v>
      </c>
      <c r="C737">
        <v>6</v>
      </c>
      <c r="D737" s="2">
        <v>1.2889999999999999</v>
      </c>
      <c r="E737" s="2">
        <v>0.188</v>
      </c>
      <c r="F737" s="2">
        <f>(0.5/0.45)*D737</f>
        <v>1.4322222222222223</v>
      </c>
      <c r="G737" s="2">
        <f>100*E737/D737</f>
        <v>14.584949573312647</v>
      </c>
    </row>
    <row r="738" spans="1:7" x14ac:dyDescent="0.2">
      <c r="B738">
        <v>36</v>
      </c>
      <c r="C738">
        <v>7</v>
      </c>
      <c r="D738" s="2">
        <v>1.585</v>
      </c>
      <c r="E738" s="2">
        <v>0</v>
      </c>
      <c r="F738" s="2">
        <f>(0.5/0.45)*D738</f>
        <v>1.7611111111111111</v>
      </c>
      <c r="G738" s="2">
        <f>100*E738/D738</f>
        <v>0</v>
      </c>
    </row>
    <row r="739" spans="1:7" x14ac:dyDescent="0.2">
      <c r="B739">
        <v>37</v>
      </c>
      <c r="C739">
        <v>8</v>
      </c>
      <c r="D739" s="2">
        <v>1.095</v>
      </c>
      <c r="E739" s="2">
        <v>0.252</v>
      </c>
      <c r="F739" s="2">
        <f>(0.5/0.45)*D739</f>
        <v>1.2166666666666668</v>
      </c>
      <c r="G739" s="2">
        <f>100*E739/D739</f>
        <v>23.013698630136986</v>
      </c>
    </row>
    <row r="740" spans="1:7" x14ac:dyDescent="0.2">
      <c r="B740">
        <v>38</v>
      </c>
      <c r="C740">
        <v>9</v>
      </c>
      <c r="D740" s="2">
        <v>1.0069999999999999</v>
      </c>
      <c r="E740" s="2">
        <v>0.312</v>
      </c>
      <c r="F740" s="2">
        <f>(0.5/0.45)*D740</f>
        <v>1.1188888888888888</v>
      </c>
      <c r="G740" s="2">
        <f>100*E740/D740</f>
        <v>30.983118172790469</v>
      </c>
    </row>
    <row r="741" spans="1:7" x14ac:dyDescent="0.2">
      <c r="B741">
        <v>39</v>
      </c>
      <c r="C741">
        <v>10</v>
      </c>
      <c r="D741" s="2">
        <v>1.7410000000000001</v>
      </c>
      <c r="E741" s="2">
        <v>0.43</v>
      </c>
      <c r="F741" s="2">
        <f>(0.5/0.45)*D741</f>
        <v>1.9344444444444446</v>
      </c>
      <c r="G741" s="2">
        <f>100*E741/D741</f>
        <v>24.698449167145316</v>
      </c>
    </row>
    <row r="742" spans="1:7" x14ac:dyDescent="0.2">
      <c r="B742">
        <v>40</v>
      </c>
      <c r="C742">
        <v>11</v>
      </c>
      <c r="D742" s="2">
        <v>0.99399999999999999</v>
      </c>
      <c r="E742" s="2">
        <v>0.29499999999999998</v>
      </c>
      <c r="F742" s="2">
        <f>(0.5/0.45)*D742</f>
        <v>1.1044444444444446</v>
      </c>
      <c r="G742" s="2">
        <f>100*E742/D742</f>
        <v>29.678068410462778</v>
      </c>
    </row>
    <row r="743" spans="1:7" x14ac:dyDescent="0.2">
      <c r="B743">
        <v>41</v>
      </c>
      <c r="C743">
        <v>12</v>
      </c>
      <c r="D743" s="2">
        <v>1.1719999999999999</v>
      </c>
      <c r="E743" s="2">
        <v>0.11799999999999999</v>
      </c>
      <c r="F743" s="2">
        <f>(0.5/0.45)*D743</f>
        <v>1.3022222222222222</v>
      </c>
      <c r="G743" s="2">
        <f>100*E743/D743</f>
        <v>10.068259385665529</v>
      </c>
    </row>
    <row r="744" spans="1:7" x14ac:dyDescent="0.2">
      <c r="B744">
        <v>42</v>
      </c>
      <c r="C744">
        <v>13</v>
      </c>
      <c r="D744" s="2">
        <v>1.0269999999999999</v>
      </c>
      <c r="E744" s="2">
        <v>0</v>
      </c>
      <c r="F744" s="2">
        <f>(0.5/0.45)*D744</f>
        <v>1.141111111111111</v>
      </c>
      <c r="G744" s="2">
        <f>100*E744/D744</f>
        <v>0</v>
      </c>
    </row>
    <row r="745" spans="1:7" x14ac:dyDescent="0.2">
      <c r="B745">
        <v>43</v>
      </c>
      <c r="C745">
        <v>14</v>
      </c>
      <c r="D745" s="2">
        <v>0.86599999999999999</v>
      </c>
      <c r="E745" s="2">
        <v>0</v>
      </c>
      <c r="F745" s="2">
        <f>(0.5/0.45)*D745</f>
        <v>0.9622222222222222</v>
      </c>
      <c r="G745" s="2">
        <f>100*E745/D745</f>
        <v>0</v>
      </c>
    </row>
    <row r="746" spans="1:7" x14ac:dyDescent="0.2">
      <c r="A746" t="s">
        <v>81</v>
      </c>
      <c r="B746">
        <v>44</v>
      </c>
      <c r="C746">
        <v>1</v>
      </c>
      <c r="D746" s="2">
        <v>1.7769999999999999</v>
      </c>
      <c r="E746" s="2">
        <f>0.095+0.151</f>
        <v>0.246</v>
      </c>
      <c r="F746" s="2">
        <f>(0.5/0.45)*D746</f>
        <v>1.9744444444444444</v>
      </c>
      <c r="G746" s="2">
        <f>100*E746/D746</f>
        <v>13.843556555993249</v>
      </c>
    </row>
    <row r="747" spans="1:7" x14ac:dyDescent="0.2">
      <c r="B747">
        <v>45</v>
      </c>
      <c r="C747">
        <v>2</v>
      </c>
      <c r="D747" s="2">
        <v>2.327</v>
      </c>
      <c r="E747" s="2">
        <v>0.16700000000000001</v>
      </c>
      <c r="F747" s="2">
        <f>(0.5/0.45)*D747</f>
        <v>2.5855555555555556</v>
      </c>
      <c r="G747" s="2">
        <f>100*E747/D747</f>
        <v>7.1766222604211425</v>
      </c>
    </row>
    <row r="748" spans="1:7" x14ac:dyDescent="0.2">
      <c r="B748">
        <v>46</v>
      </c>
      <c r="C748">
        <v>3</v>
      </c>
      <c r="D748" s="2">
        <v>2.105</v>
      </c>
      <c r="E748" s="2">
        <v>9.2999999999999999E-2</v>
      </c>
      <c r="F748" s="2">
        <f>(0.5/0.45)*D748</f>
        <v>2.338888888888889</v>
      </c>
      <c r="G748" s="2">
        <f>100*E748/D748</f>
        <v>4.418052256532067</v>
      </c>
    </row>
    <row r="749" spans="1:7" x14ac:dyDescent="0.2">
      <c r="B749">
        <v>47</v>
      </c>
      <c r="C749">
        <v>4</v>
      </c>
      <c r="D749" s="2">
        <v>0.99299999999999999</v>
      </c>
      <c r="E749" s="2">
        <v>0.32200000000000001</v>
      </c>
      <c r="F749" s="2">
        <f>(0.5/0.45)*D749</f>
        <v>1.1033333333333333</v>
      </c>
      <c r="G749" s="2">
        <f>100*E749/D749</f>
        <v>32.426988922457205</v>
      </c>
    </row>
    <row r="750" spans="1:7" x14ac:dyDescent="0.2">
      <c r="B750">
        <v>48</v>
      </c>
      <c r="C750">
        <v>5</v>
      </c>
      <c r="D750" s="2">
        <v>0.93400000000000005</v>
      </c>
      <c r="E750" s="2">
        <v>0.183</v>
      </c>
      <c r="F750" s="2">
        <f>(0.5/0.45)*D750</f>
        <v>1.0377777777777779</v>
      </c>
      <c r="G750" s="2">
        <f>100*E750/D750</f>
        <v>19.593147751605997</v>
      </c>
    </row>
    <row r="751" spans="1:7" x14ac:dyDescent="0.2">
      <c r="B751">
        <v>49</v>
      </c>
      <c r="C751">
        <v>6</v>
      </c>
      <c r="D751" s="2">
        <v>1.3839999999999999</v>
      </c>
      <c r="E751" s="2">
        <v>0.44600000000000001</v>
      </c>
      <c r="F751" s="2">
        <f>(0.5/0.45)*D751</f>
        <v>1.5377777777777777</v>
      </c>
      <c r="G751" s="2">
        <f>100*E751/D751</f>
        <v>32.225433526011564</v>
      </c>
    </row>
    <row r="752" spans="1:7" x14ac:dyDescent="0.2">
      <c r="B752">
        <v>50</v>
      </c>
      <c r="C752">
        <v>7</v>
      </c>
      <c r="D752" s="2">
        <v>1.92</v>
      </c>
      <c r="E752" s="2">
        <v>0.222</v>
      </c>
      <c r="F752" s="2">
        <f>(0.5/0.45)*D752</f>
        <v>2.1333333333333333</v>
      </c>
      <c r="G752" s="2">
        <f>100*E752/D752</f>
        <v>11.5625</v>
      </c>
    </row>
    <row r="753" spans="1:7" x14ac:dyDescent="0.2">
      <c r="B753">
        <v>51</v>
      </c>
      <c r="C753">
        <v>8</v>
      </c>
      <c r="D753" s="2">
        <v>1.4139999999999999</v>
      </c>
      <c r="E753" s="2">
        <v>0.11700000000000001</v>
      </c>
      <c r="F753" s="2">
        <f>(0.5/0.45)*D753</f>
        <v>1.5711111111111111</v>
      </c>
      <c r="G753" s="2">
        <f>100*E753/D753</f>
        <v>8.2743988684582757</v>
      </c>
    </row>
    <row r="754" spans="1:7" x14ac:dyDescent="0.2">
      <c r="B754">
        <v>52</v>
      </c>
      <c r="C754">
        <v>9</v>
      </c>
      <c r="D754" s="2">
        <v>1.0329999999999999</v>
      </c>
      <c r="E754" s="2">
        <f>0.224+0.131</f>
        <v>0.35499999999999998</v>
      </c>
      <c r="F754" s="2">
        <f>(0.5/0.45)*D754</f>
        <v>1.1477777777777778</v>
      </c>
      <c r="G754" s="2">
        <f>100*E754/D754</f>
        <v>34.365924491771544</v>
      </c>
    </row>
    <row r="755" spans="1:7" x14ac:dyDescent="0.2">
      <c r="B755">
        <v>53</v>
      </c>
      <c r="C755">
        <v>10</v>
      </c>
      <c r="D755" s="2">
        <v>1.147</v>
      </c>
      <c r="E755" s="2">
        <v>0.61</v>
      </c>
      <c r="F755" s="2">
        <f>(0.5/0.45)*D755</f>
        <v>1.2744444444444445</v>
      </c>
      <c r="G755" s="2">
        <f>100*E755/D755</f>
        <v>53.182214472537055</v>
      </c>
    </row>
    <row r="756" spans="1:7" x14ac:dyDescent="0.2">
      <c r="B756">
        <v>54</v>
      </c>
      <c r="C756">
        <v>11</v>
      </c>
      <c r="D756" s="2">
        <v>1.4670000000000001</v>
      </c>
      <c r="E756" s="2">
        <v>0.24</v>
      </c>
      <c r="F756" s="2">
        <f>(0.5/0.45)*D756</f>
        <v>1.6300000000000001</v>
      </c>
      <c r="G756" s="2">
        <f>100*E756/D756</f>
        <v>16.359918200408998</v>
      </c>
    </row>
    <row r="757" spans="1:7" x14ac:dyDescent="0.2">
      <c r="B757">
        <v>55</v>
      </c>
      <c r="C757">
        <v>12</v>
      </c>
      <c r="D757" s="2">
        <v>1.944</v>
      </c>
      <c r="E757" s="2">
        <v>8.3000000000000004E-2</v>
      </c>
      <c r="F757" s="2">
        <f>(0.5/0.45)*D757</f>
        <v>2.16</v>
      </c>
      <c r="G757" s="2">
        <f>100*E757/D757</f>
        <v>4.2695473251028808</v>
      </c>
    </row>
    <row r="758" spans="1:7" x14ac:dyDescent="0.2">
      <c r="B758">
        <v>56</v>
      </c>
      <c r="C758">
        <v>13</v>
      </c>
      <c r="D758" s="2">
        <v>0.99099999999999999</v>
      </c>
      <c r="E758" s="2">
        <f>0.087+0.088</f>
        <v>0.17499999999999999</v>
      </c>
      <c r="F758" s="2">
        <f>(0.5/0.45)*D758</f>
        <v>1.1011111111111112</v>
      </c>
      <c r="G758" s="2">
        <f>100*E758/D758</f>
        <v>17.658930373360242</v>
      </c>
    </row>
    <row r="759" spans="1:7" x14ac:dyDescent="0.2">
      <c r="B759">
        <v>57</v>
      </c>
      <c r="C759">
        <v>14</v>
      </c>
      <c r="D759" s="2">
        <v>1.1859999999999999</v>
      </c>
      <c r="E759" s="2">
        <f>0.143+0.069</f>
        <v>0.21199999999999999</v>
      </c>
      <c r="F759" s="2">
        <f>(0.5/0.45)*D759</f>
        <v>1.3177777777777777</v>
      </c>
      <c r="G759" s="2">
        <f>100*E759/D759</f>
        <v>17.875210792580102</v>
      </c>
    </row>
    <row r="760" spans="1:7" x14ac:dyDescent="0.2">
      <c r="A760" t="s">
        <v>80</v>
      </c>
      <c r="B760">
        <v>58</v>
      </c>
      <c r="C760">
        <v>1</v>
      </c>
      <c r="D760" s="2">
        <v>2.069</v>
      </c>
      <c r="E760" s="2">
        <f>0.514+0.176</f>
        <v>0.69</v>
      </c>
      <c r="F760" s="2">
        <f>(0.5/0.45)*D760</f>
        <v>2.298888888888889</v>
      </c>
      <c r="G760" s="2">
        <f>100*E760/D760</f>
        <v>33.349444175930401</v>
      </c>
    </row>
    <row r="761" spans="1:7" x14ac:dyDescent="0.2">
      <c r="B761">
        <v>59</v>
      </c>
      <c r="C761">
        <v>2</v>
      </c>
      <c r="D761" s="2">
        <v>1.19</v>
      </c>
      <c r="E761" s="2">
        <f>0.461+0.125</f>
        <v>0.58600000000000008</v>
      </c>
      <c r="F761" s="2">
        <f>(0.5/0.45)*D761</f>
        <v>1.3222222222222222</v>
      </c>
      <c r="G761" s="2">
        <f>100*E761/D761</f>
        <v>49.243697478991606</v>
      </c>
    </row>
    <row r="762" spans="1:7" x14ac:dyDescent="0.2">
      <c r="B762">
        <v>60</v>
      </c>
      <c r="C762">
        <v>3</v>
      </c>
      <c r="D762" s="2">
        <v>1.1679999999999999</v>
      </c>
      <c r="E762" s="2">
        <f>0.228+0.144</f>
        <v>0.372</v>
      </c>
      <c r="F762" s="2">
        <f>(0.5/0.45)*D762</f>
        <v>1.2977777777777777</v>
      </c>
      <c r="G762" s="2">
        <f>100*E762/D762</f>
        <v>31.849315068493155</v>
      </c>
    </row>
    <row r="763" spans="1:7" x14ac:dyDescent="0.2">
      <c r="B763">
        <v>61</v>
      </c>
      <c r="C763">
        <v>4</v>
      </c>
      <c r="D763" s="2">
        <v>2.008</v>
      </c>
      <c r="E763" s="2">
        <f>0.475+0.126</f>
        <v>0.60099999999999998</v>
      </c>
      <c r="F763" s="2">
        <f>(0.5/0.45)*D763</f>
        <v>2.2311111111111113</v>
      </c>
      <c r="G763" s="2">
        <f>100*E763/D763</f>
        <v>29.930278884462147</v>
      </c>
    </row>
    <row r="764" spans="1:7" x14ac:dyDescent="0.2">
      <c r="B764">
        <v>62</v>
      </c>
      <c r="C764">
        <v>5</v>
      </c>
      <c r="D764" s="2">
        <v>1.458</v>
      </c>
      <c r="E764" s="2">
        <f>0.139+0.168</f>
        <v>0.30700000000000005</v>
      </c>
      <c r="F764" s="2">
        <f>(0.5/0.45)*D764</f>
        <v>1.62</v>
      </c>
      <c r="G764" s="2">
        <f>100*E764/D764</f>
        <v>21.056241426611802</v>
      </c>
    </row>
    <row r="765" spans="1:7" x14ac:dyDescent="0.2">
      <c r="B765">
        <v>63</v>
      </c>
      <c r="C765">
        <v>6</v>
      </c>
      <c r="D765" s="2">
        <v>1.63</v>
      </c>
      <c r="E765" s="2">
        <f>0.114+0.199+0.178</f>
        <v>0.49099999999999999</v>
      </c>
      <c r="F765" s="2">
        <f>(0.5/0.45)*D765</f>
        <v>1.8111111111111111</v>
      </c>
      <c r="G765" s="2">
        <f>100*E765/D765</f>
        <v>30.122699386503069</v>
      </c>
    </row>
    <row r="766" spans="1:7" x14ac:dyDescent="0.2">
      <c r="B766">
        <v>64</v>
      </c>
      <c r="C766">
        <v>7</v>
      </c>
      <c r="D766" s="2">
        <v>1.635</v>
      </c>
      <c r="E766" s="2">
        <v>9.7000000000000003E-2</v>
      </c>
      <c r="F766" s="2">
        <f>(0.5/0.45)*D766</f>
        <v>1.8166666666666667</v>
      </c>
      <c r="G766" s="2">
        <f>100*E766/D766</f>
        <v>5.9327217125382266</v>
      </c>
    </row>
    <row r="767" spans="1:7" x14ac:dyDescent="0.2">
      <c r="B767">
        <v>65</v>
      </c>
      <c r="C767">
        <v>8</v>
      </c>
      <c r="D767" s="2">
        <v>1.637</v>
      </c>
      <c r="E767" s="2">
        <v>1.111</v>
      </c>
      <c r="F767" s="2">
        <f>(0.5/0.45)*D767</f>
        <v>1.818888888888889</v>
      </c>
      <c r="G767" s="2">
        <f>100*E767/D767</f>
        <v>67.868051313378132</v>
      </c>
    </row>
    <row r="768" spans="1:7" x14ac:dyDescent="0.2">
      <c r="B768">
        <v>66</v>
      </c>
      <c r="C768">
        <v>9</v>
      </c>
      <c r="D768" s="2">
        <v>1.827</v>
      </c>
      <c r="E768" s="2">
        <v>0.69899999999999995</v>
      </c>
      <c r="F768" s="2">
        <f>(0.5/0.45)*D768</f>
        <v>2.0300000000000002</v>
      </c>
      <c r="G768" s="2">
        <f>100*E768/D768</f>
        <v>38.259441707717563</v>
      </c>
    </row>
    <row r="769" spans="1:7" x14ac:dyDescent="0.2">
      <c r="B769">
        <v>67</v>
      </c>
      <c r="C769">
        <v>10</v>
      </c>
      <c r="D769" s="2">
        <v>1.266</v>
      </c>
      <c r="E769" s="2">
        <f>0.193+0.158</f>
        <v>0.35099999999999998</v>
      </c>
      <c r="F769" s="2">
        <f>(0.5/0.45)*D769</f>
        <v>1.4066666666666667</v>
      </c>
      <c r="G769" s="2">
        <f>100*E769/D769</f>
        <v>27.725118483412317</v>
      </c>
    </row>
    <row r="770" spans="1:7" x14ac:dyDescent="0.2">
      <c r="B770">
        <v>68</v>
      </c>
      <c r="C770">
        <v>11</v>
      </c>
      <c r="D770" s="2">
        <v>1.05</v>
      </c>
      <c r="E770" s="2">
        <v>7.8E-2</v>
      </c>
      <c r="F770" s="2">
        <f>(0.5/0.45)*D770</f>
        <v>1.1666666666666667</v>
      </c>
      <c r="G770" s="2">
        <f>100*E770/D770</f>
        <v>7.4285714285714279</v>
      </c>
    </row>
    <row r="771" spans="1:7" x14ac:dyDescent="0.2">
      <c r="B771">
        <v>69</v>
      </c>
      <c r="C771">
        <v>12</v>
      </c>
      <c r="D771" s="2">
        <v>2.173</v>
      </c>
      <c r="E771" s="2">
        <v>0.13400000000000001</v>
      </c>
      <c r="F771" s="2">
        <f>(0.5/0.45)*D771</f>
        <v>2.4144444444444444</v>
      </c>
      <c r="G771" s="2">
        <f>100*E771/D771</f>
        <v>6.1665899677864706</v>
      </c>
    </row>
    <row r="772" spans="1:7" x14ac:dyDescent="0.2">
      <c r="B772">
        <v>70</v>
      </c>
      <c r="C772">
        <v>13</v>
      </c>
      <c r="D772" s="2">
        <v>2.1880000000000002</v>
      </c>
      <c r="E772" s="2">
        <f>0.125+0.097+0.168</f>
        <v>0.39</v>
      </c>
      <c r="F772" s="2">
        <f>(0.5/0.45)*D772</f>
        <v>2.4311111111111114</v>
      </c>
      <c r="G772" s="2">
        <f>100*E772/D772</f>
        <v>17.82449725776965</v>
      </c>
    </row>
    <row r="773" spans="1:7" x14ac:dyDescent="0.2">
      <c r="B773">
        <v>71</v>
      </c>
      <c r="C773">
        <v>14</v>
      </c>
      <c r="D773" s="2">
        <v>1.756</v>
      </c>
      <c r="E773" s="2">
        <f>0.257+0.235+0.106</f>
        <v>0.59799999999999998</v>
      </c>
      <c r="F773" s="2">
        <f>(0.5/0.45)*D773</f>
        <v>1.9511111111111112</v>
      </c>
      <c r="G773" s="2">
        <f>100*E773/D773</f>
        <v>34.054669703872435</v>
      </c>
    </row>
    <row r="774" spans="1:7" x14ac:dyDescent="0.2">
      <c r="B774">
        <v>72</v>
      </c>
      <c r="C774">
        <v>15</v>
      </c>
      <c r="D774" s="2">
        <v>2.0379999999999998</v>
      </c>
      <c r="E774" s="2">
        <f>0.159+0.197</f>
        <v>0.35599999999999998</v>
      </c>
      <c r="F774" s="2">
        <f>(0.5/0.45)*D774</f>
        <v>2.2644444444444445</v>
      </c>
      <c r="G774" s="2">
        <f>100*E774/D774</f>
        <v>17.468105986261044</v>
      </c>
    </row>
    <row r="775" spans="1:7" x14ac:dyDescent="0.2">
      <c r="A775" t="s">
        <v>79</v>
      </c>
      <c r="B775">
        <v>73</v>
      </c>
      <c r="C775">
        <v>1</v>
      </c>
      <c r="D775" s="2">
        <v>2.202</v>
      </c>
      <c r="E775" s="2">
        <f>0.202+0.141</f>
        <v>0.34299999999999997</v>
      </c>
      <c r="F775" s="2">
        <f>(0.5/0.45)*D775</f>
        <v>2.4466666666666668</v>
      </c>
      <c r="G775" s="2">
        <f>100*E775/D775</f>
        <v>15.576748410535876</v>
      </c>
    </row>
    <row r="776" spans="1:7" x14ac:dyDescent="0.2">
      <c r="B776">
        <v>74</v>
      </c>
      <c r="C776">
        <v>2</v>
      </c>
      <c r="D776" s="2">
        <v>1.552</v>
      </c>
      <c r="E776" s="2">
        <f>0.165+0.171</f>
        <v>0.33600000000000002</v>
      </c>
      <c r="F776" s="2">
        <f>(0.5/0.45)*D776</f>
        <v>1.7244444444444447</v>
      </c>
      <c r="G776" s="2">
        <f>100*E776/D776</f>
        <v>21.649484536082475</v>
      </c>
    </row>
    <row r="777" spans="1:7" x14ac:dyDescent="0.2">
      <c r="B777">
        <v>75</v>
      </c>
      <c r="C777">
        <v>3</v>
      </c>
      <c r="D777" s="2">
        <v>0.95199999999999996</v>
      </c>
      <c r="E777" s="2">
        <f>0.282+0.138</f>
        <v>0.42</v>
      </c>
      <c r="F777" s="2">
        <f>(0.5/0.45)*D777</f>
        <v>1.0577777777777777</v>
      </c>
      <c r="G777" s="2">
        <f>100*E777/D777</f>
        <v>44.117647058823529</v>
      </c>
    </row>
    <row r="778" spans="1:7" x14ac:dyDescent="0.2">
      <c r="B778">
        <v>76</v>
      </c>
      <c r="C778">
        <v>4</v>
      </c>
      <c r="D778" s="2">
        <v>1.51</v>
      </c>
      <c r="E778" s="2">
        <f>0.167+0.115</f>
        <v>0.28200000000000003</v>
      </c>
      <c r="F778" s="2">
        <f>(0.5/0.45)*D778</f>
        <v>1.6777777777777778</v>
      </c>
      <c r="G778" s="2">
        <f>100*E778/D778</f>
        <v>18.675496688741724</v>
      </c>
    </row>
    <row r="779" spans="1:7" x14ac:dyDescent="0.2">
      <c r="B779">
        <v>77</v>
      </c>
      <c r="C779">
        <v>5</v>
      </c>
      <c r="D779" s="2">
        <v>1.4550000000000001</v>
      </c>
      <c r="E779" s="2">
        <v>0.32900000000000001</v>
      </c>
      <c r="F779" s="2">
        <f>(0.5/0.45)*D779</f>
        <v>1.6166666666666669</v>
      </c>
      <c r="G779" s="2">
        <f>100*E779/D779</f>
        <v>22.611683848797249</v>
      </c>
    </row>
    <row r="780" spans="1:7" x14ac:dyDescent="0.2">
      <c r="B780">
        <v>78</v>
      </c>
      <c r="C780">
        <v>6</v>
      </c>
      <c r="D780" s="2">
        <v>1.22</v>
      </c>
      <c r="E780" s="2">
        <v>0.27500000000000002</v>
      </c>
      <c r="F780" s="2">
        <f>(0.5/0.45)*D780</f>
        <v>1.3555555555555556</v>
      </c>
      <c r="G780" s="2">
        <f>100*E780/D780</f>
        <v>22.540983606557379</v>
      </c>
    </row>
    <row r="781" spans="1:7" x14ac:dyDescent="0.2">
      <c r="B781">
        <v>79</v>
      </c>
      <c r="C781">
        <v>7</v>
      </c>
      <c r="D781" s="2">
        <v>2.4820000000000002</v>
      </c>
      <c r="E781" s="2">
        <f>0.176+0.505+0.076</f>
        <v>0.75700000000000001</v>
      </c>
      <c r="F781" s="2">
        <f>(0.5/0.45)*D781</f>
        <v>2.7577777777777781</v>
      </c>
      <c r="G781" s="2">
        <f>100*E781/D781</f>
        <v>30.499597099113618</v>
      </c>
    </row>
    <row r="782" spans="1:7" x14ac:dyDescent="0.2">
      <c r="B782">
        <v>80</v>
      </c>
      <c r="C782">
        <v>8</v>
      </c>
      <c r="D782" s="2">
        <v>1.43</v>
      </c>
      <c r="E782" s="2">
        <f>0.457+0.116</f>
        <v>0.57300000000000006</v>
      </c>
      <c r="F782" s="2">
        <f>(0.5/0.45)*D782</f>
        <v>1.5888888888888888</v>
      </c>
      <c r="G782" s="2">
        <f>100*E782/D782</f>
        <v>40.069930069930074</v>
      </c>
    </row>
    <row r="783" spans="1:7" x14ac:dyDescent="0.2">
      <c r="B783">
        <v>81</v>
      </c>
      <c r="C783">
        <v>9</v>
      </c>
      <c r="D783" s="2">
        <v>1.4330000000000001</v>
      </c>
      <c r="E783" s="2">
        <v>0.11799999999999999</v>
      </c>
      <c r="F783" s="2">
        <f>(0.5/0.45)*D783</f>
        <v>1.5922222222222224</v>
      </c>
      <c r="G783" s="2">
        <f>100*E783/D783</f>
        <v>8.2344731332868104</v>
      </c>
    </row>
    <row r="784" spans="1:7" x14ac:dyDescent="0.2">
      <c r="B784">
        <v>82</v>
      </c>
      <c r="C784">
        <v>10</v>
      </c>
      <c r="D784" s="2">
        <v>2.1139999999999999</v>
      </c>
      <c r="E784" s="2">
        <f>0.153+0.113</f>
        <v>0.26600000000000001</v>
      </c>
      <c r="F784" s="2">
        <f>(0.5/0.45)*D784</f>
        <v>2.3488888888888888</v>
      </c>
      <c r="G784" s="2">
        <f>100*E784/D784</f>
        <v>12.582781456953644</v>
      </c>
    </row>
    <row r="785" spans="1:7" x14ac:dyDescent="0.2">
      <c r="B785">
        <v>83</v>
      </c>
      <c r="C785">
        <v>11</v>
      </c>
      <c r="D785" s="2">
        <v>0.97099999999999997</v>
      </c>
      <c r="E785" s="2">
        <f>0.139+0.125</f>
        <v>0.26400000000000001</v>
      </c>
      <c r="F785" s="2">
        <f>(0.5/0.45)*D785</f>
        <v>1.078888888888889</v>
      </c>
      <c r="G785" s="2">
        <f>100*E785/D785</f>
        <v>27.188465499485069</v>
      </c>
    </row>
    <row r="786" spans="1:7" x14ac:dyDescent="0.2">
      <c r="B786">
        <v>84</v>
      </c>
      <c r="C786">
        <v>12</v>
      </c>
      <c r="D786" s="2">
        <v>3.2890000000000001</v>
      </c>
      <c r="E786" s="2">
        <v>0.56100000000000005</v>
      </c>
      <c r="F786" s="2">
        <f>(0.5/0.45)*D786</f>
        <v>3.6544444444444446</v>
      </c>
      <c r="G786" s="2">
        <f>100*E786/D786</f>
        <v>17.056856187290972</v>
      </c>
    </row>
    <row r="787" spans="1:7" x14ac:dyDescent="0.2">
      <c r="B787">
        <v>85</v>
      </c>
      <c r="C787">
        <v>13</v>
      </c>
      <c r="D787" s="2">
        <v>1.482</v>
      </c>
      <c r="E787" s="2">
        <v>0.53400000000000003</v>
      </c>
      <c r="F787" s="2">
        <f>(0.5/0.45)*D787</f>
        <v>1.6466666666666667</v>
      </c>
      <c r="G787" s="2">
        <f>100*E787/D787</f>
        <v>36.032388663967616</v>
      </c>
    </row>
    <row r="788" spans="1:7" x14ac:dyDescent="0.2">
      <c r="B788">
        <v>86</v>
      </c>
      <c r="C788">
        <v>14</v>
      </c>
      <c r="D788" s="2">
        <v>2.5750000000000002</v>
      </c>
      <c r="E788" s="2">
        <f>0.554+0.281</f>
        <v>0.83500000000000008</v>
      </c>
      <c r="F788" s="2">
        <f>(0.5/0.45)*D788</f>
        <v>2.8611111111111116</v>
      </c>
      <c r="G788" s="2">
        <f>100*E788/D788</f>
        <v>32.427184466019419</v>
      </c>
    </row>
    <row r="789" spans="1:7" x14ac:dyDescent="0.2">
      <c r="B789">
        <v>87</v>
      </c>
      <c r="C789">
        <v>15</v>
      </c>
      <c r="D789" s="2">
        <v>1.016</v>
      </c>
      <c r="E789" s="2">
        <v>0.39700000000000002</v>
      </c>
      <c r="F789" s="2">
        <f>(0.5/0.45)*D789</f>
        <v>1.1288888888888891</v>
      </c>
      <c r="G789" s="2">
        <f>100*E789/D789</f>
        <v>39.074803149606304</v>
      </c>
    </row>
    <row r="790" spans="1:7" x14ac:dyDescent="0.2">
      <c r="B790">
        <v>88</v>
      </c>
      <c r="C790">
        <v>16</v>
      </c>
      <c r="D790" s="2">
        <v>1.5269999999999999</v>
      </c>
      <c r="E790" s="2">
        <f>0.297+0.068</f>
        <v>0.36499999999999999</v>
      </c>
      <c r="F790" s="2">
        <f>(0.5/0.45)*D790</f>
        <v>1.6966666666666665</v>
      </c>
      <c r="G790" s="2">
        <f>100*E790/D790</f>
        <v>23.903077930582842</v>
      </c>
    </row>
    <row r="791" spans="1:7" x14ac:dyDescent="0.2">
      <c r="B791">
        <v>89</v>
      </c>
      <c r="C791">
        <v>17</v>
      </c>
      <c r="D791" s="2">
        <v>0.88</v>
      </c>
      <c r="E791" s="2">
        <v>0.20200000000000001</v>
      </c>
      <c r="F791" s="2">
        <f>(0.5/0.45)*D791</f>
        <v>0.97777777777777786</v>
      </c>
      <c r="G791" s="2">
        <f>100*E791/D791</f>
        <v>22.954545454545457</v>
      </c>
    </row>
    <row r="792" spans="1:7" x14ac:dyDescent="0.2">
      <c r="B792">
        <v>90</v>
      </c>
      <c r="C792">
        <v>18</v>
      </c>
      <c r="D792" s="2">
        <v>1.8029999999999999</v>
      </c>
      <c r="E792" s="2">
        <v>0.65700000000000003</v>
      </c>
      <c r="F792" s="2">
        <f>(0.5/0.45)*D792</f>
        <v>2.0033333333333334</v>
      </c>
      <c r="G792" s="2">
        <f>100*E792/D792</f>
        <v>36.439267886855241</v>
      </c>
    </row>
    <row r="793" spans="1:7" x14ac:dyDescent="0.2">
      <c r="B793">
        <v>91</v>
      </c>
      <c r="C793">
        <v>19</v>
      </c>
      <c r="D793" s="2">
        <v>1.855</v>
      </c>
      <c r="E793" s="2">
        <v>0.70099999999999996</v>
      </c>
      <c r="F793" s="2">
        <f>(0.5/0.45)*D793</f>
        <v>2.0611111111111113</v>
      </c>
      <c r="G793" s="2">
        <f>100*E793/D793</f>
        <v>37.78975741239892</v>
      </c>
    </row>
    <row r="794" spans="1:7" x14ac:dyDescent="0.2">
      <c r="A794" t="s">
        <v>78</v>
      </c>
      <c r="B794">
        <v>92</v>
      </c>
      <c r="C794">
        <v>1</v>
      </c>
      <c r="D794" s="2">
        <v>1.631</v>
      </c>
      <c r="E794" s="2">
        <v>0.85199999999999998</v>
      </c>
      <c r="F794" s="2">
        <f>(0.5/0.45)*D794</f>
        <v>1.8122222222222224</v>
      </c>
      <c r="G794" s="2">
        <f>100*E794/D794</f>
        <v>52.237890864500308</v>
      </c>
    </row>
    <row r="795" spans="1:7" x14ac:dyDescent="0.2">
      <c r="B795">
        <v>93</v>
      </c>
      <c r="C795">
        <v>2</v>
      </c>
      <c r="D795" s="2">
        <v>0.73299999999999998</v>
      </c>
      <c r="E795" s="2">
        <v>0.48599999999999999</v>
      </c>
      <c r="F795" s="2">
        <f>(0.5/0.45)*D795</f>
        <v>0.81444444444444442</v>
      </c>
      <c r="G795" s="2">
        <f>100*E795/D795</f>
        <v>66.302864938608465</v>
      </c>
    </row>
    <row r="796" spans="1:7" x14ac:dyDescent="0.2">
      <c r="B796">
        <v>94</v>
      </c>
      <c r="C796">
        <v>3</v>
      </c>
      <c r="D796" s="2">
        <v>1.0569999999999999</v>
      </c>
      <c r="E796" s="2">
        <v>0.122</v>
      </c>
      <c r="F796" s="2">
        <f>(0.5/0.45)*D796</f>
        <v>1.1744444444444444</v>
      </c>
      <c r="G796" s="2">
        <f>100*E796/D796</f>
        <v>11.542100283822139</v>
      </c>
    </row>
    <row r="797" spans="1:7" x14ac:dyDescent="0.2">
      <c r="B797">
        <v>95</v>
      </c>
      <c r="C797">
        <v>4</v>
      </c>
      <c r="D797" s="2">
        <v>1.524</v>
      </c>
      <c r="E797" s="2">
        <f>0.278+0.209</f>
        <v>0.48699999999999999</v>
      </c>
      <c r="F797" s="2">
        <f>(0.5/0.45)*D797</f>
        <v>1.6933333333333334</v>
      </c>
      <c r="G797" s="2">
        <f>100*E797/D797</f>
        <v>31.955380577427817</v>
      </c>
    </row>
    <row r="798" spans="1:7" x14ac:dyDescent="0.2">
      <c r="B798">
        <v>96</v>
      </c>
      <c r="C798">
        <v>5</v>
      </c>
      <c r="D798" s="2">
        <v>1.613</v>
      </c>
      <c r="E798" s="2">
        <f>0.222+0.562</f>
        <v>0.78400000000000003</v>
      </c>
      <c r="F798" s="2">
        <f>(0.5/0.45)*D798</f>
        <v>1.7922222222222224</v>
      </c>
      <c r="G798" s="2">
        <f>100*E798/D798</f>
        <v>48.605083694978305</v>
      </c>
    </row>
    <row r="799" spans="1:7" x14ac:dyDescent="0.2">
      <c r="B799">
        <v>97</v>
      </c>
      <c r="C799">
        <v>6</v>
      </c>
      <c r="D799" s="2">
        <v>2.1509999999999998</v>
      </c>
      <c r="E799" s="2">
        <f>0.315+0.654+0.175</f>
        <v>1.1440000000000001</v>
      </c>
      <c r="F799" s="2">
        <f>(0.5/0.45)*D799</f>
        <v>2.3899999999999997</v>
      </c>
      <c r="G799" s="2">
        <f>100*E799/D799</f>
        <v>53.184565318456542</v>
      </c>
    </row>
    <row r="800" spans="1:7" x14ac:dyDescent="0.2">
      <c r="A800" t="s">
        <v>77</v>
      </c>
      <c r="B800">
        <v>98</v>
      </c>
      <c r="C800">
        <v>1</v>
      </c>
      <c r="D800" s="2">
        <v>2.077</v>
      </c>
      <c r="E800" s="2">
        <f>0.104+0.38</f>
        <v>0.48399999999999999</v>
      </c>
      <c r="F800" s="2">
        <f>(0.5/0.45)*D800</f>
        <v>2.3077777777777779</v>
      </c>
      <c r="G800" s="2">
        <f>100*E800/D800</f>
        <v>23.302840635532018</v>
      </c>
    </row>
    <row r="801" spans="1:7" x14ac:dyDescent="0.2">
      <c r="B801">
        <v>99</v>
      </c>
      <c r="C801">
        <v>2</v>
      </c>
      <c r="D801" s="2">
        <v>1.88</v>
      </c>
      <c r="E801" s="2">
        <v>0.64200000000000002</v>
      </c>
      <c r="F801" s="2">
        <f>(0.5/0.45)*D801</f>
        <v>2.088888888888889</v>
      </c>
      <c r="G801" s="2">
        <f>100*E801/D801</f>
        <v>34.148936170212771</v>
      </c>
    </row>
    <row r="802" spans="1:7" x14ac:dyDescent="0.2">
      <c r="B802">
        <v>100</v>
      </c>
      <c r="C802">
        <v>3</v>
      </c>
      <c r="D802" s="2">
        <v>1.698</v>
      </c>
      <c r="E802" s="2">
        <v>0.13900000000000001</v>
      </c>
      <c r="F802" s="2">
        <f>(0.5/0.45)*D802</f>
        <v>1.8866666666666667</v>
      </c>
      <c r="G802" s="2">
        <f>100*E802/D802</f>
        <v>8.186101295641933</v>
      </c>
    </row>
    <row r="803" spans="1:7" x14ac:dyDescent="0.2">
      <c r="B803">
        <v>101</v>
      </c>
      <c r="C803">
        <v>4</v>
      </c>
      <c r="D803" s="2">
        <v>1.28</v>
      </c>
      <c r="E803" s="2">
        <f>0.27+0.139</f>
        <v>0.40900000000000003</v>
      </c>
      <c r="F803" s="2">
        <f>(0.5/0.45)*D803</f>
        <v>1.4222222222222223</v>
      </c>
      <c r="G803" s="2">
        <f>100*E803/D803</f>
        <v>31.953125000000004</v>
      </c>
    </row>
    <row r="804" spans="1:7" x14ac:dyDescent="0.2">
      <c r="B804">
        <v>102</v>
      </c>
      <c r="C804">
        <v>5</v>
      </c>
      <c r="D804" s="2">
        <v>1.962</v>
      </c>
      <c r="E804" s="2">
        <f>1.223</f>
        <v>1.2230000000000001</v>
      </c>
      <c r="F804" s="2">
        <f>(0.5/0.45)*D804</f>
        <v>2.1800000000000002</v>
      </c>
      <c r="G804" s="2">
        <f>100*E804/D804</f>
        <v>62.334352701325187</v>
      </c>
    </row>
    <row r="805" spans="1:7" x14ac:dyDescent="0.2">
      <c r="B805">
        <v>103</v>
      </c>
      <c r="C805">
        <v>6</v>
      </c>
      <c r="D805" s="2">
        <v>1.1539999999999999</v>
      </c>
      <c r="E805" s="2">
        <v>0.58599999999999997</v>
      </c>
      <c r="F805" s="2">
        <f>(0.5/0.45)*D805</f>
        <v>1.2822222222222222</v>
      </c>
      <c r="G805" s="2">
        <f>100*E805/D805</f>
        <v>50.779896013864814</v>
      </c>
    </row>
    <row r="806" spans="1:7" x14ac:dyDescent="0.2">
      <c r="B806">
        <v>104</v>
      </c>
      <c r="C806">
        <v>7</v>
      </c>
      <c r="D806" s="2">
        <v>0.94099999999999995</v>
      </c>
      <c r="E806" s="2">
        <v>0.214</v>
      </c>
      <c r="F806" s="2">
        <f>(0.5/0.45)*D806</f>
        <v>1.0455555555555556</v>
      </c>
      <c r="G806" s="2">
        <f>100*E806/D806</f>
        <v>22.741764080765144</v>
      </c>
    </row>
    <row r="807" spans="1:7" x14ac:dyDescent="0.2">
      <c r="B807">
        <v>105</v>
      </c>
      <c r="C807">
        <v>8</v>
      </c>
      <c r="D807" s="2">
        <v>1.915</v>
      </c>
      <c r="E807" s="2">
        <v>0.158</v>
      </c>
      <c r="F807" s="2">
        <f>(0.5/0.45)*D807</f>
        <v>2.1277777777777778</v>
      </c>
      <c r="G807" s="2">
        <f>100*E807/D807</f>
        <v>8.2506527415143598</v>
      </c>
    </row>
    <row r="808" spans="1:7" x14ac:dyDescent="0.2">
      <c r="B808">
        <v>106</v>
      </c>
      <c r="C808">
        <v>9</v>
      </c>
      <c r="D808" s="2">
        <v>3.2440000000000002</v>
      </c>
      <c r="E808" s="2">
        <f>0.139+0.679</f>
        <v>0.81800000000000006</v>
      </c>
      <c r="F808" s="2">
        <f>(0.5/0.45)*D808</f>
        <v>3.6044444444444448</v>
      </c>
      <c r="G808" s="2">
        <f>100*E808/D808</f>
        <v>25.21578298397041</v>
      </c>
    </row>
    <row r="809" spans="1:7" x14ac:dyDescent="0.2">
      <c r="B809">
        <v>107</v>
      </c>
      <c r="C809">
        <v>10</v>
      </c>
      <c r="D809" s="2">
        <v>1.9970000000000001</v>
      </c>
      <c r="E809" s="2">
        <f>0.166+0.113</f>
        <v>0.27900000000000003</v>
      </c>
      <c r="F809" s="2">
        <f>(0.5/0.45)*D809</f>
        <v>2.2188888888888889</v>
      </c>
      <c r="G809" s="2">
        <f>100*E809/D809</f>
        <v>13.970956434651978</v>
      </c>
    </row>
    <row r="810" spans="1:7" x14ac:dyDescent="0.2">
      <c r="B810">
        <v>108</v>
      </c>
      <c r="C810">
        <v>11</v>
      </c>
      <c r="D810" s="2">
        <v>1.6220000000000001</v>
      </c>
      <c r="E810" s="2">
        <v>0.125</v>
      </c>
      <c r="F810" s="2">
        <f>(0.5/0.45)*D810</f>
        <v>1.8022222222222224</v>
      </c>
      <c r="G810" s="2">
        <f>100*E810/D810</f>
        <v>7.7065351418002459</v>
      </c>
    </row>
    <row r="811" spans="1:7" x14ac:dyDescent="0.2">
      <c r="B811">
        <v>109</v>
      </c>
      <c r="C811">
        <v>12</v>
      </c>
      <c r="D811" s="2">
        <v>1.7969999999999999</v>
      </c>
      <c r="E811" s="2">
        <v>0.373</v>
      </c>
      <c r="F811" s="2">
        <f>(0.5/0.45)*D811</f>
        <v>1.9966666666666666</v>
      </c>
      <c r="G811" s="2">
        <f>100*E811/D811</f>
        <v>20.756816917084027</v>
      </c>
    </row>
    <row r="812" spans="1:7" x14ac:dyDescent="0.2">
      <c r="B812">
        <v>110</v>
      </c>
      <c r="C812">
        <v>13</v>
      </c>
      <c r="D812" s="2">
        <v>2.9340000000000002</v>
      </c>
      <c r="E812" s="2">
        <f>0.646+0.23</f>
        <v>0.876</v>
      </c>
      <c r="F812" s="2">
        <f>(0.5/0.45)*D812</f>
        <v>3.2600000000000002</v>
      </c>
      <c r="G812" s="2">
        <f>100*E812/D812</f>
        <v>29.856850715746418</v>
      </c>
    </row>
    <row r="813" spans="1:7" x14ac:dyDescent="0.2">
      <c r="B813">
        <v>111</v>
      </c>
      <c r="C813">
        <v>14</v>
      </c>
      <c r="D813" s="2">
        <v>4.657</v>
      </c>
      <c r="E813" s="2">
        <f>0.189+0.177+0.121+0.294</f>
        <v>0.78099999999999992</v>
      </c>
      <c r="F813" s="2">
        <f>(0.5/0.45)*D813</f>
        <v>5.1744444444444451</v>
      </c>
      <c r="G813" s="2">
        <f>100*E813/D813</f>
        <v>16.770453081382865</v>
      </c>
    </row>
    <row r="814" spans="1:7" x14ac:dyDescent="0.2">
      <c r="B814">
        <v>112</v>
      </c>
      <c r="C814">
        <v>15</v>
      </c>
      <c r="D814" s="2">
        <v>1.4730000000000001</v>
      </c>
      <c r="E814" s="2">
        <v>0.19900000000000001</v>
      </c>
      <c r="F814" s="2">
        <f>(0.5/0.45)*D814</f>
        <v>1.6366666666666669</v>
      </c>
      <c r="G814" s="2">
        <f>100*E814/D814</f>
        <v>13.509843856076037</v>
      </c>
    </row>
    <row r="815" spans="1:7" x14ac:dyDescent="0.2">
      <c r="B815">
        <v>113</v>
      </c>
      <c r="C815">
        <v>16</v>
      </c>
      <c r="D815" s="2">
        <v>1.6910000000000001</v>
      </c>
      <c r="E815" s="2">
        <v>0.40100000000000002</v>
      </c>
      <c r="F815" s="2">
        <f>(0.5/0.45)*D815</f>
        <v>1.8788888888888891</v>
      </c>
      <c r="G815" s="2">
        <f>100*E815/D815</f>
        <v>23.713778829095212</v>
      </c>
    </row>
    <row r="816" spans="1:7" x14ac:dyDescent="0.2">
      <c r="A816" t="s">
        <v>75</v>
      </c>
      <c r="B816">
        <v>114</v>
      </c>
      <c r="C816">
        <v>1</v>
      </c>
      <c r="D816" s="2">
        <v>1.5149999999999999</v>
      </c>
      <c r="E816" s="2">
        <f>0.308+0.24</f>
        <v>0.54800000000000004</v>
      </c>
      <c r="F816" s="2">
        <f>(0.5/0.45)*D816</f>
        <v>1.6833333333333333</v>
      </c>
      <c r="G816" s="2">
        <f>100*E816/D816</f>
        <v>36.171617161716178</v>
      </c>
    </row>
    <row r="817" spans="1:7" x14ac:dyDescent="0.2">
      <c r="B817">
        <v>115</v>
      </c>
      <c r="C817">
        <v>2</v>
      </c>
      <c r="D817" s="2">
        <v>1.3320000000000001</v>
      </c>
      <c r="E817" s="2">
        <v>0.251</v>
      </c>
      <c r="F817" s="2">
        <f>(0.5/0.45)*D817</f>
        <v>1.4800000000000002</v>
      </c>
      <c r="G817" s="2">
        <f>100*E817/D817</f>
        <v>18.843843843843842</v>
      </c>
    </row>
    <row r="818" spans="1:7" x14ac:dyDescent="0.2">
      <c r="B818">
        <v>116</v>
      </c>
      <c r="C818">
        <v>3</v>
      </c>
      <c r="D818" s="2">
        <v>0.87</v>
      </c>
      <c r="E818" s="2">
        <v>0.21099999999999999</v>
      </c>
      <c r="F818" s="2">
        <f>(0.5/0.45)*D818</f>
        <v>0.96666666666666667</v>
      </c>
      <c r="G818" s="2">
        <f>100*E818/D818</f>
        <v>24.252873563218387</v>
      </c>
    </row>
    <row r="819" spans="1:7" x14ac:dyDescent="0.2">
      <c r="B819">
        <v>117</v>
      </c>
      <c r="C819">
        <v>4</v>
      </c>
      <c r="D819" s="2">
        <v>1.181</v>
      </c>
      <c r="E819" s="2">
        <v>0.33400000000000002</v>
      </c>
      <c r="F819" s="2">
        <f>(0.5/0.45)*D819</f>
        <v>1.3122222222222224</v>
      </c>
      <c r="G819" s="2">
        <f>100*E819/D819</f>
        <v>28.28111769686706</v>
      </c>
    </row>
    <row r="820" spans="1:7" x14ac:dyDescent="0.2">
      <c r="B820">
        <v>118</v>
      </c>
      <c r="C820">
        <v>5</v>
      </c>
      <c r="D820" s="2">
        <v>1.571</v>
      </c>
      <c r="E820" s="2">
        <f>0.181+0.286</f>
        <v>0.46699999999999997</v>
      </c>
      <c r="F820" s="2">
        <f>(0.5/0.45)*D820</f>
        <v>1.7455555555555555</v>
      </c>
      <c r="G820" s="2">
        <f>100*E820/D820</f>
        <v>29.726288987905789</v>
      </c>
    </row>
    <row r="821" spans="1:7" x14ac:dyDescent="0.2">
      <c r="B821">
        <v>119</v>
      </c>
      <c r="C821">
        <v>6</v>
      </c>
      <c r="D821" s="2">
        <v>2.1320000000000001</v>
      </c>
      <c r="E821" s="2">
        <f>0.214+0.134+0.133</f>
        <v>0.48099999999999998</v>
      </c>
      <c r="F821" s="2">
        <f>(0.5/0.45)*D821</f>
        <v>2.3688888888888893</v>
      </c>
      <c r="G821" s="2">
        <f>100*E821/D821</f>
        <v>22.560975609756095</v>
      </c>
    </row>
    <row r="822" spans="1:7" x14ac:dyDescent="0.2">
      <c r="B822">
        <v>120</v>
      </c>
      <c r="C822">
        <v>7</v>
      </c>
      <c r="D822" s="2">
        <v>1.51</v>
      </c>
      <c r="E822" s="2">
        <f>0.346+0.093</f>
        <v>0.43899999999999995</v>
      </c>
      <c r="F822" s="2">
        <f>(0.5/0.45)*D822</f>
        <v>1.6777777777777778</v>
      </c>
      <c r="G822" s="2">
        <f>100*E822/D822</f>
        <v>29.0728476821192</v>
      </c>
    </row>
    <row r="823" spans="1:7" x14ac:dyDescent="0.2">
      <c r="B823">
        <v>121</v>
      </c>
      <c r="C823">
        <v>8</v>
      </c>
      <c r="D823" s="2">
        <v>1.6759999999999999</v>
      </c>
      <c r="E823" s="2">
        <v>0.39</v>
      </c>
      <c r="F823" s="2">
        <f>(0.5/0.45)*D823</f>
        <v>1.8622222222222222</v>
      </c>
      <c r="G823" s="2">
        <f>100*E823/D823</f>
        <v>23.269689737470166</v>
      </c>
    </row>
    <row r="824" spans="1:7" x14ac:dyDescent="0.2">
      <c r="B824">
        <v>122</v>
      </c>
      <c r="C824">
        <v>9</v>
      </c>
      <c r="D824" s="2">
        <v>2.0680000000000001</v>
      </c>
      <c r="E824" s="2">
        <f>0.505+0.987</f>
        <v>1.492</v>
      </c>
      <c r="F824" s="2">
        <f>(0.5/0.45)*D824</f>
        <v>2.2977777777777781</v>
      </c>
      <c r="G824" s="2">
        <f>100*E824/D824</f>
        <v>72.147001934235973</v>
      </c>
    </row>
    <row r="825" spans="1:7" x14ac:dyDescent="0.2">
      <c r="B825">
        <v>123</v>
      </c>
      <c r="C825">
        <v>10</v>
      </c>
      <c r="D825" s="2">
        <v>1.159</v>
      </c>
      <c r="E825" s="2">
        <v>0.38300000000000001</v>
      </c>
      <c r="F825" s="2">
        <f>(0.5/0.45)*D825</f>
        <v>1.2877777777777779</v>
      </c>
      <c r="G825" s="2">
        <f>100*E825/D825</f>
        <v>33.04572907679033</v>
      </c>
    </row>
    <row r="826" spans="1:7" x14ac:dyDescent="0.2">
      <c r="B826">
        <v>124</v>
      </c>
      <c r="C826">
        <v>11</v>
      </c>
      <c r="D826" s="2">
        <v>1.3420000000000001</v>
      </c>
      <c r="E826" s="2">
        <v>0</v>
      </c>
      <c r="F826" s="2">
        <f>(0.5/0.45)*D826</f>
        <v>1.4911111111111113</v>
      </c>
      <c r="G826" s="2">
        <f>100*E826/D826</f>
        <v>0</v>
      </c>
    </row>
    <row r="827" spans="1:7" x14ac:dyDescent="0.2">
      <c r="A827" t="s">
        <v>74</v>
      </c>
      <c r="B827">
        <v>125</v>
      </c>
      <c r="C827">
        <v>1</v>
      </c>
      <c r="D827" s="2">
        <v>2.0649999999999999</v>
      </c>
      <c r="E827" s="2">
        <f>0.284+0.182</f>
        <v>0.46599999999999997</v>
      </c>
      <c r="F827" s="2">
        <f>(0.5/0.45)*D827</f>
        <v>2.2944444444444443</v>
      </c>
      <c r="G827" s="2">
        <f>100*E827/D827</f>
        <v>22.566585956416464</v>
      </c>
    </row>
    <row r="828" spans="1:7" x14ac:dyDescent="0.2">
      <c r="B828">
        <v>126</v>
      </c>
      <c r="C828">
        <v>2</v>
      </c>
      <c r="D828" s="2">
        <v>1.7949999999999999</v>
      </c>
      <c r="E828" s="2">
        <v>0</v>
      </c>
      <c r="F828" s="2">
        <f>(0.5/0.45)*D828</f>
        <v>1.9944444444444445</v>
      </c>
      <c r="G828" s="2">
        <f>100*E828/D828</f>
        <v>0</v>
      </c>
    </row>
    <row r="829" spans="1:7" x14ac:dyDescent="0.2">
      <c r="B829">
        <v>127</v>
      </c>
      <c r="C829">
        <v>3</v>
      </c>
      <c r="D829" s="2">
        <v>3.8809999999999998</v>
      </c>
      <c r="E829" s="2">
        <f>0.134+0.291</f>
        <v>0.42499999999999999</v>
      </c>
      <c r="F829" s="2">
        <f>(0.5/0.45)*D829</f>
        <v>4.3122222222222222</v>
      </c>
      <c r="G829" s="2">
        <f>100*E829/D829</f>
        <v>10.950785879927855</v>
      </c>
    </row>
    <row r="830" spans="1:7" x14ac:dyDescent="0.2">
      <c r="B830">
        <v>128</v>
      </c>
      <c r="C830">
        <v>4</v>
      </c>
      <c r="D830" s="2">
        <v>2.2850000000000001</v>
      </c>
      <c r="E830" s="2">
        <v>0.72899999999999998</v>
      </c>
      <c r="F830" s="2">
        <f>(0.5/0.45)*D830</f>
        <v>2.5388888888888892</v>
      </c>
      <c r="G830" s="2">
        <f>100*E830/D830</f>
        <v>31.903719912472642</v>
      </c>
    </row>
    <row r="831" spans="1:7" x14ac:dyDescent="0.2">
      <c r="B831">
        <v>129</v>
      </c>
      <c r="C831">
        <v>5</v>
      </c>
      <c r="D831" s="2">
        <v>2.488</v>
      </c>
      <c r="E831" s="2">
        <v>0.57499999999999996</v>
      </c>
      <c r="F831" s="2">
        <f>(0.5/0.45)*D831</f>
        <v>2.7644444444444445</v>
      </c>
      <c r="G831" s="2">
        <f>100*E831/D831</f>
        <v>23.11093247588424</v>
      </c>
    </row>
    <row r="832" spans="1:7" x14ac:dyDescent="0.2">
      <c r="B832">
        <v>130</v>
      </c>
      <c r="C832">
        <v>6</v>
      </c>
      <c r="D832" s="2">
        <v>0.85699999999999998</v>
      </c>
      <c r="E832" s="2">
        <v>0</v>
      </c>
      <c r="F832" s="2">
        <f>(0.5/0.45)*D832</f>
        <v>0.95222222222222219</v>
      </c>
      <c r="G832" s="2">
        <f>100*E832/D832</f>
        <v>0</v>
      </c>
    </row>
    <row r="833" spans="1:7" x14ac:dyDescent="0.2">
      <c r="B833">
        <v>131</v>
      </c>
      <c r="C833">
        <v>7</v>
      </c>
      <c r="D833" s="2">
        <v>0.79400000000000004</v>
      </c>
      <c r="E833" s="2">
        <v>0.24099999999999999</v>
      </c>
      <c r="F833" s="2">
        <f>(0.5/0.45)*D833</f>
        <v>0.88222222222222235</v>
      </c>
      <c r="G833" s="2">
        <f>100*E833/D833</f>
        <v>30.352644836272034</v>
      </c>
    </row>
    <row r="834" spans="1:7" x14ac:dyDescent="0.2">
      <c r="B834">
        <v>132</v>
      </c>
      <c r="C834">
        <v>8</v>
      </c>
      <c r="D834" s="2">
        <v>3.6040000000000001</v>
      </c>
      <c r="E834" s="2">
        <f>0.362+0.14</f>
        <v>0.502</v>
      </c>
      <c r="F834" s="2">
        <f>(0.5/0.45)*D834</f>
        <v>4.0044444444444451</v>
      </c>
      <c r="G834" s="2">
        <f>100*E834/D834</f>
        <v>13.928967813540512</v>
      </c>
    </row>
    <row r="835" spans="1:7" x14ac:dyDescent="0.2">
      <c r="B835">
        <v>133</v>
      </c>
      <c r="C835">
        <v>9</v>
      </c>
      <c r="D835" s="2">
        <v>1.75</v>
      </c>
      <c r="E835" s="2">
        <f>0.346+0.152</f>
        <v>0.498</v>
      </c>
      <c r="F835" s="2">
        <f>(0.5/0.45)*D835</f>
        <v>1.9444444444444446</v>
      </c>
      <c r="G835" s="2">
        <f>100*E835/D835</f>
        <v>28.457142857142856</v>
      </c>
    </row>
    <row r="836" spans="1:7" x14ac:dyDescent="0.2">
      <c r="B836">
        <v>134</v>
      </c>
      <c r="C836">
        <v>10</v>
      </c>
      <c r="D836" s="2">
        <v>1.7210000000000001</v>
      </c>
      <c r="E836" s="2">
        <v>0.96899999999999997</v>
      </c>
      <c r="F836" s="2">
        <f>(0.5/0.45)*D836</f>
        <v>1.9122222222222225</v>
      </c>
      <c r="G836" s="2">
        <f>100*E836/D836</f>
        <v>56.304474142940144</v>
      </c>
    </row>
    <row r="837" spans="1:7" x14ac:dyDescent="0.2">
      <c r="B837">
        <v>135</v>
      </c>
      <c r="C837">
        <v>11</v>
      </c>
      <c r="D837" s="2">
        <v>1.5669999999999999</v>
      </c>
      <c r="E837" s="2">
        <v>0</v>
      </c>
      <c r="F837" s="2">
        <f>(0.5/0.45)*D837</f>
        <v>1.7411111111111111</v>
      </c>
      <c r="G837" s="2">
        <f>100*E837/D837</f>
        <v>0</v>
      </c>
    </row>
    <row r="838" spans="1:7" x14ac:dyDescent="0.2">
      <c r="B838">
        <v>136</v>
      </c>
      <c r="C838">
        <v>12</v>
      </c>
      <c r="D838" s="2">
        <v>2.2719999999999998</v>
      </c>
      <c r="E838" s="2">
        <v>0</v>
      </c>
      <c r="F838" s="2">
        <f>(0.5/0.45)*D838</f>
        <v>2.5244444444444443</v>
      </c>
      <c r="G838" s="2">
        <f>100*E838/D838</f>
        <v>0</v>
      </c>
    </row>
    <row r="839" spans="1:7" x14ac:dyDescent="0.2">
      <c r="B839">
        <v>137</v>
      </c>
      <c r="C839">
        <v>13</v>
      </c>
      <c r="D839" s="2">
        <v>1.542</v>
      </c>
      <c r="E839" s="2">
        <v>0.28199999999999997</v>
      </c>
      <c r="F839" s="2">
        <f>(0.5/0.45)*D839</f>
        <v>1.7133333333333334</v>
      </c>
      <c r="G839" s="2">
        <f>100*E839/D839</f>
        <v>18.287937743190657</v>
      </c>
    </row>
    <row r="840" spans="1:7" x14ac:dyDescent="0.2">
      <c r="B840">
        <v>138</v>
      </c>
      <c r="C840">
        <v>14</v>
      </c>
      <c r="D840" s="2">
        <v>1.61</v>
      </c>
      <c r="E840" s="2">
        <v>0.24399999999999999</v>
      </c>
      <c r="F840" s="2">
        <f>(0.5/0.45)*D840</f>
        <v>1.788888888888889</v>
      </c>
      <c r="G840" s="2">
        <f>100*E840/D840</f>
        <v>15.155279503105588</v>
      </c>
    </row>
    <row r="841" spans="1:7" x14ac:dyDescent="0.2">
      <c r="B841">
        <v>139</v>
      </c>
      <c r="C841">
        <v>15</v>
      </c>
      <c r="D841" s="2">
        <v>1.7370000000000001</v>
      </c>
      <c r="E841" s="2">
        <v>0.22600000000000001</v>
      </c>
      <c r="F841" s="2">
        <f>(0.5/0.45)*D841</f>
        <v>1.9300000000000002</v>
      </c>
      <c r="G841" s="2">
        <f>100*E841/D841</f>
        <v>13.010938399539436</v>
      </c>
    </row>
    <row r="842" spans="1:7" x14ac:dyDescent="0.2">
      <c r="A842" t="s">
        <v>73</v>
      </c>
      <c r="B842">
        <v>140</v>
      </c>
      <c r="C842">
        <v>1</v>
      </c>
      <c r="D842" s="2">
        <v>3.976</v>
      </c>
      <c r="E842" s="2">
        <f>1.565+0.394</f>
        <v>1.9590000000000001</v>
      </c>
      <c r="F842" s="2">
        <f>(0.5/0.45)*D842</f>
        <v>4.4177777777777782</v>
      </c>
      <c r="G842" s="2">
        <f>100*E842/D842</f>
        <v>49.270623742454731</v>
      </c>
    </row>
    <row r="843" spans="1:7" x14ac:dyDescent="0.2">
      <c r="B843">
        <v>141</v>
      </c>
      <c r="C843">
        <v>2</v>
      </c>
      <c r="D843" s="2">
        <v>1.167</v>
      </c>
      <c r="E843" s="2">
        <v>0.33200000000000002</v>
      </c>
      <c r="F843" s="2">
        <f>(0.5/0.45)*D843</f>
        <v>1.2966666666666669</v>
      </c>
      <c r="G843" s="2">
        <f>100*E843/D843</f>
        <v>28.449014567266495</v>
      </c>
    </row>
    <row r="844" spans="1:7" x14ac:dyDescent="0.2">
      <c r="B844">
        <v>142</v>
      </c>
      <c r="C844">
        <v>3</v>
      </c>
      <c r="D844" s="2">
        <v>0.93600000000000005</v>
      </c>
      <c r="E844" s="2">
        <v>0</v>
      </c>
      <c r="F844" s="2">
        <f>(0.5/0.45)*D844</f>
        <v>1.04</v>
      </c>
      <c r="G844" s="2">
        <f>100*E844/D844</f>
        <v>0</v>
      </c>
    </row>
    <row r="845" spans="1:7" x14ac:dyDescent="0.2">
      <c r="B845">
        <v>143</v>
      </c>
      <c r="C845">
        <v>4</v>
      </c>
      <c r="D845" s="2">
        <v>2.246</v>
      </c>
      <c r="E845" s="2">
        <v>0.24299999999999999</v>
      </c>
      <c r="F845" s="2">
        <f>(0.5/0.45)*D845</f>
        <v>2.4955555555555557</v>
      </c>
      <c r="G845" s="2">
        <f>100*E845/D845</f>
        <v>10.819234194122885</v>
      </c>
    </row>
    <row r="846" spans="1:7" x14ac:dyDescent="0.2">
      <c r="B846">
        <v>144</v>
      </c>
      <c r="C846">
        <v>5</v>
      </c>
      <c r="D846" s="2">
        <v>1.98</v>
      </c>
      <c r="E846" s="2">
        <v>0.45900000000000002</v>
      </c>
      <c r="F846" s="2">
        <f>(0.5/0.45)*D846</f>
        <v>2.2000000000000002</v>
      </c>
      <c r="G846" s="2">
        <f>100*E846/D846</f>
        <v>23.18181818181818</v>
      </c>
    </row>
    <row r="847" spans="1:7" x14ac:dyDescent="0.2">
      <c r="B847">
        <v>145</v>
      </c>
      <c r="C847">
        <v>6</v>
      </c>
      <c r="D847" s="2">
        <v>1.778</v>
      </c>
      <c r="E847" s="2">
        <v>0</v>
      </c>
      <c r="F847" s="2">
        <f>(0.5/0.45)*D847</f>
        <v>1.9755555555555557</v>
      </c>
      <c r="G847" s="2">
        <f>100*E847/D847</f>
        <v>0</v>
      </c>
    </row>
    <row r="848" spans="1:7" x14ac:dyDescent="0.2">
      <c r="B848">
        <v>146</v>
      </c>
      <c r="C848">
        <v>7</v>
      </c>
      <c r="D848" s="2">
        <v>4.5860000000000003</v>
      </c>
      <c r="E848" s="2">
        <f>0.202+0.704+0.224</f>
        <v>1.1299999999999999</v>
      </c>
      <c r="F848" s="2">
        <f>(0.5/0.45)*D848</f>
        <v>5.0955555555555563</v>
      </c>
      <c r="G848" s="2">
        <f>100*E848/D848</f>
        <v>24.640209332751848</v>
      </c>
    </row>
    <row r="849" spans="1:7" x14ac:dyDescent="0.2">
      <c r="B849">
        <v>147</v>
      </c>
      <c r="C849">
        <v>8</v>
      </c>
      <c r="D849" s="2">
        <v>1.702</v>
      </c>
      <c r="E849" s="2">
        <f>0.286+0.183+0.145</f>
        <v>0.61399999999999999</v>
      </c>
      <c r="F849" s="2">
        <f>(0.5/0.45)*D849</f>
        <v>1.8911111111111112</v>
      </c>
      <c r="G849" s="2">
        <f>100*E849/D849</f>
        <v>36.075205640423029</v>
      </c>
    </row>
    <row r="850" spans="1:7" x14ac:dyDescent="0.2">
      <c r="B850">
        <v>148</v>
      </c>
      <c r="C850">
        <v>9</v>
      </c>
      <c r="D850" s="2">
        <v>1.7889999999999999</v>
      </c>
      <c r="E850" s="2">
        <v>7.5999999999999998E-2</v>
      </c>
      <c r="F850" s="2">
        <f>(0.5/0.45)*D850</f>
        <v>1.9877777777777779</v>
      </c>
      <c r="G850" s="2">
        <f>100*E850/D850</f>
        <v>4.2481833426495248</v>
      </c>
    </row>
    <row r="851" spans="1:7" x14ac:dyDescent="0.2">
      <c r="B851">
        <v>149</v>
      </c>
      <c r="C851">
        <v>10</v>
      </c>
      <c r="D851" s="2">
        <v>0.69799999999999995</v>
      </c>
      <c r="E851" s="2">
        <v>9.4E-2</v>
      </c>
      <c r="F851" s="2">
        <f>(0.5/0.45)*D851</f>
        <v>0.77555555555555555</v>
      </c>
      <c r="G851" s="2">
        <f>100*E851/D851</f>
        <v>13.46704871060172</v>
      </c>
    </row>
    <row r="852" spans="1:7" x14ac:dyDescent="0.2">
      <c r="B852">
        <v>150</v>
      </c>
      <c r="C852">
        <v>11</v>
      </c>
      <c r="D852" s="2">
        <v>1.1719999999999999</v>
      </c>
      <c r="E852" s="2">
        <v>0.182</v>
      </c>
      <c r="F852" s="2">
        <f>(0.5/0.45)*D852</f>
        <v>1.3022222222222222</v>
      </c>
      <c r="G852" s="2">
        <f>100*E852/D852</f>
        <v>15.529010238907849</v>
      </c>
    </row>
    <row r="853" spans="1:7" x14ac:dyDescent="0.2">
      <c r="B853">
        <v>151</v>
      </c>
      <c r="C853">
        <v>12</v>
      </c>
      <c r="D853" s="2">
        <v>1.4530000000000001</v>
      </c>
      <c r="E853" s="2">
        <v>0.17299999999999999</v>
      </c>
      <c r="F853" s="2">
        <f>(0.5/0.45)*D853</f>
        <v>1.6144444444444446</v>
      </c>
      <c r="G853" s="2">
        <f>100*E853/D853</f>
        <v>11.906400550584994</v>
      </c>
    </row>
    <row r="854" spans="1:7" x14ac:dyDescent="0.2">
      <c r="B854">
        <v>152</v>
      </c>
      <c r="C854">
        <v>13</v>
      </c>
      <c r="D854" s="2">
        <v>1.3360000000000001</v>
      </c>
      <c r="E854" s="2">
        <v>0.435</v>
      </c>
      <c r="F854" s="2">
        <f>(0.5/0.45)*D854</f>
        <v>1.4844444444444447</v>
      </c>
      <c r="G854" s="2">
        <f>100*E854/D854</f>
        <v>32.559880239520957</v>
      </c>
    </row>
    <row r="855" spans="1:7" x14ac:dyDescent="0.2">
      <c r="B855">
        <v>153</v>
      </c>
      <c r="C855">
        <v>14</v>
      </c>
      <c r="D855" s="2">
        <v>3.903</v>
      </c>
      <c r="E855" s="2">
        <f>0.111+0.119</f>
        <v>0.22999999999999998</v>
      </c>
      <c r="F855" s="2">
        <f>(0.5/0.45)*D855</f>
        <v>4.3366666666666669</v>
      </c>
      <c r="G855" s="2">
        <f>100*E855/D855</f>
        <v>5.8929028952088141</v>
      </c>
    </row>
    <row r="856" spans="1:7" x14ac:dyDescent="0.2">
      <c r="B856">
        <v>154</v>
      </c>
      <c r="C856">
        <v>15</v>
      </c>
      <c r="D856" s="2">
        <v>1.7250000000000001</v>
      </c>
      <c r="E856" s="2">
        <f>0.356+0.214</f>
        <v>0.56999999999999995</v>
      </c>
      <c r="F856" s="2">
        <f>(0.5/0.45)*D856</f>
        <v>1.9166666666666667</v>
      </c>
      <c r="G856" s="2">
        <f>100*E856/D856</f>
        <v>33.043478260869563</v>
      </c>
    </row>
    <row r="857" spans="1:7" x14ac:dyDescent="0.2">
      <c r="B857">
        <v>155</v>
      </c>
      <c r="C857">
        <v>16</v>
      </c>
      <c r="D857" s="2">
        <v>1.153</v>
      </c>
      <c r="E857" s="2">
        <v>0.309</v>
      </c>
      <c r="F857" s="2">
        <f>(0.5/0.45)*D857</f>
        <v>1.2811111111111111</v>
      </c>
      <c r="G857" s="2">
        <f>100*E857/D857</f>
        <v>26.799653078924543</v>
      </c>
    </row>
    <row r="858" spans="1:7" x14ac:dyDescent="0.2">
      <c r="B858">
        <v>156</v>
      </c>
      <c r="C858">
        <v>17</v>
      </c>
      <c r="D858" s="2">
        <v>1.8959999999999999</v>
      </c>
      <c r="E858" s="2">
        <f>0.293+0.29</f>
        <v>0.58299999999999996</v>
      </c>
      <c r="F858" s="2">
        <f>(0.5/0.45)*D858</f>
        <v>2.1066666666666665</v>
      </c>
      <c r="G858" s="2">
        <f>100*E858/D858</f>
        <v>30.748945147679326</v>
      </c>
    </row>
    <row r="859" spans="1:7" x14ac:dyDescent="0.2">
      <c r="B859">
        <v>157</v>
      </c>
      <c r="C859">
        <v>18</v>
      </c>
      <c r="D859" s="2">
        <v>1.069</v>
      </c>
      <c r="E859" s="2">
        <v>0.245</v>
      </c>
      <c r="F859" s="2">
        <f>(0.5/0.45)*D859</f>
        <v>1.1877777777777778</v>
      </c>
      <c r="G859" s="2">
        <f>100*E859/D859</f>
        <v>22.91861552853134</v>
      </c>
    </row>
    <row r="860" spans="1:7" x14ac:dyDescent="0.2">
      <c r="A860" t="s">
        <v>72</v>
      </c>
      <c r="B860">
        <v>158</v>
      </c>
      <c r="C860">
        <v>1</v>
      </c>
      <c r="D860" s="2">
        <v>2.2930000000000001</v>
      </c>
      <c r="E860" s="2">
        <v>0.42299999999999999</v>
      </c>
      <c r="F860" s="2">
        <f>(0.5/0.45)*D860</f>
        <v>2.5477777777777781</v>
      </c>
      <c r="G860" s="2">
        <f>100*E860/D860</f>
        <v>18.447448757086782</v>
      </c>
    </row>
    <row r="861" spans="1:7" x14ac:dyDescent="0.2">
      <c r="B861">
        <v>159</v>
      </c>
      <c r="C861">
        <v>2</v>
      </c>
      <c r="D861" s="2">
        <v>2.1960000000000002</v>
      </c>
      <c r="E861" s="2">
        <v>0.27500000000000002</v>
      </c>
      <c r="F861" s="2">
        <f>(0.5/0.45)*D861</f>
        <v>2.4400000000000004</v>
      </c>
      <c r="G861" s="2">
        <f>100*E861/D861</f>
        <v>12.522768670309654</v>
      </c>
    </row>
    <row r="862" spans="1:7" x14ac:dyDescent="0.2">
      <c r="B862">
        <v>160</v>
      </c>
      <c r="C862">
        <v>3</v>
      </c>
      <c r="D862" s="2">
        <v>1.4770000000000001</v>
      </c>
      <c r="E862" s="2">
        <v>0.58499999999999996</v>
      </c>
      <c r="F862" s="2">
        <f>(0.5/0.45)*D862</f>
        <v>1.6411111111111112</v>
      </c>
      <c r="G862" s="2">
        <f>100*E862/D862</f>
        <v>39.607312119160461</v>
      </c>
    </row>
    <row r="863" spans="1:7" x14ac:dyDescent="0.2">
      <c r="B863">
        <v>161</v>
      </c>
      <c r="C863">
        <v>4</v>
      </c>
      <c r="D863" s="2">
        <v>1.0580000000000001</v>
      </c>
      <c r="E863" s="2">
        <v>0.17599999999999999</v>
      </c>
      <c r="F863" s="2">
        <f>(0.5/0.45)*D863</f>
        <v>1.1755555555555557</v>
      </c>
      <c r="G863" s="2">
        <f>100*E863/D863</f>
        <v>16.635160680529296</v>
      </c>
    </row>
    <row r="864" spans="1:7" x14ac:dyDescent="0.2">
      <c r="B864">
        <v>162</v>
      </c>
      <c r="C864">
        <v>5</v>
      </c>
      <c r="D864" s="2">
        <v>2.3530000000000002</v>
      </c>
      <c r="E864" s="2">
        <f>0.24+0.18+0.294</f>
        <v>0.71399999999999997</v>
      </c>
      <c r="F864" s="2">
        <f>(0.5/0.45)*D864</f>
        <v>2.6144444444444446</v>
      </c>
      <c r="G864" s="2">
        <f>100*E864/D864</f>
        <v>30.344241393965145</v>
      </c>
    </row>
    <row r="865" spans="1:7" x14ac:dyDescent="0.2">
      <c r="B865">
        <v>163</v>
      </c>
      <c r="C865">
        <v>6</v>
      </c>
      <c r="D865" s="2">
        <v>2.4140000000000001</v>
      </c>
      <c r="E865" s="2">
        <v>0.91500000000000004</v>
      </c>
      <c r="F865" s="2">
        <f>(0.5/0.45)*D865</f>
        <v>2.6822222222222223</v>
      </c>
      <c r="G865" s="2">
        <f>100*E865/D865</f>
        <v>37.903893951946976</v>
      </c>
    </row>
    <row r="866" spans="1:7" x14ac:dyDescent="0.2">
      <c r="B866">
        <v>164</v>
      </c>
      <c r="C866">
        <v>7</v>
      </c>
      <c r="D866" s="2">
        <v>1.304</v>
      </c>
      <c r="E866" s="2">
        <v>0.33800000000000002</v>
      </c>
      <c r="F866" s="2">
        <f>(0.5/0.45)*D866</f>
        <v>1.4488888888888891</v>
      </c>
      <c r="G866" s="2">
        <f>100*E866/D866</f>
        <v>25.920245398773009</v>
      </c>
    </row>
    <row r="867" spans="1:7" x14ac:dyDescent="0.2">
      <c r="B867">
        <v>165</v>
      </c>
      <c r="C867">
        <v>8</v>
      </c>
      <c r="D867" s="2">
        <v>2.339</v>
      </c>
      <c r="E867" s="2">
        <f>0.769+0.111</f>
        <v>0.88</v>
      </c>
      <c r="F867" s="2">
        <f>(0.5/0.45)*D867</f>
        <v>2.5988888888888888</v>
      </c>
      <c r="G867" s="2">
        <f>100*E867/D867</f>
        <v>37.622915775972636</v>
      </c>
    </row>
    <row r="868" spans="1:7" x14ac:dyDescent="0.2">
      <c r="B868">
        <v>166</v>
      </c>
      <c r="C868">
        <v>9</v>
      </c>
      <c r="D868" s="2">
        <v>1.4239999999999999</v>
      </c>
      <c r="E868" s="2">
        <f>0.166+0.108</f>
        <v>0.27400000000000002</v>
      </c>
      <c r="F868" s="2">
        <f>(0.5/0.45)*D868</f>
        <v>1.5822222222222222</v>
      </c>
      <c r="G868" s="2">
        <f>100*E868/D868</f>
        <v>19.241573033707869</v>
      </c>
    </row>
    <row r="869" spans="1:7" x14ac:dyDescent="0.2">
      <c r="A869" t="s">
        <v>71</v>
      </c>
      <c r="B869">
        <v>167</v>
      </c>
      <c r="C869">
        <v>1</v>
      </c>
      <c r="D869" s="2">
        <v>1.365</v>
      </c>
      <c r="E869" s="2">
        <v>0</v>
      </c>
      <c r="F869" s="2">
        <f>(0.5/0.45)*D869</f>
        <v>1.5166666666666668</v>
      </c>
      <c r="G869" s="2">
        <f>100*E869/D869</f>
        <v>0</v>
      </c>
    </row>
    <row r="870" spans="1:7" x14ac:dyDescent="0.2">
      <c r="B870">
        <v>168</v>
      </c>
      <c r="C870">
        <v>2</v>
      </c>
      <c r="D870" s="2">
        <v>3.6890000000000001</v>
      </c>
      <c r="E870" s="2">
        <f>1.581+0.426</f>
        <v>2.0070000000000001</v>
      </c>
      <c r="F870" s="2">
        <f>(0.5/0.45)*D870</f>
        <v>4.0988888888888892</v>
      </c>
      <c r="G870" s="2">
        <f>100*E870/D870</f>
        <v>54.404987801572247</v>
      </c>
    </row>
    <row r="871" spans="1:7" x14ac:dyDescent="0.2">
      <c r="B871">
        <v>169</v>
      </c>
      <c r="C871">
        <v>3</v>
      </c>
      <c r="D871" s="2">
        <v>1.5469999999999999</v>
      </c>
      <c r="E871" s="2">
        <f>0.546+0.184</f>
        <v>0.73</v>
      </c>
      <c r="F871" s="2">
        <f>(0.5/0.45)*D871</f>
        <v>1.7188888888888889</v>
      </c>
      <c r="G871" s="2">
        <f>100*E871/D871</f>
        <v>47.188106011635426</v>
      </c>
    </row>
    <row r="872" spans="1:7" x14ac:dyDescent="0.2">
      <c r="B872">
        <v>170</v>
      </c>
      <c r="C872">
        <v>4</v>
      </c>
      <c r="D872" s="2">
        <v>6.1680000000000001</v>
      </c>
      <c r="E872" s="2">
        <f>0.487+0.346+0.401</f>
        <v>1.234</v>
      </c>
      <c r="F872" s="2">
        <f>(0.5/0.45)*D872</f>
        <v>6.8533333333333335</v>
      </c>
      <c r="G872" s="2">
        <f>100*E872/D872</f>
        <v>20.006485084306096</v>
      </c>
    </row>
    <row r="873" spans="1:7" x14ac:dyDescent="0.2">
      <c r="B873">
        <v>171</v>
      </c>
      <c r="C873">
        <v>5</v>
      </c>
      <c r="D873" s="2">
        <v>1.181</v>
      </c>
      <c r="E873" s="2">
        <v>0.28799999999999998</v>
      </c>
      <c r="F873" s="2">
        <f>(0.5/0.45)*D873</f>
        <v>1.3122222222222224</v>
      </c>
      <c r="G873" s="2">
        <f>100*E873/D873</f>
        <v>24.386113463166804</v>
      </c>
    </row>
    <row r="874" spans="1:7" x14ac:dyDescent="0.2">
      <c r="B874">
        <v>172</v>
      </c>
      <c r="C874">
        <v>6</v>
      </c>
      <c r="D874" s="2">
        <v>1.9119999999999999</v>
      </c>
      <c r="E874" s="2">
        <f>0.603+0.566+0.111</f>
        <v>1.28</v>
      </c>
      <c r="F874" s="2">
        <f>(0.5/0.45)*D874</f>
        <v>2.1244444444444444</v>
      </c>
      <c r="G874" s="2">
        <f>100*E874/D874</f>
        <v>66.945606694560666</v>
      </c>
    </row>
    <row r="875" spans="1:7" x14ac:dyDescent="0.2">
      <c r="B875">
        <v>173</v>
      </c>
      <c r="C875">
        <v>7</v>
      </c>
      <c r="D875" s="2">
        <v>1.925</v>
      </c>
      <c r="E875" s="2">
        <f>0.481+0.238</f>
        <v>0.71899999999999997</v>
      </c>
      <c r="F875" s="2">
        <f>(0.5/0.45)*D875</f>
        <v>2.1388888888888888</v>
      </c>
      <c r="G875" s="2">
        <f>100*E875/D875</f>
        <v>37.350649350649348</v>
      </c>
    </row>
    <row r="876" spans="1:7" x14ac:dyDescent="0.2">
      <c r="B876">
        <v>174</v>
      </c>
      <c r="C876">
        <v>8</v>
      </c>
      <c r="D876" s="2">
        <v>2.46</v>
      </c>
      <c r="E876" s="2">
        <v>0.61</v>
      </c>
      <c r="F876" s="2">
        <f>(0.5/0.45)*D876</f>
        <v>2.7333333333333334</v>
      </c>
      <c r="G876" s="2">
        <f>100*E876/D876</f>
        <v>24.796747967479675</v>
      </c>
    </row>
    <row r="877" spans="1:7" x14ac:dyDescent="0.2">
      <c r="B877">
        <v>175</v>
      </c>
      <c r="C877">
        <v>9</v>
      </c>
      <c r="D877" s="2">
        <v>2.5070000000000001</v>
      </c>
      <c r="E877" s="2">
        <v>0.63500000000000001</v>
      </c>
      <c r="F877" s="2">
        <f>(0.5/0.45)*D877</f>
        <v>2.7855555555555558</v>
      </c>
      <c r="G877" s="2">
        <f>100*E877/D877</f>
        <v>25.329078579976066</v>
      </c>
    </row>
    <row r="878" spans="1:7" x14ac:dyDescent="0.2">
      <c r="A878" t="s">
        <v>70</v>
      </c>
      <c r="B878">
        <v>176</v>
      </c>
      <c r="C878">
        <v>1</v>
      </c>
      <c r="D878" s="2">
        <v>2.8849999999999998</v>
      </c>
      <c r="E878" s="2">
        <f>0.226+0.665</f>
        <v>0.89100000000000001</v>
      </c>
      <c r="F878" s="2">
        <f>(0.5/0.45)*D878</f>
        <v>3.2055555555555553</v>
      </c>
      <c r="G878" s="2">
        <f>100*E878/D878</f>
        <v>30.883882149046794</v>
      </c>
    </row>
    <row r="879" spans="1:7" x14ac:dyDescent="0.2">
      <c r="B879">
        <v>177</v>
      </c>
      <c r="C879">
        <v>2</v>
      </c>
      <c r="D879" s="2">
        <v>2.0259999999999998</v>
      </c>
      <c r="E879" s="2">
        <v>0.60799999999999998</v>
      </c>
      <c r="F879" s="2">
        <f>(0.5/0.45)*D879</f>
        <v>2.2511111111111108</v>
      </c>
      <c r="G879" s="2">
        <f>100*E879/D879</f>
        <v>30.009871668311945</v>
      </c>
    </row>
    <row r="880" spans="1:7" x14ac:dyDescent="0.2">
      <c r="B880">
        <v>178</v>
      </c>
      <c r="C880">
        <v>3</v>
      </c>
      <c r="D880" s="2">
        <v>1.3169999999999999</v>
      </c>
      <c r="E880" s="2">
        <v>0.38700000000000001</v>
      </c>
      <c r="F880" s="2">
        <f>(0.5/0.45)*D880</f>
        <v>1.4633333333333334</v>
      </c>
      <c r="G880" s="2">
        <f>100*E880/D880</f>
        <v>29.384965831435082</v>
      </c>
    </row>
    <row r="881" spans="1:7" x14ac:dyDescent="0.2">
      <c r="B881">
        <v>179</v>
      </c>
      <c r="C881">
        <v>4</v>
      </c>
      <c r="D881" s="2">
        <v>1.226</v>
      </c>
      <c r="E881" s="2">
        <v>0.748</v>
      </c>
      <c r="F881" s="2">
        <f>(0.5/0.45)*D881</f>
        <v>1.3622222222222222</v>
      </c>
      <c r="G881" s="2">
        <f>100*E881/D881</f>
        <v>61.011419249592166</v>
      </c>
    </row>
    <row r="882" spans="1:7" x14ac:dyDescent="0.2">
      <c r="B882">
        <v>180</v>
      </c>
      <c r="C882">
        <v>5</v>
      </c>
      <c r="D882" s="2">
        <v>1.3939999999999999</v>
      </c>
      <c r="E882" s="2">
        <f>0.098+0.638</f>
        <v>0.73599999999999999</v>
      </c>
      <c r="F882" s="2">
        <f>(0.5/0.45)*D882</f>
        <v>1.5488888888888888</v>
      </c>
      <c r="G882" s="2">
        <f>100*E882/D882</f>
        <v>52.797704447632711</v>
      </c>
    </row>
    <row r="883" spans="1:7" x14ac:dyDescent="0.2">
      <c r="B883">
        <v>181</v>
      </c>
      <c r="C883">
        <v>6</v>
      </c>
      <c r="D883" s="2">
        <v>1.61</v>
      </c>
      <c r="E883" s="2">
        <v>0.35199999999999998</v>
      </c>
      <c r="F883" s="2">
        <f>(0.5/0.45)*D883</f>
        <v>1.788888888888889</v>
      </c>
      <c r="G883" s="2">
        <f>100*E883/D883</f>
        <v>21.863354037267076</v>
      </c>
    </row>
    <row r="884" spans="1:7" x14ac:dyDescent="0.2">
      <c r="B884">
        <v>182</v>
      </c>
      <c r="C884">
        <v>7</v>
      </c>
      <c r="D884" s="2">
        <v>1.7210000000000001</v>
      </c>
      <c r="E884" s="2">
        <f>0.355+0.181</f>
        <v>0.53600000000000003</v>
      </c>
      <c r="F884" s="2">
        <f>(0.5/0.45)*D884</f>
        <v>1.9122222222222225</v>
      </c>
      <c r="G884" s="2">
        <f>100*E884/D884</f>
        <v>31.144683323649041</v>
      </c>
    </row>
    <row r="885" spans="1:7" x14ac:dyDescent="0.2">
      <c r="B885">
        <v>183</v>
      </c>
      <c r="C885">
        <v>8</v>
      </c>
      <c r="D885" s="2">
        <v>1.4490000000000001</v>
      </c>
      <c r="E885" s="2">
        <v>0.66</v>
      </c>
      <c r="F885" s="2">
        <f>(0.5/0.45)*D885</f>
        <v>1.61</v>
      </c>
      <c r="G885" s="2">
        <f>100*E885/D885</f>
        <v>45.54865424430642</v>
      </c>
    </row>
    <row r="886" spans="1:7" x14ac:dyDescent="0.2">
      <c r="A886" t="s">
        <v>69</v>
      </c>
      <c r="B886">
        <v>184</v>
      </c>
      <c r="C886">
        <v>1</v>
      </c>
      <c r="D886" s="2">
        <v>3.927</v>
      </c>
      <c r="E886" s="2">
        <f>1.092+0.671+0.352</f>
        <v>2.1150000000000002</v>
      </c>
      <c r="F886" s="2">
        <f>(0.5/0.45)*D886</f>
        <v>4.3633333333333333</v>
      </c>
      <c r="G886" s="2">
        <f>100*E886/D886</f>
        <v>53.857906799083274</v>
      </c>
    </row>
    <row r="887" spans="1:7" x14ac:dyDescent="0.2">
      <c r="B887">
        <v>185</v>
      </c>
      <c r="C887">
        <v>2</v>
      </c>
      <c r="D887" s="2">
        <v>2.222</v>
      </c>
      <c r="E887" s="2">
        <f>0.183+0.32</f>
        <v>0.503</v>
      </c>
      <c r="F887" s="2">
        <f>(0.5/0.45)*D887</f>
        <v>2.4688888888888889</v>
      </c>
      <c r="G887" s="2">
        <f>100*E887/D887</f>
        <v>22.637263726372638</v>
      </c>
    </row>
    <row r="888" spans="1:7" x14ac:dyDescent="0.2">
      <c r="B888">
        <v>186</v>
      </c>
      <c r="C888">
        <v>3</v>
      </c>
      <c r="D888" s="2">
        <v>2.0489999999999999</v>
      </c>
      <c r="E888" s="2">
        <f>0.407+0.118+0.164</f>
        <v>0.68899999999999995</v>
      </c>
      <c r="F888" s="2">
        <f>(0.5/0.45)*D888</f>
        <v>2.2766666666666668</v>
      </c>
      <c r="G888" s="2">
        <f>100*E888/D888</f>
        <v>33.626159102000976</v>
      </c>
    </row>
    <row r="889" spans="1:7" x14ac:dyDescent="0.2">
      <c r="B889">
        <v>187</v>
      </c>
      <c r="C889">
        <v>4</v>
      </c>
      <c r="D889" s="2">
        <v>1.4079999999999999</v>
      </c>
      <c r="E889" s="2">
        <f>0.208+0.15</f>
        <v>0.35799999999999998</v>
      </c>
      <c r="F889" s="2">
        <f>(0.5/0.45)*D889</f>
        <v>1.5644444444444445</v>
      </c>
      <c r="G889" s="2">
        <f>100*E889/D889</f>
        <v>25.426136363636363</v>
      </c>
    </row>
    <row r="890" spans="1:7" x14ac:dyDescent="0.2">
      <c r="B890">
        <v>188</v>
      </c>
      <c r="C890">
        <v>5</v>
      </c>
      <c r="D890" s="2">
        <v>2.597</v>
      </c>
      <c r="E890" s="2">
        <f>0.839+0.572</f>
        <v>1.411</v>
      </c>
      <c r="F890" s="2">
        <f>(0.5/0.45)*D890</f>
        <v>2.8855555555555559</v>
      </c>
      <c r="G890" s="2">
        <f>100*E890/D890</f>
        <v>54.331921447824413</v>
      </c>
    </row>
    <row r="891" spans="1:7" x14ac:dyDescent="0.2">
      <c r="B891">
        <v>189</v>
      </c>
      <c r="C891">
        <v>6</v>
      </c>
      <c r="D891" s="2">
        <v>3.6579999999999999</v>
      </c>
      <c r="E891" s="2">
        <f>0.227+0.181</f>
        <v>0.40800000000000003</v>
      </c>
      <c r="F891" s="2">
        <f>(0.5/0.45)*D891</f>
        <v>4.0644444444444447</v>
      </c>
      <c r="G891" s="2">
        <f>100*E891/D891</f>
        <v>11.153635866593769</v>
      </c>
    </row>
    <row r="892" spans="1:7" x14ac:dyDescent="0.2">
      <c r="B892">
        <v>190</v>
      </c>
      <c r="C892">
        <v>7</v>
      </c>
      <c r="D892" s="2">
        <v>1.671</v>
      </c>
      <c r="E892" s="2">
        <f>0.554+0.363</f>
        <v>0.91700000000000004</v>
      </c>
      <c r="F892" s="2">
        <f>(0.5/0.45)*D892</f>
        <v>1.8566666666666667</v>
      </c>
      <c r="G892" s="2">
        <f>100*E892/D892</f>
        <v>54.877318970676242</v>
      </c>
    </row>
    <row r="893" spans="1:7" x14ac:dyDescent="0.2">
      <c r="B893">
        <v>191</v>
      </c>
      <c r="C893">
        <v>8</v>
      </c>
      <c r="D893" s="2">
        <v>6.601</v>
      </c>
      <c r="E893" s="2">
        <f>0.403+0.428+0.338</f>
        <v>1.169</v>
      </c>
      <c r="F893" s="2">
        <f>(0.5/0.45)*D893</f>
        <v>7.3344444444444443</v>
      </c>
      <c r="G893" s="2">
        <f>100*E893/D893</f>
        <v>17.709437963944858</v>
      </c>
    </row>
    <row r="894" spans="1:7" x14ac:dyDescent="0.2">
      <c r="B894">
        <v>192</v>
      </c>
      <c r="C894">
        <v>9</v>
      </c>
      <c r="D894" s="2">
        <v>1.476</v>
      </c>
      <c r="E894" s="2">
        <v>0.127</v>
      </c>
      <c r="F894" s="2">
        <f>(0.5/0.45)*D894</f>
        <v>1.6400000000000001</v>
      </c>
      <c r="G894" s="2">
        <f>100*E894/D894</f>
        <v>8.6043360433604335</v>
      </c>
    </row>
    <row r="895" spans="1:7" x14ac:dyDescent="0.2">
      <c r="A895" t="s">
        <v>68</v>
      </c>
      <c r="B895">
        <v>193</v>
      </c>
      <c r="C895">
        <v>1</v>
      </c>
      <c r="D895" s="2">
        <v>2.1549999999999998</v>
      </c>
      <c r="E895" s="2">
        <f>0.148+0.174</f>
        <v>0.32199999999999995</v>
      </c>
      <c r="F895" s="2">
        <f>(0.5/0.45)*D895</f>
        <v>2.3944444444444444</v>
      </c>
      <c r="G895" s="2">
        <f>100*E895/D895</f>
        <v>14.94199535962877</v>
      </c>
    </row>
    <row r="896" spans="1:7" x14ac:dyDescent="0.2">
      <c r="B896">
        <v>194</v>
      </c>
      <c r="C896">
        <v>2</v>
      </c>
      <c r="D896" s="2">
        <v>1.452</v>
      </c>
      <c r="E896" s="2">
        <v>1.1479999999999999</v>
      </c>
      <c r="F896" s="2">
        <f>(0.5/0.45)*D896</f>
        <v>1.6133333333333333</v>
      </c>
      <c r="G896" s="2">
        <f>100*E896/D896</f>
        <v>79.063360881542707</v>
      </c>
    </row>
    <row r="897" spans="2:7" x14ac:dyDescent="0.2">
      <c r="B897">
        <v>195</v>
      </c>
      <c r="C897">
        <v>3</v>
      </c>
      <c r="D897" s="2">
        <v>1.903</v>
      </c>
      <c r="E897" s="2">
        <v>0.56100000000000005</v>
      </c>
      <c r="F897" s="2">
        <f>(0.5/0.45)*D897</f>
        <v>2.1144444444444446</v>
      </c>
      <c r="G897" s="2">
        <f>100*E897/D897</f>
        <v>29.47976878612717</v>
      </c>
    </row>
    <row r="898" spans="2:7" x14ac:dyDescent="0.2">
      <c r="B898">
        <v>196</v>
      </c>
      <c r="C898">
        <v>4</v>
      </c>
      <c r="D898" s="2">
        <v>1.569</v>
      </c>
      <c r="E898" s="2">
        <v>0.23699999999999999</v>
      </c>
      <c r="F898" s="2">
        <f>(0.5/0.45)*D898</f>
        <v>1.7433333333333334</v>
      </c>
      <c r="G898" s="2">
        <f>100*E898/D898</f>
        <v>15.105162523900574</v>
      </c>
    </row>
    <row r="899" spans="2:7" x14ac:dyDescent="0.2">
      <c r="B899">
        <v>197</v>
      </c>
      <c r="C899">
        <v>5</v>
      </c>
      <c r="D899" s="2">
        <v>1.8660000000000001</v>
      </c>
      <c r="E899" s="2">
        <v>0.97499999999999998</v>
      </c>
      <c r="F899" s="2">
        <f>(0.5/0.45)*D899</f>
        <v>2.0733333333333337</v>
      </c>
      <c r="G899" s="2">
        <f>100*E899/D899</f>
        <v>52.250803858520896</v>
      </c>
    </row>
    <row r="900" spans="2:7" x14ac:dyDescent="0.2">
      <c r="B900">
        <v>198</v>
      </c>
      <c r="C900">
        <v>6</v>
      </c>
      <c r="D900" s="2">
        <v>0.89100000000000001</v>
      </c>
      <c r="E900" s="2">
        <v>0.17799999999999999</v>
      </c>
      <c r="F900" s="2">
        <f>(0.5/0.45)*D900</f>
        <v>0.9900000000000001</v>
      </c>
      <c r="G900" s="2">
        <f>100*E900/D900</f>
        <v>19.977553310886645</v>
      </c>
    </row>
    <row r="901" spans="2:7" x14ac:dyDescent="0.2">
      <c r="B901">
        <v>199</v>
      </c>
      <c r="C901">
        <v>7</v>
      </c>
      <c r="D901" s="2">
        <v>1.456</v>
      </c>
      <c r="E901" s="2">
        <v>0.754</v>
      </c>
      <c r="F901" s="2">
        <f>(0.5/0.45)*D901</f>
        <v>1.6177777777777778</v>
      </c>
      <c r="G901" s="2">
        <f>100*E901/D901</f>
        <v>51.785714285714292</v>
      </c>
    </row>
    <row r="902" spans="2:7" x14ac:dyDescent="0.2">
      <c r="B902">
        <v>200</v>
      </c>
      <c r="C902">
        <v>8</v>
      </c>
      <c r="D902" s="2">
        <v>1.175</v>
      </c>
      <c r="E902" s="2">
        <v>0.27</v>
      </c>
      <c r="F902" s="2">
        <f>(0.5/0.45)*D902</f>
        <v>1.3055555555555556</v>
      </c>
      <c r="G902" s="2">
        <f>100*E902/D902</f>
        <v>22.978723404255319</v>
      </c>
    </row>
    <row r="903" spans="2:7" x14ac:dyDescent="0.2">
      <c r="B903">
        <v>201</v>
      </c>
      <c r="C903">
        <v>9</v>
      </c>
      <c r="D903" s="2">
        <v>1.474</v>
      </c>
      <c r="E903" s="2">
        <v>0.85399999999999998</v>
      </c>
      <c r="F903" s="2">
        <f>(0.5/0.45)*D903</f>
        <v>1.6377777777777778</v>
      </c>
      <c r="G903" s="2">
        <f>100*E903/D903</f>
        <v>57.937584803256442</v>
      </c>
    </row>
    <row r="904" spans="2:7" x14ac:dyDescent="0.2">
      <c r="B904">
        <v>202</v>
      </c>
      <c r="C904">
        <v>10</v>
      </c>
      <c r="D904" s="2">
        <v>1.258</v>
      </c>
      <c r="E904" s="2">
        <f>0.319+0.27</f>
        <v>0.58899999999999997</v>
      </c>
      <c r="F904" s="2">
        <f>(0.5/0.45)*D904</f>
        <v>1.3977777777777778</v>
      </c>
      <c r="G904" s="2">
        <f>100*E904/D904</f>
        <v>46.820349761526231</v>
      </c>
    </row>
    <row r="906" spans="2:7" x14ac:dyDescent="0.2">
      <c r="C906" t="s">
        <v>1</v>
      </c>
      <c r="D906" s="2">
        <f>AVERAGE(D703:D904)</f>
        <v>1.8389405940594064</v>
      </c>
      <c r="E906" s="2">
        <f>AVERAGE(E703:E904)</f>
        <v>0.4683316831683168</v>
      </c>
      <c r="F906" s="2">
        <f>AVERAGE(F703:F904)</f>
        <v>2.0432673267326744</v>
      </c>
      <c r="G906" s="2">
        <f>AVERAGE(G703:G904)</f>
        <v>26.138617092895025</v>
      </c>
    </row>
    <row r="907" spans="2:7" x14ac:dyDescent="0.2">
      <c r="C907" t="s">
        <v>0</v>
      </c>
      <c r="D907" s="2">
        <f>STDEV(D703:D904)</f>
        <v>0.86751022270814149</v>
      </c>
      <c r="E907" s="2">
        <f>STDEV(E703:E904)</f>
        <v>0.35543935937816862</v>
      </c>
      <c r="F907" s="2">
        <f>STDEV(F703:F904)</f>
        <v>0.96390024745348646</v>
      </c>
      <c r="G907" s="2">
        <f>STDEV(G703:G904)</f>
        <v>16.45701388320855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6" x14ac:dyDescent="0.2"/>
  <cols>
    <col min="1" max="1" width="15.5" customWidth="1"/>
    <col min="2" max="2" width="10.83203125" style="1"/>
    <col min="3" max="3" width="4.33203125" customWidth="1"/>
    <col min="4" max="4" width="15.5" customWidth="1"/>
    <col min="5" max="5" width="10.83203125" style="1"/>
    <col min="6" max="6" width="4.33203125" customWidth="1"/>
    <col min="7" max="7" width="15.5" customWidth="1"/>
    <col min="8" max="8" width="10.83203125" style="1"/>
    <col min="9" max="9" width="4.33203125" customWidth="1"/>
    <col min="10" max="10" width="15.5" customWidth="1"/>
    <col min="11" max="11" width="10.83203125" style="1"/>
    <col min="12" max="12" width="4.33203125" customWidth="1"/>
    <col min="13" max="13" width="15.5" customWidth="1"/>
    <col min="14" max="14" width="10.83203125" style="1"/>
    <col min="15" max="15" width="4.33203125" customWidth="1"/>
    <col min="16" max="16" width="15.5" customWidth="1"/>
    <col min="17" max="17" width="10.83203125" style="1"/>
  </cols>
  <sheetData>
    <row r="1" spans="1:17" x14ac:dyDescent="0.2">
      <c r="A1" t="s">
        <v>191</v>
      </c>
    </row>
    <row r="3" spans="1:17" x14ac:dyDescent="0.2">
      <c r="A3" t="s">
        <v>166</v>
      </c>
      <c r="D3" t="s">
        <v>165</v>
      </c>
      <c r="G3" t="s">
        <v>164</v>
      </c>
      <c r="J3" t="s">
        <v>163</v>
      </c>
      <c r="M3" t="s">
        <v>162</v>
      </c>
      <c r="P3" t="s">
        <v>160</v>
      </c>
    </row>
    <row r="4" spans="1:17" x14ac:dyDescent="0.2">
      <c r="A4" s="5" t="s">
        <v>95</v>
      </c>
      <c r="B4" s="3" t="s">
        <v>87</v>
      </c>
      <c r="D4" s="5" t="s">
        <v>95</v>
      </c>
      <c r="E4" s="3" t="s">
        <v>87</v>
      </c>
      <c r="G4" s="5" t="s">
        <v>95</v>
      </c>
      <c r="H4" s="3" t="s">
        <v>87</v>
      </c>
      <c r="J4" s="5" t="s">
        <v>95</v>
      </c>
      <c r="K4" s="3" t="s">
        <v>87</v>
      </c>
      <c r="M4" s="5" t="s">
        <v>95</v>
      </c>
      <c r="N4" s="3" t="s">
        <v>87</v>
      </c>
      <c r="P4" s="5" t="s">
        <v>95</v>
      </c>
      <c r="Q4" s="3" t="s">
        <v>87</v>
      </c>
    </row>
    <row r="5" spans="1:17" x14ac:dyDescent="0.2">
      <c r="A5" t="s">
        <v>168</v>
      </c>
      <c r="B5" s="1">
        <v>100</v>
      </c>
      <c r="D5" t="s">
        <v>145</v>
      </c>
      <c r="E5" s="1">
        <f>100*12/13</f>
        <v>92.307692307692307</v>
      </c>
      <c r="G5" t="s">
        <v>41</v>
      </c>
      <c r="H5" s="1">
        <v>50</v>
      </c>
      <c r="J5" t="s">
        <v>127</v>
      </c>
      <c r="K5" s="1">
        <f>100*6/14</f>
        <v>42.857142857142854</v>
      </c>
      <c r="M5" t="s">
        <v>112</v>
      </c>
      <c r="N5" s="1">
        <v>100</v>
      </c>
      <c r="P5" t="s">
        <v>84</v>
      </c>
      <c r="Q5" s="1">
        <f>100*10/12</f>
        <v>83.333333333333329</v>
      </c>
    </row>
    <row r="6" spans="1:17" x14ac:dyDescent="0.2">
      <c r="A6" t="s">
        <v>161</v>
      </c>
      <c r="B6" s="1">
        <v>100</v>
      </c>
      <c r="D6" t="s">
        <v>144</v>
      </c>
      <c r="E6" s="1">
        <v>100</v>
      </c>
      <c r="G6" t="s">
        <v>40</v>
      </c>
      <c r="H6" s="1">
        <v>100</v>
      </c>
      <c r="J6" t="s">
        <v>126</v>
      </c>
      <c r="K6" s="1">
        <f>100*11/17</f>
        <v>64.705882352941174</v>
      </c>
      <c r="M6" t="s">
        <v>111</v>
      </c>
      <c r="N6" s="1">
        <v>100</v>
      </c>
      <c r="P6" t="s">
        <v>83</v>
      </c>
      <c r="Q6" s="1">
        <v>100</v>
      </c>
    </row>
    <row r="7" spans="1:17" x14ac:dyDescent="0.2">
      <c r="A7" t="s">
        <v>159</v>
      </c>
      <c r="B7" s="1">
        <v>100</v>
      </c>
      <c r="D7" t="s">
        <v>143</v>
      </c>
      <c r="E7" s="1">
        <f>100*11/13</f>
        <v>84.615384615384613</v>
      </c>
      <c r="G7" t="s">
        <v>37</v>
      </c>
      <c r="H7" s="1">
        <v>100</v>
      </c>
      <c r="J7" t="s">
        <v>125</v>
      </c>
      <c r="K7" s="1">
        <v>0</v>
      </c>
      <c r="M7" t="s">
        <v>110</v>
      </c>
      <c r="N7" s="1">
        <v>100</v>
      </c>
      <c r="P7" t="s">
        <v>82</v>
      </c>
      <c r="Q7" s="1">
        <f>100*10/14</f>
        <v>71.428571428571431</v>
      </c>
    </row>
    <row r="8" spans="1:17" x14ac:dyDescent="0.2">
      <c r="A8" t="s">
        <v>158</v>
      </c>
      <c r="B8" s="1">
        <v>100</v>
      </c>
      <c r="D8" t="s">
        <v>142</v>
      </c>
      <c r="E8" s="1">
        <v>70</v>
      </c>
      <c r="G8" t="s">
        <v>36</v>
      </c>
      <c r="H8" s="1">
        <v>100</v>
      </c>
      <c r="J8" t="s">
        <v>124</v>
      </c>
      <c r="K8" s="1">
        <f>100*8/9</f>
        <v>88.888888888888886</v>
      </c>
      <c r="M8" t="s">
        <v>109</v>
      </c>
      <c r="N8" s="1">
        <v>100</v>
      </c>
      <c r="P8" t="s">
        <v>81</v>
      </c>
      <c r="Q8" s="1">
        <v>100</v>
      </c>
    </row>
    <row r="9" spans="1:17" x14ac:dyDescent="0.2">
      <c r="A9" t="s">
        <v>157</v>
      </c>
      <c r="B9" s="1">
        <v>100</v>
      </c>
      <c r="D9" t="s">
        <v>141</v>
      </c>
      <c r="E9" s="1">
        <v>100</v>
      </c>
      <c r="G9" t="s">
        <v>35</v>
      </c>
      <c r="H9" s="1">
        <v>100</v>
      </c>
      <c r="J9" t="s">
        <v>123</v>
      </c>
      <c r="K9" s="1">
        <f>100*19/23</f>
        <v>82.608695652173907</v>
      </c>
      <c r="M9" t="s">
        <v>108</v>
      </c>
      <c r="N9" s="1">
        <v>100</v>
      </c>
      <c r="P9" t="s">
        <v>80</v>
      </c>
      <c r="Q9" s="1">
        <v>100</v>
      </c>
    </row>
    <row r="10" spans="1:17" x14ac:dyDescent="0.2">
      <c r="A10" t="s">
        <v>156</v>
      </c>
      <c r="B10" s="1">
        <f>100*14/15</f>
        <v>93.333333333333329</v>
      </c>
      <c r="D10" t="s">
        <v>140</v>
      </c>
      <c r="E10" s="1">
        <v>100</v>
      </c>
      <c r="G10" t="s">
        <v>34</v>
      </c>
      <c r="H10" s="1">
        <v>100</v>
      </c>
      <c r="J10" t="s">
        <v>122</v>
      </c>
      <c r="K10" s="1">
        <f>100*15/18</f>
        <v>83.333333333333329</v>
      </c>
      <c r="M10" t="s">
        <v>107</v>
      </c>
      <c r="N10" s="1">
        <v>75</v>
      </c>
      <c r="P10" t="s">
        <v>79</v>
      </c>
      <c r="Q10" s="1">
        <v>100</v>
      </c>
    </row>
    <row r="11" spans="1:17" x14ac:dyDescent="0.2">
      <c r="A11" t="s">
        <v>155</v>
      </c>
      <c r="B11" s="1">
        <v>100</v>
      </c>
      <c r="D11" t="s">
        <v>139</v>
      </c>
      <c r="E11" s="1">
        <v>100</v>
      </c>
      <c r="G11" t="s">
        <v>33</v>
      </c>
      <c r="H11" s="1">
        <v>100</v>
      </c>
      <c r="J11" t="s">
        <v>121</v>
      </c>
      <c r="K11" s="1">
        <f>100*11/15</f>
        <v>73.333333333333329</v>
      </c>
      <c r="M11" t="s">
        <v>106</v>
      </c>
      <c r="N11" s="1">
        <f>100*11/12</f>
        <v>91.666666666666671</v>
      </c>
      <c r="P11" t="s">
        <v>78</v>
      </c>
      <c r="Q11" s="1">
        <v>100</v>
      </c>
    </row>
    <row r="12" spans="1:17" x14ac:dyDescent="0.2">
      <c r="A12" t="s">
        <v>154</v>
      </c>
      <c r="B12" s="1">
        <v>100</v>
      </c>
      <c r="D12" t="s">
        <v>138</v>
      </c>
      <c r="E12" s="1">
        <v>100</v>
      </c>
      <c r="G12" t="s">
        <v>32</v>
      </c>
      <c r="H12" s="1">
        <v>100</v>
      </c>
      <c r="J12" t="s">
        <v>120</v>
      </c>
      <c r="K12" s="1">
        <f>100*5/11</f>
        <v>45.454545454545453</v>
      </c>
      <c r="M12" t="s">
        <v>105</v>
      </c>
      <c r="N12" s="1">
        <v>100</v>
      </c>
      <c r="P12" t="s">
        <v>77</v>
      </c>
      <c r="Q12" s="1">
        <v>100</v>
      </c>
    </row>
    <row r="13" spans="1:17" x14ac:dyDescent="0.2">
      <c r="A13" t="s">
        <v>153</v>
      </c>
      <c r="B13" s="1">
        <v>100</v>
      </c>
      <c r="D13" t="s">
        <v>137</v>
      </c>
      <c r="E13" s="1">
        <v>100</v>
      </c>
      <c r="G13" t="s">
        <v>31</v>
      </c>
      <c r="H13" s="1">
        <f>100*10/12</f>
        <v>83.333333333333329</v>
      </c>
      <c r="J13" t="s">
        <v>119</v>
      </c>
      <c r="K13" s="1">
        <f>100*12/26</f>
        <v>46.153846153846153</v>
      </c>
      <c r="M13" t="s">
        <v>104</v>
      </c>
      <c r="N13" s="1">
        <f>100*12/15</f>
        <v>80</v>
      </c>
      <c r="P13" t="s">
        <v>75</v>
      </c>
      <c r="Q13" s="1">
        <f>100*10/11</f>
        <v>90.909090909090907</v>
      </c>
    </row>
    <row r="14" spans="1:17" x14ac:dyDescent="0.2">
      <c r="A14" t="s">
        <v>152</v>
      </c>
      <c r="B14" s="1">
        <v>100</v>
      </c>
      <c r="D14" t="s">
        <v>136</v>
      </c>
      <c r="E14" s="1">
        <f>100*4/7</f>
        <v>57.142857142857146</v>
      </c>
      <c r="G14" t="s">
        <v>30</v>
      </c>
      <c r="H14" s="1">
        <v>100</v>
      </c>
      <c r="J14" t="s">
        <v>118</v>
      </c>
      <c r="K14" s="1">
        <v>0</v>
      </c>
      <c r="M14" t="s">
        <v>103</v>
      </c>
      <c r="N14" s="1">
        <v>100</v>
      </c>
      <c r="P14" t="s">
        <v>74</v>
      </c>
      <c r="Q14" s="1">
        <f>100*11/15</f>
        <v>73.333333333333329</v>
      </c>
    </row>
    <row r="15" spans="1:17" x14ac:dyDescent="0.2">
      <c r="A15" t="s">
        <v>151</v>
      </c>
      <c r="B15" s="1">
        <v>100</v>
      </c>
      <c r="D15" t="s">
        <v>135</v>
      </c>
      <c r="E15" s="1">
        <v>60</v>
      </c>
      <c r="G15" t="s">
        <v>29</v>
      </c>
      <c r="H15" s="1">
        <v>100</v>
      </c>
      <c r="J15" t="s">
        <v>117</v>
      </c>
      <c r="K15" s="1">
        <f>100*11/19</f>
        <v>57.89473684210526</v>
      </c>
      <c r="M15" t="s">
        <v>102</v>
      </c>
      <c r="N15" s="1">
        <v>90</v>
      </c>
      <c r="P15" t="s">
        <v>73</v>
      </c>
      <c r="Q15" s="1">
        <f>100*16/18</f>
        <v>88.888888888888886</v>
      </c>
    </row>
    <row r="16" spans="1:17" x14ac:dyDescent="0.2">
      <c r="A16" t="s">
        <v>150</v>
      </c>
      <c r="B16" s="1">
        <v>100</v>
      </c>
      <c r="D16" t="s">
        <v>134</v>
      </c>
      <c r="E16" s="1">
        <v>66.67</v>
      </c>
      <c r="G16" t="s">
        <v>28</v>
      </c>
      <c r="H16" s="1">
        <f>100*12/13</f>
        <v>92.307692307692307</v>
      </c>
      <c r="J16" t="s">
        <v>116</v>
      </c>
      <c r="K16" s="1">
        <f>100*1/6</f>
        <v>16.666666666666668</v>
      </c>
      <c r="M16" t="s">
        <v>101</v>
      </c>
      <c r="N16" s="1">
        <v>100</v>
      </c>
      <c r="P16" t="s">
        <v>72</v>
      </c>
      <c r="Q16" s="1">
        <v>100</v>
      </c>
    </row>
    <row r="17" spans="1:17" x14ac:dyDescent="0.2">
      <c r="A17" t="s">
        <v>149</v>
      </c>
      <c r="B17" s="1">
        <v>75</v>
      </c>
      <c r="D17" t="s">
        <v>133</v>
      </c>
      <c r="E17" s="1">
        <v>100</v>
      </c>
      <c r="G17" t="s">
        <v>27</v>
      </c>
      <c r="H17" s="1">
        <v>100</v>
      </c>
      <c r="J17" t="s">
        <v>115</v>
      </c>
      <c r="K17" s="1">
        <v>90</v>
      </c>
      <c r="M17" t="s">
        <v>100</v>
      </c>
      <c r="N17" s="1">
        <v>100</v>
      </c>
      <c r="P17" t="s">
        <v>71</v>
      </c>
      <c r="Q17" s="1">
        <f>100*8/9</f>
        <v>88.888888888888886</v>
      </c>
    </row>
    <row r="18" spans="1:17" x14ac:dyDescent="0.2">
      <c r="A18" t="s">
        <v>148</v>
      </c>
      <c r="B18" s="1">
        <v>100</v>
      </c>
      <c r="D18" t="s">
        <v>132</v>
      </c>
      <c r="E18" s="1">
        <v>100</v>
      </c>
      <c r="G18" t="s">
        <v>26</v>
      </c>
      <c r="H18" s="1">
        <f>100*11/12</f>
        <v>91.666666666666671</v>
      </c>
      <c r="J18" t="s">
        <v>114</v>
      </c>
      <c r="K18" s="1">
        <f>100*16/22</f>
        <v>72.727272727272734</v>
      </c>
      <c r="M18" t="s">
        <v>97</v>
      </c>
      <c r="N18" s="1">
        <v>100</v>
      </c>
      <c r="P18" t="s">
        <v>70</v>
      </c>
      <c r="Q18" s="1">
        <v>100</v>
      </c>
    </row>
    <row r="19" spans="1:17" x14ac:dyDescent="0.2">
      <c r="A19" t="s">
        <v>147</v>
      </c>
      <c r="B19" s="1">
        <v>100</v>
      </c>
      <c r="D19" t="s">
        <v>131</v>
      </c>
      <c r="E19" s="1">
        <v>100</v>
      </c>
      <c r="M19" t="s">
        <v>99</v>
      </c>
      <c r="N19" s="1">
        <v>100</v>
      </c>
      <c r="P19" t="s">
        <v>69</v>
      </c>
      <c r="Q19" s="1">
        <v>100</v>
      </c>
    </row>
    <row r="20" spans="1:17" x14ac:dyDescent="0.2">
      <c r="D20" t="s">
        <v>130</v>
      </c>
      <c r="E20" s="1">
        <v>100</v>
      </c>
      <c r="M20" t="s">
        <v>98</v>
      </c>
      <c r="N20" s="1">
        <v>100</v>
      </c>
      <c r="P20" t="s">
        <v>68</v>
      </c>
      <c r="Q20" s="1">
        <v>100</v>
      </c>
    </row>
    <row r="22" spans="1:17" x14ac:dyDescent="0.2">
      <c r="A22" t="s">
        <v>1</v>
      </c>
      <c r="B22" s="1">
        <f>AVERAGE(B5:B19)</f>
        <v>97.8888888888889</v>
      </c>
      <c r="D22" t="s">
        <v>1</v>
      </c>
      <c r="E22" s="1">
        <f>AVERAGE(E5:E20)</f>
        <v>89.420995879120881</v>
      </c>
      <c r="G22" t="s">
        <v>1</v>
      </c>
      <c r="H22" s="1">
        <f>AVERAGE(H5:H18)</f>
        <v>94.093406593406613</v>
      </c>
      <c r="J22" t="s">
        <v>1</v>
      </c>
      <c r="K22" s="1">
        <f>AVERAGE(K5:K18)</f>
        <v>54.616024590160684</v>
      </c>
      <c r="M22" t="s">
        <v>1</v>
      </c>
      <c r="N22" s="1">
        <f>AVERAGE(N5:N20)</f>
        <v>96.041666666666657</v>
      </c>
      <c r="P22" t="s">
        <v>1</v>
      </c>
      <c r="Q22" s="1">
        <f>AVERAGE(Q5:Q20)</f>
        <v>93.548881673881681</v>
      </c>
    </row>
    <row r="23" spans="1:17" x14ac:dyDescent="0.2">
      <c r="A23" t="s">
        <v>0</v>
      </c>
      <c r="B23" s="1">
        <f>STDEV(B5:B19)</f>
        <v>6.560665213400851</v>
      </c>
      <c r="D23" t="s">
        <v>0</v>
      </c>
      <c r="E23" s="1">
        <f>STDEV(E5:E20)</f>
        <v>16.23337371181151</v>
      </c>
      <c r="G23" t="s">
        <v>0</v>
      </c>
      <c r="H23" s="1">
        <f>STDEV(H5:H18)</f>
        <v>13.638080116587384</v>
      </c>
      <c r="J23" t="s">
        <v>0</v>
      </c>
      <c r="K23" s="1">
        <f>STDEV(K5:K18)</f>
        <v>31.040451339128435</v>
      </c>
      <c r="M23" t="s">
        <v>0</v>
      </c>
      <c r="N23" s="1">
        <f>STDEV(N5:N20)</f>
        <v>7.9320026895271951</v>
      </c>
      <c r="P23" t="s">
        <v>0</v>
      </c>
      <c r="Q23" s="1">
        <f>STDEV(Q5:Q20)</f>
        <v>9.8957997329706089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2"/>
  <sheetViews>
    <sheetView workbookViewId="0">
      <selection activeCell="D2" sqref="D2"/>
    </sheetView>
  </sheetViews>
  <sheetFormatPr baseColWidth="10" defaultRowHeight="16" x14ac:dyDescent="0.2"/>
  <cols>
    <col min="1" max="1" width="17.6640625" customWidth="1"/>
    <col min="2" max="3" width="9.5" customWidth="1"/>
    <col min="4" max="6" width="9.5" style="2" customWidth="1"/>
    <col min="7" max="7" width="9.5" style="6" customWidth="1"/>
    <col min="8" max="8" width="9.5" style="2" customWidth="1"/>
    <col min="9" max="9" width="10.33203125" style="2" customWidth="1"/>
    <col min="10" max="10" width="13" style="2" customWidth="1"/>
  </cols>
  <sheetData>
    <row r="1" spans="1:13" x14ac:dyDescent="0.2">
      <c r="A1" t="s">
        <v>192</v>
      </c>
    </row>
    <row r="2" spans="1:13" x14ac:dyDescent="0.2">
      <c r="L2" s="10" t="s">
        <v>187</v>
      </c>
    </row>
    <row r="3" spans="1:13" x14ac:dyDescent="0.2">
      <c r="A3" t="s">
        <v>167</v>
      </c>
    </row>
    <row r="4" spans="1:13" x14ac:dyDescent="0.2">
      <c r="A4" s="5" t="s">
        <v>95</v>
      </c>
      <c r="B4" s="5" t="s">
        <v>23</v>
      </c>
      <c r="C4" s="5" t="s">
        <v>22</v>
      </c>
      <c r="D4" s="4" t="s">
        <v>94</v>
      </c>
      <c r="E4" s="4" t="s">
        <v>93</v>
      </c>
      <c r="F4" s="4" t="s">
        <v>91</v>
      </c>
      <c r="G4" s="8" t="s">
        <v>173</v>
      </c>
      <c r="H4" s="4" t="s">
        <v>172</v>
      </c>
      <c r="I4" s="4" t="s">
        <v>92</v>
      </c>
      <c r="J4" s="4" t="s">
        <v>171</v>
      </c>
      <c r="L4" s="9" t="s">
        <v>167</v>
      </c>
      <c r="M4" s="9" t="s">
        <v>186</v>
      </c>
    </row>
    <row r="5" spans="1:13" x14ac:dyDescent="0.2">
      <c r="A5" t="s">
        <v>159</v>
      </c>
      <c r="B5">
        <v>1</v>
      </c>
      <c r="C5">
        <v>1</v>
      </c>
      <c r="D5" s="2">
        <v>1.21</v>
      </c>
      <c r="E5" s="2">
        <v>0.69</v>
      </c>
      <c r="F5" s="2">
        <f>100*E5/D5</f>
        <v>57.024793388429757</v>
      </c>
      <c r="G5" s="6">
        <v>1</v>
      </c>
      <c r="H5" s="2">
        <v>1</v>
      </c>
      <c r="I5" s="2">
        <f>(0.5/0.719)*D5</f>
        <v>0.84144645340751045</v>
      </c>
      <c r="J5" s="2">
        <f>(0.5/0.719)*E5</f>
        <v>0.47983310152990266</v>
      </c>
      <c r="L5" s="9" t="s">
        <v>177</v>
      </c>
      <c r="M5" t="s">
        <v>185</v>
      </c>
    </row>
    <row r="6" spans="1:13" x14ac:dyDescent="0.2">
      <c r="B6">
        <v>2</v>
      </c>
      <c r="C6">
        <v>2</v>
      </c>
      <c r="D6" s="2">
        <v>1.9910000000000001</v>
      </c>
      <c r="E6" s="2">
        <f>0.627+0.236</f>
        <v>0.86299999999999999</v>
      </c>
      <c r="F6" s="2">
        <f>100*E6/D6</f>
        <v>43.345052737317928</v>
      </c>
      <c r="G6" s="6">
        <v>1</v>
      </c>
      <c r="I6" s="2">
        <f>(0.5/0.719)*D6</f>
        <v>1.3845618915159947</v>
      </c>
      <c r="J6" s="2">
        <f>(0.5/0.719)*E6</f>
        <v>0.60013908205841449</v>
      </c>
      <c r="L6" s="9" t="s">
        <v>128</v>
      </c>
      <c r="M6" t="s">
        <v>184</v>
      </c>
    </row>
    <row r="7" spans="1:13" x14ac:dyDescent="0.2">
      <c r="B7">
        <v>3</v>
      </c>
      <c r="C7">
        <v>3</v>
      </c>
      <c r="D7" s="2">
        <v>1.6879999999999999</v>
      </c>
      <c r="E7" s="2">
        <v>0.14399999999999999</v>
      </c>
      <c r="F7" s="2">
        <f>100*E7/D7</f>
        <v>8.5308056872037916</v>
      </c>
      <c r="G7" s="6">
        <v>1</v>
      </c>
      <c r="I7" s="2">
        <f>(0.5/0.719)*D7</f>
        <v>1.1738525730180807</v>
      </c>
      <c r="J7" s="2">
        <f>(0.5/0.719)*E7</f>
        <v>0.10013908205841447</v>
      </c>
      <c r="L7" s="9" t="s">
        <v>174</v>
      </c>
      <c r="M7" t="s">
        <v>183</v>
      </c>
    </row>
    <row r="8" spans="1:13" x14ac:dyDescent="0.2">
      <c r="B8">
        <v>4</v>
      </c>
      <c r="C8">
        <v>4</v>
      </c>
      <c r="D8" s="2">
        <v>2.7679999999999998</v>
      </c>
      <c r="E8" s="2">
        <f>0.407+0.43</f>
        <v>0.83699999999999997</v>
      </c>
      <c r="F8" s="2">
        <f>100*E8/D8</f>
        <v>30.238439306358384</v>
      </c>
      <c r="G8" s="6">
        <v>1</v>
      </c>
      <c r="I8" s="2">
        <f>(0.5/0.719)*D8</f>
        <v>1.9248956884561892</v>
      </c>
      <c r="J8" s="2">
        <f>(0.5/0.719)*E8</f>
        <v>0.5820584144645341</v>
      </c>
      <c r="L8" s="9" t="s">
        <v>113</v>
      </c>
      <c r="M8" t="s">
        <v>182</v>
      </c>
    </row>
    <row r="9" spans="1:13" x14ac:dyDescent="0.2">
      <c r="B9">
        <v>5</v>
      </c>
      <c r="C9">
        <v>5</v>
      </c>
      <c r="D9" s="2">
        <v>1.4790000000000001</v>
      </c>
      <c r="E9" s="2">
        <f>0.179+0.073+0.197</f>
        <v>0.44900000000000001</v>
      </c>
      <c r="F9" s="2">
        <f>100*E9/D9</f>
        <v>30.35835023664638</v>
      </c>
      <c r="G9" s="6">
        <v>1</v>
      </c>
      <c r="I9" s="2">
        <f>(0.5/0.719)*D9</f>
        <v>1.0285118219749654</v>
      </c>
      <c r="J9" s="2">
        <f>(0.5/0.719)*E9</f>
        <v>0.31223922114047292</v>
      </c>
      <c r="L9" s="9" t="s">
        <v>96</v>
      </c>
      <c r="M9" t="s">
        <v>181</v>
      </c>
    </row>
    <row r="10" spans="1:13" x14ac:dyDescent="0.2">
      <c r="B10">
        <v>6</v>
      </c>
      <c r="C10">
        <v>6</v>
      </c>
      <c r="D10" s="2">
        <v>3.512</v>
      </c>
      <c r="E10" s="2">
        <f>0.458+0.447+0.258</f>
        <v>1.163</v>
      </c>
      <c r="F10" s="2">
        <f>100*E10/D10</f>
        <v>33.115034168564918</v>
      </c>
      <c r="G10" s="6">
        <v>1</v>
      </c>
      <c r="I10" s="2">
        <f>(0.5/0.719)*D10</f>
        <v>2.4422809457579975</v>
      </c>
      <c r="J10" s="2">
        <f>(0.5/0.719)*E10</f>
        <v>0.80876216968011139</v>
      </c>
    </row>
    <row r="11" spans="1:13" x14ac:dyDescent="0.2">
      <c r="A11" t="s">
        <v>158</v>
      </c>
      <c r="B11">
        <v>7</v>
      </c>
      <c r="C11">
        <v>1</v>
      </c>
      <c r="D11" s="2">
        <v>7.7720000000000002</v>
      </c>
      <c r="E11" s="2">
        <f>0.127+0.244+0.92+0.656+0.518+0.423</f>
        <v>2.8879999999999999</v>
      </c>
      <c r="F11" s="2">
        <f>100*E11/D11</f>
        <v>37.159032424086462</v>
      </c>
      <c r="G11" s="6">
        <v>1</v>
      </c>
      <c r="H11" s="2">
        <v>1</v>
      </c>
      <c r="I11" s="2">
        <f>(0.5/0.719)*D11</f>
        <v>5.404728789986093</v>
      </c>
      <c r="J11" s="2">
        <f>(0.5/0.719)*E11</f>
        <v>2.0083449235048678</v>
      </c>
    </row>
    <row r="12" spans="1:13" x14ac:dyDescent="0.2">
      <c r="B12">
        <v>8</v>
      </c>
      <c r="C12">
        <v>2</v>
      </c>
      <c r="D12" s="2">
        <v>1.599</v>
      </c>
      <c r="E12" s="2">
        <v>0.39900000000000002</v>
      </c>
      <c r="F12" s="2">
        <f>100*E12/D12</f>
        <v>24.953095684803007</v>
      </c>
      <c r="G12" s="6">
        <v>1</v>
      </c>
      <c r="I12" s="2">
        <f>(0.5/0.719)*D12</f>
        <v>1.111961057023644</v>
      </c>
      <c r="J12" s="2">
        <f>(0.5/0.719)*E12</f>
        <v>0.27746870653685679</v>
      </c>
    </row>
    <row r="13" spans="1:13" x14ac:dyDescent="0.2">
      <c r="B13">
        <v>9</v>
      </c>
      <c r="C13">
        <v>3</v>
      </c>
      <c r="D13" s="2">
        <v>2.0590000000000002</v>
      </c>
      <c r="E13" s="2">
        <f>0.275+0.465+0.143</f>
        <v>0.88300000000000001</v>
      </c>
      <c r="F13" s="2">
        <f>100*E13/D13</f>
        <v>42.884895580378817</v>
      </c>
      <c r="G13" s="6">
        <v>1</v>
      </c>
      <c r="I13" s="2">
        <f>(0.5/0.719)*D13</f>
        <v>1.4318497913769126</v>
      </c>
      <c r="J13" s="2">
        <f>(0.5/0.719)*E13</f>
        <v>0.61404728789986096</v>
      </c>
    </row>
    <row r="14" spans="1:13" x14ac:dyDescent="0.2">
      <c r="B14">
        <v>10</v>
      </c>
      <c r="C14">
        <v>4</v>
      </c>
      <c r="D14" s="2">
        <v>1.526</v>
      </c>
      <c r="E14" s="2">
        <f>0.245+0.286+0.124</f>
        <v>0.65499999999999992</v>
      </c>
      <c r="F14" s="2">
        <f>100*E14/D14</f>
        <v>42.922673656618599</v>
      </c>
      <c r="G14" s="6">
        <v>1</v>
      </c>
      <c r="I14" s="2">
        <f>(0.5/0.719)*D14</f>
        <v>1.0611961057023644</v>
      </c>
      <c r="J14" s="2">
        <f>(0.5/0.719)*E14</f>
        <v>0.45549374130737136</v>
      </c>
    </row>
    <row r="15" spans="1:13" x14ac:dyDescent="0.2">
      <c r="B15">
        <v>11</v>
      </c>
      <c r="C15">
        <v>5</v>
      </c>
      <c r="D15" s="2">
        <v>0.98199999999999998</v>
      </c>
      <c r="E15" s="2">
        <f>0.323+0.155</f>
        <v>0.47799999999999998</v>
      </c>
      <c r="F15" s="2">
        <f>100*E15/D15</f>
        <v>48.676171079429736</v>
      </c>
      <c r="G15" s="6">
        <v>1</v>
      </c>
      <c r="I15" s="2">
        <f>(0.5/0.719)*D15</f>
        <v>0.68289290681502091</v>
      </c>
      <c r="J15" s="2">
        <f>(0.5/0.719)*E15</f>
        <v>0.33240611961057026</v>
      </c>
    </row>
    <row r="16" spans="1:13" x14ac:dyDescent="0.2">
      <c r="B16">
        <v>12</v>
      </c>
      <c r="C16">
        <v>6</v>
      </c>
      <c r="D16" s="2">
        <v>2.6989999999999998</v>
      </c>
      <c r="E16" s="2">
        <f>0.466+0.163</f>
        <v>0.629</v>
      </c>
      <c r="F16" s="2">
        <f>100*E16/D16</f>
        <v>23.304927751018898</v>
      </c>
      <c r="G16" s="6">
        <v>1</v>
      </c>
      <c r="I16" s="2">
        <f>(0.5/0.719)*D16</f>
        <v>1.8769123783031989</v>
      </c>
      <c r="J16" s="2">
        <f>(0.5/0.719)*E16</f>
        <v>0.43741307371349103</v>
      </c>
    </row>
    <row r="17" spans="1:10" x14ac:dyDescent="0.2">
      <c r="B17">
        <v>13</v>
      </c>
      <c r="C17">
        <v>7</v>
      </c>
      <c r="D17" s="2">
        <v>2.98</v>
      </c>
      <c r="E17" s="2">
        <f>0.193+0.23+0.27+0.33</f>
        <v>1.0230000000000001</v>
      </c>
      <c r="F17" s="2">
        <f>100*E17/D17</f>
        <v>34.328859060402685</v>
      </c>
      <c r="G17" s="6">
        <v>1</v>
      </c>
      <c r="I17" s="2">
        <f>(0.5/0.719)*D17</f>
        <v>2.072322670375522</v>
      </c>
      <c r="J17" s="2">
        <f>(0.5/0.719)*E17</f>
        <v>0.71140472878998628</v>
      </c>
    </row>
    <row r="18" spans="1:10" x14ac:dyDescent="0.2">
      <c r="B18">
        <v>14</v>
      </c>
      <c r="C18">
        <v>8</v>
      </c>
      <c r="D18" s="2">
        <v>1.1539999999999999</v>
      </c>
      <c r="E18" s="2">
        <v>0.57599999999999996</v>
      </c>
      <c r="F18" s="2">
        <f>100*E18/D18</f>
        <v>49.913344887348352</v>
      </c>
      <c r="G18" s="6">
        <v>1</v>
      </c>
      <c r="I18" s="2">
        <f>(0.5/0.719)*D18</f>
        <v>0.80250347705146041</v>
      </c>
      <c r="J18" s="2">
        <f>(0.5/0.719)*E18</f>
        <v>0.40055632823365789</v>
      </c>
    </row>
    <row r="19" spans="1:10" x14ac:dyDescent="0.2">
      <c r="B19">
        <v>15</v>
      </c>
      <c r="C19">
        <v>9</v>
      </c>
      <c r="D19" s="2">
        <v>2.4649999999999999</v>
      </c>
      <c r="E19" s="2">
        <v>0.28699999999999998</v>
      </c>
      <c r="F19" s="2">
        <f>100*E19/D19</f>
        <v>11.643002028397566</v>
      </c>
      <c r="G19" s="6">
        <v>1</v>
      </c>
      <c r="I19" s="2">
        <f>(0.5/0.719)*D19</f>
        <v>1.7141863699582756</v>
      </c>
      <c r="J19" s="2">
        <f>(0.5/0.719)*E19</f>
        <v>0.19958275382475663</v>
      </c>
    </row>
    <row r="20" spans="1:10" x14ac:dyDescent="0.2">
      <c r="B20">
        <v>16</v>
      </c>
      <c r="C20">
        <v>10</v>
      </c>
      <c r="D20" s="2">
        <v>2.2829999999999999</v>
      </c>
      <c r="E20" s="2">
        <f>0.25+0.684</f>
        <v>0.93400000000000005</v>
      </c>
      <c r="F20" s="2">
        <f>100*E20/D20</f>
        <v>40.911081909767852</v>
      </c>
      <c r="G20" s="6">
        <v>1</v>
      </c>
      <c r="I20" s="2">
        <f>(0.5/0.719)*D20</f>
        <v>1.5876216968011128</v>
      </c>
      <c r="J20" s="2">
        <f>(0.5/0.719)*E20</f>
        <v>0.64951321279554952</v>
      </c>
    </row>
    <row r="21" spans="1:10" x14ac:dyDescent="0.2">
      <c r="B21">
        <v>17</v>
      </c>
      <c r="C21">
        <v>11</v>
      </c>
      <c r="D21" s="2">
        <v>1.984</v>
      </c>
      <c r="E21" s="2">
        <f>0.232+0.072</f>
        <v>0.30399999999999999</v>
      </c>
      <c r="F21" s="2">
        <f>100*E21/D21</f>
        <v>15.32258064516129</v>
      </c>
      <c r="G21" s="6">
        <v>1</v>
      </c>
      <c r="I21" s="2">
        <f>(0.5/0.719)*D21</f>
        <v>1.3796940194714884</v>
      </c>
      <c r="J21" s="2">
        <f>(0.5/0.719)*E21</f>
        <v>0.21140472878998612</v>
      </c>
    </row>
    <row r="22" spans="1:10" x14ac:dyDescent="0.2">
      <c r="B22">
        <v>18</v>
      </c>
      <c r="C22">
        <v>12</v>
      </c>
      <c r="D22" s="2">
        <v>2.4369999999999998</v>
      </c>
      <c r="E22" s="2">
        <f>0.165+0.838</f>
        <v>1.0029999999999999</v>
      </c>
      <c r="F22" s="2">
        <f>100*E22/D22</f>
        <v>41.157160443167825</v>
      </c>
      <c r="G22" s="6">
        <v>1</v>
      </c>
      <c r="I22" s="2">
        <f>(0.5/0.719)*D22</f>
        <v>1.6947148817802504</v>
      </c>
      <c r="J22" s="2">
        <f>(0.5/0.719)*E22</f>
        <v>0.69749652294853959</v>
      </c>
    </row>
    <row r="23" spans="1:10" x14ac:dyDescent="0.2">
      <c r="B23">
        <v>19</v>
      </c>
      <c r="C23">
        <v>13</v>
      </c>
      <c r="D23" s="2">
        <v>5.4329999999999998</v>
      </c>
      <c r="E23" s="2">
        <f>0.5+0.16</f>
        <v>0.66</v>
      </c>
      <c r="F23" s="2">
        <f>100*E23/D23</f>
        <v>12.147984538928769</v>
      </c>
      <c r="G23" s="6">
        <v>1</v>
      </c>
      <c r="I23" s="2">
        <f>(0.5/0.719)*D23</f>
        <v>3.7781641168289295</v>
      </c>
      <c r="J23" s="2">
        <f>(0.5/0.719)*E23</f>
        <v>0.45897079276773306</v>
      </c>
    </row>
    <row r="24" spans="1:10" x14ac:dyDescent="0.2">
      <c r="A24" t="s">
        <v>157</v>
      </c>
      <c r="B24">
        <v>20</v>
      </c>
      <c r="C24">
        <v>1</v>
      </c>
      <c r="D24" s="2">
        <v>1.4790000000000001</v>
      </c>
      <c r="E24" s="2">
        <v>0.16500000000000001</v>
      </c>
      <c r="F24" s="2">
        <f>100*E24/D24</f>
        <v>11.156186612576064</v>
      </c>
      <c r="G24" s="6">
        <v>1</v>
      </c>
      <c r="H24" s="2">
        <v>1</v>
      </c>
      <c r="I24" s="2">
        <f>(0.5/0.719)*D24</f>
        <v>1.0285118219749654</v>
      </c>
      <c r="J24" s="2">
        <f>(0.5/0.719)*E24</f>
        <v>0.11474269819193327</v>
      </c>
    </row>
    <row r="25" spans="1:10" x14ac:dyDescent="0.2">
      <c r="B25">
        <v>21</v>
      </c>
      <c r="C25">
        <v>2</v>
      </c>
      <c r="D25" s="2">
        <v>2.5499999999999998</v>
      </c>
      <c r="E25" s="2">
        <f>0.125+1.188+0.055</f>
        <v>1.3679999999999999</v>
      </c>
      <c r="F25" s="2">
        <f>100*E25/D25</f>
        <v>53.647058823529406</v>
      </c>
      <c r="G25" s="6">
        <v>1</v>
      </c>
      <c r="I25" s="2">
        <f>(0.5/0.719)*D25</f>
        <v>1.7732962447844229</v>
      </c>
      <c r="J25" s="2">
        <f>(0.5/0.719)*E25</f>
        <v>0.95132127955493739</v>
      </c>
    </row>
    <row r="26" spans="1:10" x14ac:dyDescent="0.2">
      <c r="B26">
        <v>22</v>
      </c>
      <c r="C26">
        <v>3</v>
      </c>
      <c r="D26" s="2">
        <v>1.996</v>
      </c>
      <c r="E26" s="2">
        <f>0.089+0.111</f>
        <v>0.2</v>
      </c>
      <c r="F26" s="2">
        <f>100*E26/D26</f>
        <v>10.020040080160321</v>
      </c>
      <c r="G26" s="6">
        <v>1</v>
      </c>
      <c r="I26" s="2">
        <f>(0.5/0.719)*D26</f>
        <v>1.3880389429763562</v>
      </c>
      <c r="J26" s="2">
        <f>(0.5/0.719)*E26</f>
        <v>0.13908205841446455</v>
      </c>
    </row>
    <row r="27" spans="1:10" x14ac:dyDescent="0.2">
      <c r="B27">
        <v>23</v>
      </c>
      <c r="C27">
        <v>4</v>
      </c>
      <c r="D27" s="2">
        <v>1.966</v>
      </c>
      <c r="E27" s="2">
        <v>0.98899999999999999</v>
      </c>
      <c r="F27" s="2">
        <f>100*E27/D27</f>
        <v>50.305188199389626</v>
      </c>
      <c r="G27" s="6">
        <v>1</v>
      </c>
      <c r="I27" s="2">
        <f>(0.5/0.719)*D27</f>
        <v>1.3671766342141864</v>
      </c>
      <c r="J27" s="2">
        <f>(0.5/0.719)*E27</f>
        <v>0.68776077885952713</v>
      </c>
    </row>
    <row r="28" spans="1:10" x14ac:dyDescent="0.2">
      <c r="B28">
        <v>24</v>
      </c>
      <c r="C28">
        <v>5</v>
      </c>
      <c r="D28" s="2">
        <v>3.2210000000000001</v>
      </c>
      <c r="E28" s="2">
        <f>0.147+0.575</f>
        <v>0.72199999999999998</v>
      </c>
      <c r="F28" s="2">
        <f>100*E28/D28</f>
        <v>22.415398944427196</v>
      </c>
      <c r="G28" s="6">
        <v>1</v>
      </c>
      <c r="I28" s="2">
        <f>(0.5/0.719)*D28</f>
        <v>2.2399165507649514</v>
      </c>
      <c r="J28" s="2">
        <f>(0.5/0.719)*E28</f>
        <v>0.50208623087621695</v>
      </c>
    </row>
    <row r="29" spans="1:10" x14ac:dyDescent="0.2">
      <c r="A29" t="s">
        <v>156</v>
      </c>
      <c r="B29">
        <v>25</v>
      </c>
      <c r="C29">
        <v>1</v>
      </c>
      <c r="D29" s="2">
        <v>2.38</v>
      </c>
      <c r="E29" s="2">
        <f>1.077+0.112</f>
        <v>1.1890000000000001</v>
      </c>
      <c r="F29" s="2">
        <f>100*E29/D29</f>
        <v>49.957983193277315</v>
      </c>
      <c r="G29" s="6">
        <v>1</v>
      </c>
      <c r="H29" s="2">
        <v>1</v>
      </c>
      <c r="I29" s="2">
        <f>(0.5/0.719)*D29</f>
        <v>1.655076495132128</v>
      </c>
      <c r="J29" s="2">
        <f>(0.5/0.719)*E29</f>
        <v>0.82684283727399177</v>
      </c>
    </row>
    <row r="30" spans="1:10" x14ac:dyDescent="0.2">
      <c r="B30">
        <v>26</v>
      </c>
      <c r="C30">
        <v>2</v>
      </c>
      <c r="D30" s="2">
        <v>1.49</v>
      </c>
      <c r="E30" s="2">
        <v>0.27</v>
      </c>
      <c r="F30" s="2">
        <f>100*E30/D30</f>
        <v>18.120805369127517</v>
      </c>
      <c r="G30" s="6">
        <v>1</v>
      </c>
      <c r="I30" s="2">
        <f>(0.5/0.719)*D30</f>
        <v>1.036161335187761</v>
      </c>
      <c r="J30" s="2">
        <f>(0.5/0.719)*E30</f>
        <v>0.18776077885952716</v>
      </c>
    </row>
    <row r="31" spans="1:10" x14ac:dyDescent="0.2">
      <c r="B31">
        <v>27</v>
      </c>
      <c r="C31">
        <v>3</v>
      </c>
      <c r="D31" s="2">
        <v>1.9319999999999999</v>
      </c>
      <c r="E31" s="2">
        <f>0.272+0.217</f>
        <v>0.48899999999999999</v>
      </c>
      <c r="F31" s="2">
        <f>100*E31/D31</f>
        <v>25.310559006211179</v>
      </c>
      <c r="G31" s="6">
        <v>1</v>
      </c>
      <c r="I31" s="2">
        <f>(0.5/0.719)*D31</f>
        <v>1.3435326842837274</v>
      </c>
      <c r="J31" s="2">
        <f>(0.5/0.719)*E31</f>
        <v>0.34005563282336582</v>
      </c>
    </row>
    <row r="32" spans="1:10" x14ac:dyDescent="0.2">
      <c r="B32">
        <v>28</v>
      </c>
      <c r="C32">
        <v>4</v>
      </c>
      <c r="D32" s="2">
        <v>1.7270000000000001</v>
      </c>
      <c r="E32" s="2">
        <v>1.0049999999999999</v>
      </c>
      <c r="F32" s="2">
        <f>100*E32/D32</f>
        <v>58.193398957730153</v>
      </c>
      <c r="G32" s="6">
        <v>1</v>
      </c>
      <c r="I32" s="2">
        <f>(0.5/0.719)*D32</f>
        <v>1.2009735744089014</v>
      </c>
      <c r="J32" s="2">
        <f>(0.5/0.719)*E32</f>
        <v>0.69888734353268434</v>
      </c>
    </row>
    <row r="33" spans="1:10" x14ac:dyDescent="0.2">
      <c r="A33" t="s">
        <v>155</v>
      </c>
      <c r="B33">
        <v>29</v>
      </c>
      <c r="C33">
        <v>1</v>
      </c>
      <c r="D33" s="2">
        <v>0.79300000000000004</v>
      </c>
      <c r="E33" s="2">
        <v>0.48199999999999998</v>
      </c>
      <c r="F33" s="2">
        <f>100*E33/D33</f>
        <v>60.781841109709951</v>
      </c>
      <c r="G33" s="6">
        <v>1</v>
      </c>
      <c r="H33" s="2">
        <v>1</v>
      </c>
      <c r="I33" s="2">
        <f>(0.5/0.719)*D33</f>
        <v>0.55146036161335199</v>
      </c>
      <c r="J33" s="2">
        <f>(0.5/0.719)*E33</f>
        <v>0.33518776077885953</v>
      </c>
    </row>
    <row r="34" spans="1:10" x14ac:dyDescent="0.2">
      <c r="B34">
        <v>30</v>
      </c>
      <c r="C34">
        <v>2</v>
      </c>
      <c r="D34" s="2">
        <v>0.67300000000000004</v>
      </c>
      <c r="E34" s="2">
        <f>0.11+0.212</f>
        <v>0.32200000000000001</v>
      </c>
      <c r="F34" s="2">
        <f>100*E34/D34</f>
        <v>47.845468053491828</v>
      </c>
      <c r="G34" s="6">
        <v>1</v>
      </c>
      <c r="I34" s="2">
        <f>(0.5/0.719)*D34</f>
        <v>0.46801112656467325</v>
      </c>
      <c r="J34" s="2">
        <f>(0.5/0.719)*E34</f>
        <v>0.22392211404728793</v>
      </c>
    </row>
    <row r="35" spans="1:10" x14ac:dyDescent="0.2">
      <c r="B35">
        <v>31</v>
      </c>
      <c r="C35">
        <v>3</v>
      </c>
      <c r="D35" s="2">
        <v>3.625</v>
      </c>
      <c r="E35" s="2">
        <f>0.294+1.068+0.194</f>
        <v>1.556</v>
      </c>
      <c r="F35" s="2">
        <f>100*E35/D35</f>
        <v>42.92413793103448</v>
      </c>
      <c r="G35" s="6">
        <v>1</v>
      </c>
      <c r="I35" s="2">
        <f>(0.5/0.719)*D35</f>
        <v>2.5208623087621698</v>
      </c>
      <c r="J35" s="2">
        <f>(0.5/0.719)*E35</f>
        <v>1.0820584144645342</v>
      </c>
    </row>
    <row r="36" spans="1:10" x14ac:dyDescent="0.2">
      <c r="B36">
        <v>32</v>
      </c>
      <c r="C36">
        <v>4</v>
      </c>
      <c r="D36" s="2">
        <v>1.5389999999999999</v>
      </c>
      <c r="E36" s="2">
        <f>0.093+0.339</f>
        <v>0.43200000000000005</v>
      </c>
      <c r="F36" s="2">
        <f>100*E36/D36</f>
        <v>28.070175438596493</v>
      </c>
      <c r="G36" s="6">
        <v>1</v>
      </c>
      <c r="I36" s="2">
        <f>(0.5/0.719)*D36</f>
        <v>1.0702364394993047</v>
      </c>
      <c r="J36" s="2">
        <f>(0.5/0.719)*E36</f>
        <v>0.30041724617524346</v>
      </c>
    </row>
    <row r="37" spans="1:10" x14ac:dyDescent="0.2">
      <c r="B37">
        <v>33</v>
      </c>
      <c r="C37">
        <v>5</v>
      </c>
      <c r="D37" s="2">
        <v>2.609</v>
      </c>
      <c r="E37" s="2">
        <v>0.60399999999999998</v>
      </c>
      <c r="F37" s="2">
        <f>100*E37/D37</f>
        <v>23.150632426216941</v>
      </c>
      <c r="G37" s="6">
        <v>1</v>
      </c>
      <c r="I37" s="2">
        <f>(0.5/0.719)*D37</f>
        <v>1.81432545201669</v>
      </c>
      <c r="J37" s="2">
        <f>(0.5/0.719)*E37</f>
        <v>0.42002781641168291</v>
      </c>
    </row>
    <row r="38" spans="1:10" x14ac:dyDescent="0.2">
      <c r="B38">
        <v>34</v>
      </c>
      <c r="C38">
        <v>6</v>
      </c>
      <c r="D38" s="2">
        <v>3.0379999999999998</v>
      </c>
      <c r="E38" s="2">
        <f>0.371+0.162+0.163</f>
        <v>0.69600000000000006</v>
      </c>
      <c r="F38" s="2">
        <f>100*E38/D38</f>
        <v>22.909809084924298</v>
      </c>
      <c r="G38" s="6">
        <v>1</v>
      </c>
      <c r="I38" s="2">
        <f>(0.5/0.719)*D38</f>
        <v>2.1126564673157162</v>
      </c>
      <c r="J38" s="2">
        <f>(0.5/0.719)*E38</f>
        <v>0.48400556328233668</v>
      </c>
    </row>
    <row r="39" spans="1:10" x14ac:dyDescent="0.2">
      <c r="A39" t="s">
        <v>154</v>
      </c>
      <c r="B39">
        <v>35</v>
      </c>
      <c r="C39">
        <v>1</v>
      </c>
      <c r="D39" s="2">
        <v>2.5009999999999999</v>
      </c>
      <c r="E39" s="2">
        <f>0.395+0.148</f>
        <v>0.54300000000000004</v>
      </c>
      <c r="F39" s="2">
        <f>100*E39/D39</f>
        <v>21.71131547381048</v>
      </c>
      <c r="G39" s="6">
        <v>1</v>
      </c>
      <c r="H39" s="2">
        <v>1</v>
      </c>
      <c r="I39" s="2">
        <f>(0.5/0.719)*D39</f>
        <v>1.739221140472879</v>
      </c>
      <c r="J39" s="2">
        <f>(0.5/0.719)*E39</f>
        <v>0.37760778859527128</v>
      </c>
    </row>
    <row r="40" spans="1:10" x14ac:dyDescent="0.2">
      <c r="B40">
        <v>36</v>
      </c>
      <c r="C40">
        <v>2</v>
      </c>
      <c r="D40" s="2">
        <v>4.7469999999999999</v>
      </c>
      <c r="E40" s="2">
        <f>1.09+0.16</f>
        <v>1.25</v>
      </c>
      <c r="F40" s="2">
        <f>100*E40/D40</f>
        <v>26.332420476090164</v>
      </c>
      <c r="G40" s="6">
        <v>1</v>
      </c>
      <c r="I40" s="2">
        <f>(0.5/0.719)*D40</f>
        <v>3.3011126564673159</v>
      </c>
      <c r="J40" s="2">
        <f>(0.5/0.719)*E40</f>
        <v>0.8692628650904034</v>
      </c>
    </row>
    <row r="41" spans="1:10" x14ac:dyDescent="0.2">
      <c r="B41">
        <v>37</v>
      </c>
      <c r="C41">
        <v>3</v>
      </c>
      <c r="D41" s="2">
        <v>0.78100000000000003</v>
      </c>
      <c r="E41" s="2">
        <f>0.139+0.108</f>
        <v>0.247</v>
      </c>
      <c r="F41" s="2">
        <f>100*E41/D41</f>
        <v>31.626120358514722</v>
      </c>
      <c r="G41" s="6">
        <v>1</v>
      </c>
      <c r="I41" s="2">
        <f>(0.5/0.719)*D41</f>
        <v>0.54311543810848406</v>
      </c>
      <c r="J41" s="2">
        <f>(0.5/0.719)*E41</f>
        <v>0.1717663421418637</v>
      </c>
    </row>
    <row r="42" spans="1:10" x14ac:dyDescent="0.2">
      <c r="B42">
        <v>38</v>
      </c>
      <c r="C42">
        <v>4</v>
      </c>
      <c r="D42" s="2">
        <v>1.988</v>
      </c>
      <c r="E42" s="2">
        <f>0.34</f>
        <v>0.34</v>
      </c>
      <c r="F42" s="2">
        <f>100*E42/D42</f>
        <v>17.102615694164989</v>
      </c>
      <c r="G42" s="6">
        <v>1</v>
      </c>
      <c r="I42" s="2">
        <f>(0.5/0.719)*D42</f>
        <v>1.3824756606397777</v>
      </c>
      <c r="J42" s="2">
        <f>(0.5/0.719)*E42</f>
        <v>0.23643949930458974</v>
      </c>
    </row>
    <row r="43" spans="1:10" x14ac:dyDescent="0.2">
      <c r="B43">
        <v>39</v>
      </c>
      <c r="C43">
        <v>5</v>
      </c>
      <c r="D43" s="2">
        <v>1.7210000000000001</v>
      </c>
      <c r="E43" s="2">
        <f>0.259+0.184</f>
        <v>0.443</v>
      </c>
      <c r="F43" s="2">
        <f>100*E43/D43</f>
        <v>25.740848343986052</v>
      </c>
      <c r="G43" s="6">
        <v>1</v>
      </c>
      <c r="I43" s="2">
        <f>(0.5/0.719)*D43</f>
        <v>1.1968011126564675</v>
      </c>
      <c r="J43" s="2">
        <f>(0.5/0.719)*E43</f>
        <v>0.30806675938803896</v>
      </c>
    </row>
    <row r="44" spans="1:10" x14ac:dyDescent="0.2">
      <c r="B44">
        <v>40</v>
      </c>
      <c r="C44">
        <v>6</v>
      </c>
      <c r="D44" s="2">
        <v>1.1859999999999999</v>
      </c>
      <c r="E44" s="2">
        <f>0.538+0.289</f>
        <v>0.82699999999999996</v>
      </c>
      <c r="F44" s="2">
        <f>100*E44/D44</f>
        <v>69.730185497470487</v>
      </c>
      <c r="G44" s="6">
        <v>1</v>
      </c>
      <c r="I44" s="2">
        <f>(0.5/0.719)*D44</f>
        <v>0.82475660639777471</v>
      </c>
      <c r="J44" s="2">
        <f>(0.5/0.719)*E44</f>
        <v>0.57510431154381092</v>
      </c>
    </row>
    <row r="45" spans="1:10" x14ac:dyDescent="0.2">
      <c r="A45" t="s">
        <v>153</v>
      </c>
      <c r="B45">
        <v>41</v>
      </c>
      <c r="C45">
        <v>1</v>
      </c>
      <c r="D45" s="2">
        <v>2.2810000000000001</v>
      </c>
      <c r="E45" s="2">
        <f>0.206+0.402</f>
        <v>0.60799999999999998</v>
      </c>
      <c r="F45" s="2">
        <f>100*E45/D45</f>
        <v>26.654975887768519</v>
      </c>
      <c r="G45" s="6">
        <v>1</v>
      </c>
      <c r="H45" s="2">
        <v>1</v>
      </c>
      <c r="I45" s="2">
        <f>(0.5/0.719)*D45</f>
        <v>1.5862308762169683</v>
      </c>
      <c r="J45" s="2">
        <f>(0.5/0.719)*E45</f>
        <v>0.42280945757997224</v>
      </c>
    </row>
    <row r="46" spans="1:10" x14ac:dyDescent="0.2">
      <c r="B46">
        <v>42</v>
      </c>
      <c r="C46">
        <v>2</v>
      </c>
      <c r="D46" s="2">
        <v>1.8480000000000001</v>
      </c>
      <c r="E46" s="2">
        <f>0.58+0.132</f>
        <v>0.71199999999999997</v>
      </c>
      <c r="F46" s="2">
        <f>100*E46/D46</f>
        <v>38.528138528138527</v>
      </c>
      <c r="G46" s="6">
        <v>1</v>
      </c>
      <c r="I46" s="2">
        <f>(0.5/0.719)*D46</f>
        <v>1.2851182197496525</v>
      </c>
      <c r="J46" s="2">
        <f>(0.5/0.719)*E46</f>
        <v>0.49513212795549377</v>
      </c>
    </row>
    <row r="47" spans="1:10" x14ac:dyDescent="0.2">
      <c r="B47">
        <v>43</v>
      </c>
      <c r="C47">
        <v>3</v>
      </c>
      <c r="D47" s="2">
        <v>2.5579999999999998</v>
      </c>
      <c r="E47" s="2">
        <f>0.217+0.177</f>
        <v>0.39400000000000002</v>
      </c>
      <c r="F47" s="2">
        <f>100*E47/D47</f>
        <v>15.402658326817827</v>
      </c>
      <c r="G47" s="6">
        <v>1</v>
      </c>
      <c r="I47" s="2">
        <f>(0.5/0.719)*D47</f>
        <v>1.7788595271210015</v>
      </c>
      <c r="J47" s="2">
        <f>(0.5/0.719)*E47</f>
        <v>0.2739916550764952</v>
      </c>
    </row>
    <row r="48" spans="1:10" x14ac:dyDescent="0.2">
      <c r="B48">
        <v>44</v>
      </c>
      <c r="C48">
        <v>4</v>
      </c>
      <c r="D48" s="2">
        <v>1.915</v>
      </c>
      <c r="E48" s="2">
        <f>0.411+0.17</f>
        <v>0.58099999999999996</v>
      </c>
      <c r="F48" s="2">
        <f>100*E48/D48</f>
        <v>30.33942558746736</v>
      </c>
      <c r="G48" s="6">
        <v>1</v>
      </c>
      <c r="I48" s="2">
        <f>(0.5/0.719)*D48</f>
        <v>1.3317107093184981</v>
      </c>
      <c r="J48" s="2">
        <f>(0.5/0.719)*E48</f>
        <v>0.40403337969401948</v>
      </c>
    </row>
    <row r="49" spans="1:10" x14ac:dyDescent="0.2">
      <c r="B49">
        <v>45</v>
      </c>
      <c r="C49">
        <v>5</v>
      </c>
      <c r="D49" s="2">
        <v>4.1539999999999999</v>
      </c>
      <c r="E49" s="2">
        <f>1.658+0.173+0.327</f>
        <v>2.1579999999999999</v>
      </c>
      <c r="F49" s="2">
        <f>100*E49/D49</f>
        <v>51.949927780452576</v>
      </c>
      <c r="G49" s="6">
        <v>1</v>
      </c>
      <c r="I49" s="2">
        <f>(0.5/0.719)*D49</f>
        <v>2.8887343532684286</v>
      </c>
      <c r="J49" s="2">
        <f>(0.5/0.719)*E49</f>
        <v>1.5006954102920724</v>
      </c>
    </row>
    <row r="50" spans="1:10" x14ac:dyDescent="0.2">
      <c r="B50">
        <v>46</v>
      </c>
      <c r="C50">
        <v>6</v>
      </c>
      <c r="D50" s="2">
        <v>1.22</v>
      </c>
      <c r="E50" s="2">
        <f>0.708+0.102</f>
        <v>0.80999999999999994</v>
      </c>
      <c r="F50" s="2">
        <f>100*E50/D50</f>
        <v>66.393442622950815</v>
      </c>
      <c r="G50" s="6">
        <v>1</v>
      </c>
      <c r="I50" s="2">
        <f>(0.5/0.719)*D50</f>
        <v>0.84840055632823375</v>
      </c>
      <c r="J50" s="2">
        <f>(0.5/0.719)*E50</f>
        <v>0.5632823365785814</v>
      </c>
    </row>
    <row r="51" spans="1:10" x14ac:dyDescent="0.2">
      <c r="B51">
        <v>47</v>
      </c>
      <c r="C51">
        <v>7</v>
      </c>
      <c r="D51" s="2">
        <v>1.87</v>
      </c>
      <c r="E51" s="2">
        <v>0.25</v>
      </c>
      <c r="F51" s="2">
        <f>100*E51/D51</f>
        <v>13.36898395721925</v>
      </c>
      <c r="G51" s="6">
        <v>1</v>
      </c>
      <c r="I51" s="2">
        <f>(0.5/0.719)*D51</f>
        <v>1.3004172461752437</v>
      </c>
      <c r="J51" s="2">
        <f>(0.5/0.719)*E51</f>
        <v>0.17385257301808069</v>
      </c>
    </row>
    <row r="52" spans="1:10" x14ac:dyDescent="0.2">
      <c r="B52">
        <v>48</v>
      </c>
      <c r="C52">
        <v>8</v>
      </c>
      <c r="D52" s="2">
        <v>4.1420000000000003</v>
      </c>
      <c r="E52" s="2">
        <v>1.5509999999999999</v>
      </c>
      <c r="F52" s="2">
        <f>100*E52/D52</f>
        <v>37.445678416224041</v>
      </c>
      <c r="G52" s="6">
        <v>1</v>
      </c>
      <c r="I52" s="2">
        <f>(0.5/0.719)*D52</f>
        <v>2.8803894297635613</v>
      </c>
      <c r="J52" s="2">
        <f>(0.5/0.719)*E52</f>
        <v>1.0785813630041725</v>
      </c>
    </row>
    <row r="53" spans="1:10" x14ac:dyDescent="0.2">
      <c r="B53">
        <v>49</v>
      </c>
      <c r="C53">
        <v>9</v>
      </c>
      <c r="D53" s="2">
        <v>1.5149999999999999</v>
      </c>
      <c r="E53" s="2">
        <v>0.13200000000000001</v>
      </c>
      <c r="F53" s="2">
        <f>100*E53/D53</f>
        <v>8.7128712871287135</v>
      </c>
      <c r="G53" s="6">
        <v>1</v>
      </c>
      <c r="I53" s="2">
        <f>(0.5/0.719)*D53</f>
        <v>1.0535465924895688</v>
      </c>
      <c r="J53" s="2">
        <f>(0.5/0.719)*E53</f>
        <v>9.1794158553546612E-2</v>
      </c>
    </row>
    <row r="54" spans="1:10" x14ac:dyDescent="0.2">
      <c r="A54" t="s">
        <v>152</v>
      </c>
      <c r="B54">
        <v>50</v>
      </c>
      <c r="C54">
        <v>1</v>
      </c>
      <c r="D54" s="2">
        <v>1.1180000000000001</v>
      </c>
      <c r="E54" s="2">
        <f>0.21+0.134</f>
        <v>0.34399999999999997</v>
      </c>
      <c r="F54" s="2">
        <f>100*E54/D54</f>
        <v>30.769230769230766</v>
      </c>
      <c r="G54" s="6">
        <v>1</v>
      </c>
      <c r="H54" s="2">
        <v>1</v>
      </c>
      <c r="I54" s="2">
        <f>(0.5/0.719)*D54</f>
        <v>0.77746870653685685</v>
      </c>
      <c r="J54" s="2">
        <f>(0.5/0.719)*E54</f>
        <v>0.23922114047287901</v>
      </c>
    </row>
    <row r="55" spans="1:10" x14ac:dyDescent="0.2">
      <c r="B55">
        <v>51</v>
      </c>
      <c r="C55">
        <v>2</v>
      </c>
      <c r="D55" s="2">
        <v>6.359</v>
      </c>
      <c r="E55" s="2">
        <f>0.144+0.279+0.161</f>
        <v>0.58400000000000007</v>
      </c>
      <c r="F55" s="2">
        <f>100*E55/D55</f>
        <v>9.1838339361534835</v>
      </c>
      <c r="G55" s="6">
        <v>1</v>
      </c>
      <c r="I55" s="2">
        <f>(0.5/0.719)*D55</f>
        <v>4.4221140472879004</v>
      </c>
      <c r="J55" s="2">
        <f>(0.5/0.719)*E55</f>
        <v>0.40611961057023654</v>
      </c>
    </row>
    <row r="56" spans="1:10" x14ac:dyDescent="0.2">
      <c r="B56">
        <v>52</v>
      </c>
      <c r="C56">
        <v>3</v>
      </c>
      <c r="D56" s="2">
        <v>1.6910000000000001</v>
      </c>
      <c r="E56" s="2">
        <f>0.131+0.07</f>
        <v>0.20100000000000001</v>
      </c>
      <c r="F56" s="2">
        <f>100*E56/D56</f>
        <v>11.886457717327026</v>
      </c>
      <c r="G56" s="6">
        <v>1</v>
      </c>
      <c r="I56" s="2">
        <f>(0.5/0.719)*D56</f>
        <v>1.1759388038942977</v>
      </c>
      <c r="J56" s="2">
        <f>(0.5/0.719)*E56</f>
        <v>0.13977746870653687</v>
      </c>
    </row>
    <row r="57" spans="1:10" x14ac:dyDescent="0.2">
      <c r="B57">
        <v>53</v>
      </c>
      <c r="C57">
        <v>4</v>
      </c>
      <c r="D57" s="2">
        <v>1.1000000000000001</v>
      </c>
      <c r="E57" s="2">
        <v>0.84199999999999997</v>
      </c>
      <c r="F57" s="2">
        <f>100*E57/D57</f>
        <v>76.545454545454547</v>
      </c>
      <c r="G57" s="6">
        <v>1</v>
      </c>
      <c r="I57" s="2">
        <f>(0.5/0.719)*D57</f>
        <v>0.76495132127955512</v>
      </c>
      <c r="J57" s="2">
        <f>(0.5/0.719)*E57</f>
        <v>0.58553546592489569</v>
      </c>
    </row>
    <row r="58" spans="1:10" x14ac:dyDescent="0.2">
      <c r="B58">
        <v>54</v>
      </c>
      <c r="C58">
        <v>5</v>
      </c>
      <c r="D58" s="2">
        <v>2.077</v>
      </c>
      <c r="E58" s="2">
        <f>0.111+0.094</f>
        <v>0.20500000000000002</v>
      </c>
      <c r="F58" s="2">
        <f>100*E58/D58</f>
        <v>9.8700048146364949</v>
      </c>
      <c r="G58" s="6">
        <v>1</v>
      </c>
      <c r="I58" s="2">
        <f>(0.5/0.719)*D58</f>
        <v>1.4443671766342143</v>
      </c>
      <c r="J58" s="2">
        <f>(0.5/0.719)*E58</f>
        <v>0.14255910987482617</v>
      </c>
    </row>
    <row r="59" spans="1:10" x14ac:dyDescent="0.2">
      <c r="B59">
        <v>55</v>
      </c>
      <c r="C59">
        <v>6</v>
      </c>
      <c r="D59" s="2">
        <v>2.5270000000000001</v>
      </c>
      <c r="E59" s="2">
        <v>0.129</v>
      </c>
      <c r="F59" s="2">
        <f>100*E59/D59</f>
        <v>5.1048674317372376</v>
      </c>
      <c r="G59" s="6">
        <v>1</v>
      </c>
      <c r="I59" s="2">
        <f>(0.5/0.719)*D59</f>
        <v>1.7573018080667597</v>
      </c>
      <c r="J59" s="2">
        <f>(0.5/0.719)*E59</f>
        <v>8.970792767732963E-2</v>
      </c>
    </row>
    <row r="60" spans="1:10" x14ac:dyDescent="0.2">
      <c r="B60">
        <v>56</v>
      </c>
      <c r="C60">
        <v>7</v>
      </c>
      <c r="D60" s="2">
        <v>1.3220000000000001</v>
      </c>
      <c r="E60" s="2">
        <f>0.101+0.423</f>
        <v>0.52400000000000002</v>
      </c>
      <c r="F60" s="2">
        <f>100*E60/D60</f>
        <v>39.636913767019671</v>
      </c>
      <c r="G60" s="6">
        <v>1</v>
      </c>
      <c r="I60" s="2">
        <f>(0.5/0.719)*D60</f>
        <v>0.91933240611961076</v>
      </c>
      <c r="J60" s="2">
        <f>(0.5/0.719)*E60</f>
        <v>0.36439499304589712</v>
      </c>
    </row>
    <row r="61" spans="1:10" x14ac:dyDescent="0.2">
      <c r="B61">
        <v>57</v>
      </c>
      <c r="C61">
        <v>8</v>
      </c>
      <c r="D61" s="2">
        <v>3.0950000000000002</v>
      </c>
      <c r="E61" s="2">
        <f>0.589+0.396</f>
        <v>0.98499999999999999</v>
      </c>
      <c r="F61" s="2">
        <f>100*E61/D61</f>
        <v>31.825525040387721</v>
      </c>
      <c r="G61" s="6">
        <v>1</v>
      </c>
      <c r="I61" s="2">
        <f>(0.5/0.719)*D61</f>
        <v>2.1522948539638391</v>
      </c>
      <c r="J61" s="2">
        <f>(0.5/0.719)*E61</f>
        <v>0.68497913769123786</v>
      </c>
    </row>
    <row r="62" spans="1:10" x14ac:dyDescent="0.2">
      <c r="A62" t="s">
        <v>151</v>
      </c>
      <c r="B62">
        <v>58</v>
      </c>
      <c r="C62">
        <v>1</v>
      </c>
      <c r="D62" s="2">
        <v>2.9449999999999998</v>
      </c>
      <c r="E62" s="2">
        <f>0.439+0.143+0.868</f>
        <v>1.45</v>
      </c>
      <c r="F62" s="2">
        <f>100*E62/D62</f>
        <v>49.235993208828525</v>
      </c>
      <c r="G62" s="6">
        <v>1</v>
      </c>
      <c r="H62" s="2">
        <v>1</v>
      </c>
      <c r="I62" s="2">
        <f>(0.5/0.719)*D62</f>
        <v>2.0479833101529903</v>
      </c>
      <c r="J62" s="2">
        <f>(0.5/0.719)*E62</f>
        <v>1.008344923504868</v>
      </c>
    </row>
    <row r="63" spans="1:10" x14ac:dyDescent="0.2">
      <c r="B63">
        <v>59</v>
      </c>
      <c r="C63">
        <v>2</v>
      </c>
      <c r="D63" s="2">
        <v>3.2029999999999998</v>
      </c>
      <c r="E63" s="2">
        <f>0.181+0.473+0.177</f>
        <v>0.83099999999999996</v>
      </c>
      <c r="F63" s="2">
        <f>100*E63/D63</f>
        <v>25.94442709959413</v>
      </c>
      <c r="G63" s="6">
        <v>1</v>
      </c>
      <c r="I63" s="2">
        <f>(0.5/0.719)*D63</f>
        <v>2.2273991655076495</v>
      </c>
      <c r="J63" s="2">
        <f>(0.5/0.719)*E63</f>
        <v>0.57788595271210019</v>
      </c>
    </row>
    <row r="64" spans="1:10" x14ac:dyDescent="0.2">
      <c r="B64">
        <v>60</v>
      </c>
      <c r="C64">
        <v>3</v>
      </c>
      <c r="D64" s="2">
        <v>1.1890000000000001</v>
      </c>
      <c r="E64" s="2">
        <v>0.18</v>
      </c>
      <c r="F64" s="2">
        <f>100*E64/D64</f>
        <v>15.138772077375945</v>
      </c>
      <c r="G64" s="6">
        <v>1</v>
      </c>
      <c r="I64" s="2">
        <f>(0.5/0.719)*D64</f>
        <v>0.82684283727399177</v>
      </c>
      <c r="J64" s="2">
        <f>(0.5/0.719)*E64</f>
        <v>0.12517385257301808</v>
      </c>
    </row>
    <row r="65" spans="1:10" x14ac:dyDescent="0.2">
      <c r="B65">
        <v>61</v>
      </c>
      <c r="C65">
        <v>4</v>
      </c>
      <c r="D65" s="2">
        <v>4.2939999999999996</v>
      </c>
      <c r="E65" s="2">
        <f>0.53+0.453+0.356</f>
        <v>1.339</v>
      </c>
      <c r="F65" s="2">
        <f>100*E65/D65</f>
        <v>31.183046110852356</v>
      </c>
      <c r="G65" s="6">
        <v>1</v>
      </c>
      <c r="I65" s="2">
        <f>(0.5/0.719)*D65</f>
        <v>2.9860917941585536</v>
      </c>
      <c r="J65" s="2">
        <f>(0.5/0.719)*E65</f>
        <v>0.93115438108484017</v>
      </c>
    </row>
    <row r="66" spans="1:10" x14ac:dyDescent="0.2">
      <c r="B66">
        <v>62</v>
      </c>
      <c r="C66">
        <v>5</v>
      </c>
      <c r="D66" s="2">
        <v>1.833</v>
      </c>
      <c r="E66" s="2">
        <f>0.213+0.96</f>
        <v>1.173</v>
      </c>
      <c r="F66" s="2">
        <f>100*E66/D66</f>
        <v>63.993453355155488</v>
      </c>
      <c r="G66" s="6">
        <v>1</v>
      </c>
      <c r="I66" s="2">
        <f>(0.5/0.719)*D66</f>
        <v>1.2746870653685676</v>
      </c>
      <c r="J66" s="2">
        <f>(0.5/0.719)*E66</f>
        <v>0.81571627260083457</v>
      </c>
    </row>
    <row r="67" spans="1:10" x14ac:dyDescent="0.2">
      <c r="A67" t="s">
        <v>150</v>
      </c>
      <c r="B67">
        <v>63</v>
      </c>
      <c r="C67">
        <v>1</v>
      </c>
      <c r="D67" s="2">
        <v>3.2570000000000001</v>
      </c>
      <c r="E67" s="2">
        <v>0.78500000000000003</v>
      </c>
      <c r="F67" s="2">
        <f>100*E67/D67</f>
        <v>24.101934295363829</v>
      </c>
      <c r="G67" s="6">
        <v>1</v>
      </c>
      <c r="H67" s="2">
        <v>0.8</v>
      </c>
      <c r="I67" s="2">
        <f>(0.5/0.719)*D67</f>
        <v>2.2649513212795553</v>
      </c>
      <c r="J67" s="2">
        <f>(0.5/0.719)*E67</f>
        <v>0.54589707927677333</v>
      </c>
    </row>
    <row r="68" spans="1:10" x14ac:dyDescent="0.2">
      <c r="B68">
        <v>64</v>
      </c>
      <c r="C68">
        <v>2</v>
      </c>
      <c r="D68" s="2">
        <v>3.129</v>
      </c>
      <c r="E68" s="2">
        <v>1.119</v>
      </c>
      <c r="F68" s="2">
        <f>100*E68/D68</f>
        <v>35.762224352828383</v>
      </c>
      <c r="G68" s="6">
        <v>1</v>
      </c>
      <c r="I68" s="2">
        <f>(0.5/0.719)*D68</f>
        <v>2.1759388038942977</v>
      </c>
      <c r="J68" s="2">
        <f>(0.5/0.719)*E68</f>
        <v>0.77816411682892916</v>
      </c>
    </row>
    <row r="69" spans="1:10" x14ac:dyDescent="0.2">
      <c r="B69">
        <v>65</v>
      </c>
      <c r="C69">
        <v>3</v>
      </c>
      <c r="D69" s="2">
        <v>2.1309999999999998</v>
      </c>
      <c r="E69" s="2">
        <f>0.319+0.429</f>
        <v>0.748</v>
      </c>
      <c r="F69" s="2">
        <f>100*E69/D69</f>
        <v>35.100891600187708</v>
      </c>
      <c r="G69" s="6">
        <v>1</v>
      </c>
      <c r="I69" s="2">
        <f>(0.5/0.719)*D69</f>
        <v>1.4819193324061197</v>
      </c>
      <c r="J69" s="2">
        <f>(0.5/0.719)*E69</f>
        <v>0.52016689847009745</v>
      </c>
    </row>
    <row r="70" spans="1:10" x14ac:dyDescent="0.2">
      <c r="B70">
        <v>66</v>
      </c>
      <c r="C70">
        <v>4</v>
      </c>
      <c r="D70" s="2">
        <v>2.5459999999999998</v>
      </c>
      <c r="E70" s="2">
        <v>0.16400000000000001</v>
      </c>
      <c r="F70" s="2">
        <f>100*E70/D70</f>
        <v>6.4414768263943456</v>
      </c>
      <c r="G70" s="6">
        <v>1</v>
      </c>
      <c r="I70" s="2">
        <f>(0.5/0.719)*D70</f>
        <v>1.7705146036161337</v>
      </c>
      <c r="J70" s="2">
        <f>(0.5/0.719)*E70</f>
        <v>0.11404728789986093</v>
      </c>
    </row>
    <row r="71" spans="1:10" x14ac:dyDescent="0.2">
      <c r="B71">
        <v>67</v>
      </c>
      <c r="C71">
        <v>5</v>
      </c>
      <c r="D71" s="2">
        <v>1.516</v>
      </c>
      <c r="E71" s="2">
        <v>0</v>
      </c>
      <c r="F71" s="2">
        <f>100*E71/D71</f>
        <v>0</v>
      </c>
      <c r="G71" s="6">
        <v>0</v>
      </c>
      <c r="I71" s="2">
        <f>(0.5/0.719)*D71</f>
        <v>1.0542420027816413</v>
      </c>
      <c r="J71" s="2">
        <f>(0.5/0.719)*E71</f>
        <v>0</v>
      </c>
    </row>
    <row r="72" spans="1:10" x14ac:dyDescent="0.2">
      <c r="A72" t="s">
        <v>149</v>
      </c>
      <c r="B72">
        <v>68</v>
      </c>
      <c r="C72">
        <v>1</v>
      </c>
      <c r="D72" s="2">
        <v>2.7589999999999999</v>
      </c>
      <c r="E72" s="2">
        <f>0.267+0.19</f>
        <v>0.45700000000000002</v>
      </c>
      <c r="F72" s="2">
        <f>100*E72/D72</f>
        <v>16.563972453787606</v>
      </c>
      <c r="G72" s="6">
        <v>1</v>
      </c>
      <c r="H72" s="2">
        <v>1</v>
      </c>
      <c r="I72" s="2">
        <f>(0.5/0.719)*D72</f>
        <v>1.9186369958275384</v>
      </c>
      <c r="J72" s="2">
        <f>(0.5/0.719)*E72</f>
        <v>0.31780250347705152</v>
      </c>
    </row>
    <row r="73" spans="1:10" x14ac:dyDescent="0.2">
      <c r="B73">
        <v>69</v>
      </c>
      <c r="C73">
        <v>2</v>
      </c>
      <c r="D73" s="2">
        <v>4.01</v>
      </c>
      <c r="E73" s="2">
        <v>0.20200000000000001</v>
      </c>
      <c r="F73" s="2">
        <f>100*E73/D73</f>
        <v>5.0374064837905248</v>
      </c>
      <c r="G73" s="6">
        <v>1</v>
      </c>
      <c r="I73" s="2">
        <f>(0.5/0.719)*D73</f>
        <v>2.7885952712100139</v>
      </c>
      <c r="J73" s="2">
        <f>(0.5/0.719)*E73</f>
        <v>0.14047287899860919</v>
      </c>
    </row>
    <row r="74" spans="1:10" x14ac:dyDescent="0.2">
      <c r="B74">
        <v>70</v>
      </c>
      <c r="C74">
        <v>3</v>
      </c>
      <c r="D74" s="2">
        <v>2.3050000000000002</v>
      </c>
      <c r="E74" s="2">
        <v>0.23</v>
      </c>
      <c r="F74" s="2">
        <f>100*E74/D74</f>
        <v>9.9783080260303674</v>
      </c>
      <c r="G74" s="6">
        <v>1</v>
      </c>
      <c r="I74" s="2">
        <f>(0.5/0.719)*D74</f>
        <v>1.602920723226704</v>
      </c>
      <c r="J74" s="2">
        <f>(0.5/0.719)*E74</f>
        <v>0.15994436717663424</v>
      </c>
    </row>
    <row r="75" spans="1:10" x14ac:dyDescent="0.2">
      <c r="B75">
        <v>71</v>
      </c>
      <c r="C75">
        <v>4</v>
      </c>
      <c r="D75" s="2">
        <v>8.5790000000000006</v>
      </c>
      <c r="E75" s="2">
        <f>0.381+1.099+0.601</f>
        <v>2.081</v>
      </c>
      <c r="F75" s="2">
        <f>100*E75/D75</f>
        <v>24.25690639934724</v>
      </c>
      <c r="G75" s="6">
        <v>1</v>
      </c>
      <c r="I75" s="2">
        <f>(0.5/0.719)*D75</f>
        <v>5.965924895688457</v>
      </c>
      <c r="J75" s="2">
        <f>(0.5/0.719)*E75</f>
        <v>1.4471488178025036</v>
      </c>
    </row>
    <row r="76" spans="1:10" x14ac:dyDescent="0.2">
      <c r="B76">
        <v>72</v>
      </c>
      <c r="C76">
        <v>5</v>
      </c>
      <c r="D76" s="2">
        <v>4.1520000000000001</v>
      </c>
      <c r="E76" s="2">
        <f>1.12+0.859</f>
        <v>1.9790000000000001</v>
      </c>
      <c r="F76" s="2">
        <f>100*E76/D76</f>
        <v>47.663776493256265</v>
      </c>
      <c r="G76" s="6">
        <v>1</v>
      </c>
      <c r="I76" s="2">
        <f>(0.5/0.719)*D76</f>
        <v>2.8873435326842842</v>
      </c>
      <c r="J76" s="2">
        <f>(0.5/0.719)*E76</f>
        <v>1.3762169680111267</v>
      </c>
    </row>
    <row r="77" spans="1:10" x14ac:dyDescent="0.2">
      <c r="B77">
        <v>73</v>
      </c>
      <c r="C77">
        <v>6</v>
      </c>
      <c r="D77" s="2">
        <v>4.6959999999999997</v>
      </c>
      <c r="E77" s="2">
        <f>0.511+0.985+0.189</f>
        <v>1.6850000000000001</v>
      </c>
      <c r="F77" s="2">
        <f>100*E77/D77</f>
        <v>35.881601362862014</v>
      </c>
      <c r="G77" s="6">
        <v>1</v>
      </c>
      <c r="I77" s="2">
        <f>(0.5/0.719)*D77</f>
        <v>3.2656467315716275</v>
      </c>
      <c r="J77" s="2">
        <f>(0.5/0.719)*E77</f>
        <v>1.1717663421418638</v>
      </c>
    </row>
    <row r="78" spans="1:10" x14ac:dyDescent="0.2">
      <c r="A78" t="s">
        <v>148</v>
      </c>
      <c r="B78">
        <v>74</v>
      </c>
      <c r="C78">
        <v>1</v>
      </c>
      <c r="D78" s="2">
        <v>1.5920000000000001</v>
      </c>
      <c r="E78" s="2">
        <f>0.329+0.388</f>
        <v>0.71700000000000008</v>
      </c>
      <c r="F78" s="2">
        <f>100*E78/D78</f>
        <v>45.037688442211056</v>
      </c>
      <c r="G78" s="6">
        <v>1</v>
      </c>
      <c r="H78" s="2">
        <f>8/9</f>
        <v>0.88888888888888884</v>
      </c>
      <c r="I78" s="2">
        <f>(0.5/0.719)*D78</f>
        <v>1.1070931849791379</v>
      </c>
      <c r="J78" s="2">
        <f>(0.5/0.719)*E78</f>
        <v>0.49860917941585547</v>
      </c>
    </row>
    <row r="79" spans="1:10" x14ac:dyDescent="0.2">
      <c r="B79">
        <v>75</v>
      </c>
      <c r="C79">
        <v>2</v>
      </c>
      <c r="D79" s="2">
        <v>1.44</v>
      </c>
      <c r="E79" s="2">
        <v>0.28199999999999997</v>
      </c>
      <c r="F79" s="2">
        <f>100*E79/D79</f>
        <v>19.583333333333332</v>
      </c>
      <c r="G79" s="6">
        <v>1</v>
      </c>
      <c r="I79" s="2">
        <f>(0.5/0.719)*D79</f>
        <v>1.0013908205841446</v>
      </c>
      <c r="J79" s="2">
        <f>(0.5/0.719)*E79</f>
        <v>0.19610570236439501</v>
      </c>
    </row>
    <row r="80" spans="1:10" x14ac:dyDescent="0.2">
      <c r="B80">
        <v>76</v>
      </c>
      <c r="C80">
        <v>3</v>
      </c>
      <c r="D80" s="2">
        <v>1.3440000000000001</v>
      </c>
      <c r="E80" s="2">
        <v>0</v>
      </c>
      <c r="F80" s="2">
        <f>100*E80/D80</f>
        <v>0</v>
      </c>
      <c r="G80" s="6">
        <v>0</v>
      </c>
      <c r="I80" s="2">
        <f>(0.5/0.719)*D80</f>
        <v>0.93463143254520187</v>
      </c>
      <c r="J80" s="2">
        <f>(0.5/0.719)*E80</f>
        <v>0</v>
      </c>
    </row>
    <row r="81" spans="1:10" x14ac:dyDescent="0.2">
      <c r="B81">
        <v>77</v>
      </c>
      <c r="C81">
        <v>4</v>
      </c>
      <c r="D81" s="2">
        <v>1.764</v>
      </c>
      <c r="E81" s="2">
        <f>0.101+0.692</f>
        <v>0.79299999999999993</v>
      </c>
      <c r="F81" s="2">
        <f>100*E81/D81</f>
        <v>44.954648526077094</v>
      </c>
      <c r="G81" s="6">
        <v>1</v>
      </c>
      <c r="I81" s="2">
        <f>(0.5/0.719)*D81</f>
        <v>1.2267037552155773</v>
      </c>
      <c r="J81" s="2">
        <f>(0.5/0.719)*E81</f>
        <v>0.55146036161335188</v>
      </c>
    </row>
    <row r="82" spans="1:10" x14ac:dyDescent="0.2">
      <c r="B82">
        <v>78</v>
      </c>
      <c r="C82">
        <v>5</v>
      </c>
      <c r="D82" s="2">
        <v>2.5459999999999998</v>
      </c>
      <c r="E82" s="2">
        <f>0.201+0.219+0.344</f>
        <v>0.76400000000000001</v>
      </c>
      <c r="F82" s="2">
        <f>100*E82/D82</f>
        <v>30.007855459544388</v>
      </c>
      <c r="G82" s="6">
        <v>1</v>
      </c>
      <c r="I82" s="2">
        <f>(0.5/0.719)*D82</f>
        <v>1.7705146036161337</v>
      </c>
      <c r="J82" s="2">
        <f>(0.5/0.719)*E82</f>
        <v>0.53129346314325454</v>
      </c>
    </row>
    <row r="83" spans="1:10" x14ac:dyDescent="0.2">
      <c r="B83">
        <v>79</v>
      </c>
      <c r="C83">
        <v>6</v>
      </c>
      <c r="D83" s="2">
        <v>2.3879999999999999</v>
      </c>
      <c r="E83" s="2">
        <f>0.812+0.136+0.132</f>
        <v>1.08</v>
      </c>
      <c r="F83" s="2">
        <f>100*E83/D83</f>
        <v>45.226130653266331</v>
      </c>
      <c r="G83" s="6">
        <v>1</v>
      </c>
      <c r="I83" s="2">
        <f>(0.5/0.719)*D83</f>
        <v>1.6606397774687067</v>
      </c>
      <c r="J83" s="2">
        <f>(0.5/0.719)*E83</f>
        <v>0.75104311543810864</v>
      </c>
    </row>
    <row r="84" spans="1:10" x14ac:dyDescent="0.2">
      <c r="B84">
        <v>80</v>
      </c>
      <c r="C84">
        <v>7</v>
      </c>
      <c r="D84" s="2">
        <v>1.484</v>
      </c>
      <c r="E84" s="2">
        <v>0.35</v>
      </c>
      <c r="F84" s="2">
        <f>100*E84/D84</f>
        <v>23.584905660377359</v>
      </c>
      <c r="G84" s="6">
        <v>1</v>
      </c>
      <c r="I84" s="2">
        <f>(0.5/0.719)*D84</f>
        <v>1.0319888734353269</v>
      </c>
      <c r="J84" s="2">
        <f>(0.5/0.719)*E84</f>
        <v>0.24339360222531295</v>
      </c>
    </row>
    <row r="85" spans="1:10" x14ac:dyDescent="0.2">
      <c r="B85">
        <v>81</v>
      </c>
      <c r="C85">
        <v>8</v>
      </c>
      <c r="D85" s="2">
        <v>2.7360000000000002</v>
      </c>
      <c r="E85" s="2">
        <f>0.303+0.205+0.153</f>
        <v>0.66100000000000003</v>
      </c>
      <c r="F85" s="2">
        <f>100*E85/D85</f>
        <v>24.1593567251462</v>
      </c>
      <c r="G85" s="6">
        <v>1</v>
      </c>
      <c r="I85" s="2">
        <f>(0.5/0.719)*D85</f>
        <v>1.9026425591098752</v>
      </c>
      <c r="J85" s="2">
        <f>(0.5/0.719)*E85</f>
        <v>0.45966620305980538</v>
      </c>
    </row>
    <row r="86" spans="1:10" x14ac:dyDescent="0.2">
      <c r="B86">
        <v>82</v>
      </c>
      <c r="C86">
        <v>9</v>
      </c>
      <c r="D86" s="2">
        <v>2.278</v>
      </c>
      <c r="E86" s="2">
        <f>0.224+0.348+0.377</f>
        <v>0.94899999999999995</v>
      </c>
      <c r="F86" s="2">
        <f>100*E86/D86</f>
        <v>41.659350307287092</v>
      </c>
      <c r="G86" s="6">
        <v>1</v>
      </c>
      <c r="I86" s="2">
        <f>(0.5/0.719)*D86</f>
        <v>1.5841446453407513</v>
      </c>
      <c r="J86" s="2">
        <f>(0.5/0.719)*E86</f>
        <v>0.65994436717663429</v>
      </c>
    </row>
    <row r="87" spans="1:10" x14ac:dyDescent="0.2">
      <c r="A87" t="s">
        <v>147</v>
      </c>
      <c r="B87">
        <v>83</v>
      </c>
      <c r="C87">
        <v>1</v>
      </c>
      <c r="D87" s="2">
        <v>2.2530000000000001</v>
      </c>
      <c r="E87" s="2">
        <f>0.353+0.14</f>
        <v>0.49299999999999999</v>
      </c>
      <c r="F87" s="2">
        <f>100*E87/D87</f>
        <v>21.881935197514423</v>
      </c>
      <c r="G87" s="6">
        <v>1</v>
      </c>
      <c r="H87" s="2">
        <v>1</v>
      </c>
      <c r="I87" s="2">
        <f>(0.5/0.719)*D87</f>
        <v>1.5667593880389432</v>
      </c>
      <c r="J87" s="2">
        <f>(0.5/0.719)*E87</f>
        <v>0.34283727399165509</v>
      </c>
    </row>
    <row r="88" spans="1:10" x14ac:dyDescent="0.2">
      <c r="B88">
        <v>84</v>
      </c>
      <c r="C88">
        <v>2</v>
      </c>
      <c r="D88" s="2">
        <v>4.1539999999999999</v>
      </c>
      <c r="E88" s="2">
        <f>0.395+0.486+0.147+0.424</f>
        <v>1.452</v>
      </c>
      <c r="F88" s="2">
        <f>100*E88/D88</f>
        <v>34.954260953298025</v>
      </c>
      <c r="G88" s="6">
        <v>1</v>
      </c>
      <c r="I88" s="2">
        <f>(0.5/0.719)*D88</f>
        <v>2.8887343532684286</v>
      </c>
      <c r="J88" s="2">
        <f>(0.5/0.719)*E88</f>
        <v>1.0097357440890127</v>
      </c>
    </row>
    <row r="89" spans="1:10" x14ac:dyDescent="0.2">
      <c r="A89" t="s">
        <v>180</v>
      </c>
      <c r="B89">
        <v>85</v>
      </c>
      <c r="C89">
        <v>1</v>
      </c>
      <c r="D89" s="2">
        <v>2.3730000000000002</v>
      </c>
      <c r="E89" s="2">
        <v>0.19500000000000001</v>
      </c>
      <c r="F89" s="2">
        <f>100*E89/D89</f>
        <v>8.2174462705436149</v>
      </c>
      <c r="G89" s="6">
        <v>1</v>
      </c>
      <c r="H89" s="2">
        <v>1</v>
      </c>
      <c r="I89" s="2">
        <f>(0.5/0.719)*D89</f>
        <v>1.6502086230876221</v>
      </c>
      <c r="J89" s="2">
        <f>(0.5/0.719)*E89</f>
        <v>0.13560500695410294</v>
      </c>
    </row>
    <row r="90" spans="1:10" x14ac:dyDescent="0.2">
      <c r="B90">
        <v>86</v>
      </c>
      <c r="C90">
        <v>2</v>
      </c>
      <c r="D90" s="2">
        <v>4.9340000000000002</v>
      </c>
      <c r="E90" s="2">
        <v>0.40899999999999997</v>
      </c>
      <c r="F90" s="2">
        <f>100*E90/D90</f>
        <v>8.2894203486015403</v>
      </c>
      <c r="G90" s="6">
        <v>1</v>
      </c>
      <c r="I90" s="2">
        <f>(0.5/0.719)*D90</f>
        <v>3.4311543810848404</v>
      </c>
      <c r="J90" s="2">
        <f>(0.5/0.719)*E90</f>
        <v>0.28442280945757997</v>
      </c>
    </row>
    <row r="91" spans="1:10" x14ac:dyDescent="0.2">
      <c r="A91" t="s">
        <v>179</v>
      </c>
      <c r="B91">
        <v>87</v>
      </c>
      <c r="C91">
        <v>1</v>
      </c>
      <c r="D91" s="2">
        <v>2.0299999999999998</v>
      </c>
      <c r="E91" s="2">
        <f>0.207+0.074+0.27</f>
        <v>0.55099999999999993</v>
      </c>
      <c r="F91" s="2">
        <f>100*E91/D91</f>
        <v>27.142857142857142</v>
      </c>
      <c r="G91" s="6">
        <v>1</v>
      </c>
      <c r="H91" s="2">
        <f>7/8</f>
        <v>0.875</v>
      </c>
      <c r="I91" s="2">
        <f>(0.5/0.719)*D91</f>
        <v>1.411682892906815</v>
      </c>
      <c r="J91" s="2">
        <f>(0.5/0.719)*E91</f>
        <v>0.38317107093184977</v>
      </c>
    </row>
    <row r="92" spans="1:10" x14ac:dyDescent="0.2">
      <c r="B92">
        <v>88</v>
      </c>
      <c r="C92">
        <v>2</v>
      </c>
      <c r="D92" s="2">
        <v>1.9550000000000001</v>
      </c>
      <c r="E92" s="2">
        <v>0.63100000000000001</v>
      </c>
      <c r="F92" s="2">
        <f>100*E92/D92</f>
        <v>32.276214833759589</v>
      </c>
      <c r="G92" s="6">
        <v>1</v>
      </c>
      <c r="I92" s="2">
        <f>(0.5/0.719)*D92</f>
        <v>1.3595271210013911</v>
      </c>
      <c r="J92" s="2">
        <f>(0.5/0.719)*E92</f>
        <v>0.43880389429763567</v>
      </c>
    </row>
    <row r="93" spans="1:10" x14ac:dyDescent="0.2">
      <c r="B93">
        <v>89</v>
      </c>
      <c r="C93">
        <v>3</v>
      </c>
      <c r="D93" s="2">
        <v>2.6829999999999998</v>
      </c>
      <c r="E93" s="2">
        <f>0.367+0.735+0.287</f>
        <v>1.3889999999999998</v>
      </c>
      <c r="F93" s="2">
        <f>100*E93/D93</f>
        <v>51.770406261647402</v>
      </c>
      <c r="G93" s="6">
        <v>1</v>
      </c>
      <c r="I93" s="2">
        <f>(0.5/0.719)*D93</f>
        <v>1.8657858136300418</v>
      </c>
      <c r="J93" s="2">
        <f>(0.5/0.719)*E93</f>
        <v>0.96592489568845619</v>
      </c>
    </row>
    <row r="94" spans="1:10" x14ac:dyDescent="0.2">
      <c r="B94">
        <v>90</v>
      </c>
      <c r="C94">
        <v>4</v>
      </c>
      <c r="D94" s="2">
        <v>1.8959999999999999</v>
      </c>
      <c r="E94" s="2">
        <v>0.69599999999999995</v>
      </c>
      <c r="F94" s="2">
        <f>100*E94/D94</f>
        <v>36.708860759493668</v>
      </c>
      <c r="G94" s="6">
        <v>1</v>
      </c>
      <c r="I94" s="2">
        <f>(0.5/0.719)*D94</f>
        <v>1.318497913769124</v>
      </c>
      <c r="J94" s="2">
        <f>(0.5/0.719)*E94</f>
        <v>0.48400556328233657</v>
      </c>
    </row>
    <row r="95" spans="1:10" x14ac:dyDescent="0.2">
      <c r="B95">
        <v>91</v>
      </c>
      <c r="C95">
        <v>5</v>
      </c>
      <c r="D95" s="2">
        <v>1.6319999999999999</v>
      </c>
      <c r="E95" s="2">
        <v>0.112</v>
      </c>
      <c r="F95" s="2">
        <f>100*E95/D95</f>
        <v>6.8627450980392171</v>
      </c>
      <c r="G95" s="6">
        <v>1</v>
      </c>
      <c r="I95" s="2">
        <f>(0.5/0.719)*D95</f>
        <v>1.1349095966620306</v>
      </c>
      <c r="J95" s="2">
        <f>(0.5/0.719)*E95</f>
        <v>7.7885952712100151E-2</v>
      </c>
    </row>
    <row r="96" spans="1:10" x14ac:dyDescent="0.2">
      <c r="B96">
        <v>92</v>
      </c>
      <c r="C96">
        <v>6</v>
      </c>
      <c r="D96" s="2">
        <v>1.958</v>
      </c>
      <c r="E96" s="2">
        <v>0</v>
      </c>
      <c r="F96" s="2">
        <f>100*E96/D96</f>
        <v>0</v>
      </c>
      <c r="G96" s="6">
        <v>0</v>
      </c>
      <c r="I96" s="2">
        <f>(0.5/0.719)*D96</f>
        <v>1.3616133518776079</v>
      </c>
      <c r="J96" s="2">
        <f>(0.5/0.719)*E96</f>
        <v>0</v>
      </c>
    </row>
    <row r="97" spans="1:10" x14ac:dyDescent="0.2">
      <c r="B97">
        <v>93</v>
      </c>
      <c r="C97">
        <v>7</v>
      </c>
      <c r="D97" s="2">
        <v>2.6179999999999999</v>
      </c>
      <c r="E97" s="2">
        <v>0.53800000000000003</v>
      </c>
      <c r="F97" s="2">
        <f>100*E97/D97</f>
        <v>20.550038197097024</v>
      </c>
      <c r="G97" s="6">
        <v>1</v>
      </c>
      <c r="I97" s="2">
        <f>(0.5/0.719)*D97</f>
        <v>1.8205841446453408</v>
      </c>
      <c r="J97" s="2">
        <f>(0.5/0.719)*E97</f>
        <v>0.37413073713490969</v>
      </c>
    </row>
    <row r="98" spans="1:10" x14ac:dyDescent="0.2">
      <c r="B98">
        <v>94</v>
      </c>
      <c r="C98">
        <v>8</v>
      </c>
      <c r="D98" s="2">
        <v>2.1880000000000002</v>
      </c>
      <c r="E98" s="2">
        <v>0.307</v>
      </c>
      <c r="F98" s="2">
        <f>100*E98/D98</f>
        <v>14.03107861060329</v>
      </c>
      <c r="G98" s="6">
        <v>1</v>
      </c>
      <c r="I98" s="2">
        <f>(0.5/0.719)*D98</f>
        <v>1.5215577190542422</v>
      </c>
      <c r="J98" s="2">
        <f>(0.5/0.719)*E98</f>
        <v>0.21349095966620307</v>
      </c>
    </row>
    <row r="99" spans="1:10" x14ac:dyDescent="0.2">
      <c r="A99" t="s">
        <v>178</v>
      </c>
      <c r="B99">
        <v>95</v>
      </c>
      <c r="C99">
        <v>1</v>
      </c>
      <c r="D99" s="2">
        <v>2.6850000000000001</v>
      </c>
      <c r="E99" s="2">
        <f>0.379+0.554+0.152</f>
        <v>1.085</v>
      </c>
      <c r="F99" s="2">
        <f>100*E99/D99</f>
        <v>40.409683426443202</v>
      </c>
      <c r="G99" s="6">
        <v>1</v>
      </c>
      <c r="H99" s="2">
        <v>1</v>
      </c>
      <c r="I99" s="2">
        <f>(0.5/0.719)*D99</f>
        <v>1.8671766342141867</v>
      </c>
      <c r="J99" s="2">
        <f>(0.5/0.719)*E99</f>
        <v>0.75452016689847012</v>
      </c>
    </row>
    <row r="100" spans="1:10" x14ac:dyDescent="0.2">
      <c r="B100">
        <v>96</v>
      </c>
      <c r="C100">
        <v>2</v>
      </c>
      <c r="D100" s="2">
        <v>4.2430000000000003</v>
      </c>
      <c r="E100" s="2">
        <f>0.166+0.364+0.168</f>
        <v>0.69800000000000006</v>
      </c>
      <c r="F100" s="2">
        <f>100*E100/D100</f>
        <v>16.45062455809569</v>
      </c>
      <c r="G100" s="6">
        <v>1</v>
      </c>
      <c r="I100" s="2">
        <f>(0.5/0.719)*D100</f>
        <v>2.9506258692628657</v>
      </c>
      <c r="J100" s="2">
        <f>(0.5/0.719)*E100</f>
        <v>0.48539638386648132</v>
      </c>
    </row>
    <row r="102" spans="1:10" x14ac:dyDescent="0.2">
      <c r="C102" t="s">
        <v>1</v>
      </c>
      <c r="D102" s="2">
        <f>AVERAGE(D5:D100)</f>
        <v>2.5049270833333326</v>
      </c>
      <c r="E102" s="2">
        <f>AVERAGE(E5:E100)</f>
        <v>0.71446874999999965</v>
      </c>
      <c r="F102" s="2">
        <f>AVERAGE(F5:F100)</f>
        <v>29.881780162661229</v>
      </c>
      <c r="G102" s="2"/>
      <c r="H102" s="2">
        <f>AVERAGE(H5:H100)</f>
        <v>0.97274305555555562</v>
      </c>
      <c r="I102" s="2">
        <f>AVERAGE(I5:I100)</f>
        <v>1.7419520746407045</v>
      </c>
      <c r="J102" s="2">
        <f>AVERAGE(J5:J100)</f>
        <v>0.49684892211404752</v>
      </c>
    </row>
    <row r="103" spans="1:10" x14ac:dyDescent="0.2">
      <c r="C103" t="s">
        <v>0</v>
      </c>
      <c r="D103" s="2">
        <f>STDEV(D5:D100)</f>
        <v>1.3598427404805757</v>
      </c>
      <c r="E103" s="2">
        <f>STDEV(E5:E100)</f>
        <v>0.51560635644126074</v>
      </c>
      <c r="F103" s="2">
        <f>STDEV(F5:F100)</f>
        <v>17.047797783816499</v>
      </c>
      <c r="G103" s="2"/>
      <c r="H103" s="2">
        <f>STDEV(H5:H100)</f>
        <v>6.1146612163000054E-2</v>
      </c>
      <c r="I103" s="2">
        <f>STDEV(I5:I100)</f>
        <v>0.94564863733002424</v>
      </c>
      <c r="J103" s="2">
        <f>STDEV(J5:J100)</f>
        <v>0.35855796692716219</v>
      </c>
    </row>
    <row r="105" spans="1:10" x14ac:dyDescent="0.2">
      <c r="A105" t="s">
        <v>177</v>
      </c>
    </row>
    <row r="106" spans="1:10" x14ac:dyDescent="0.2">
      <c r="A106" s="5" t="s">
        <v>95</v>
      </c>
      <c r="B106" s="5" t="s">
        <v>23</v>
      </c>
      <c r="C106" s="5" t="s">
        <v>22</v>
      </c>
      <c r="D106" s="4" t="s">
        <v>94</v>
      </c>
      <c r="E106" s="4" t="s">
        <v>93</v>
      </c>
      <c r="F106" s="4" t="s">
        <v>91</v>
      </c>
      <c r="G106" s="8" t="s">
        <v>173</v>
      </c>
      <c r="H106" s="4" t="s">
        <v>172</v>
      </c>
      <c r="I106" s="4" t="s">
        <v>92</v>
      </c>
      <c r="J106" s="4" t="s">
        <v>171</v>
      </c>
    </row>
    <row r="107" spans="1:10" x14ac:dyDescent="0.2">
      <c r="A107" t="s">
        <v>16</v>
      </c>
      <c r="B107">
        <v>1</v>
      </c>
      <c r="C107">
        <v>1</v>
      </c>
      <c r="D107" s="2">
        <v>2.5590000000000002</v>
      </c>
      <c r="E107" s="2">
        <f>0.15+0.224+0.155</f>
        <v>0.52900000000000003</v>
      </c>
      <c r="F107" s="2">
        <f>100*E107/D107</f>
        <v>20.672137553731929</v>
      </c>
      <c r="G107" s="6">
        <v>1</v>
      </c>
      <c r="H107" s="2">
        <v>1</v>
      </c>
      <c r="I107" s="2">
        <f>(0.5/0.719)*D107</f>
        <v>1.7795549374130739</v>
      </c>
      <c r="J107" s="2">
        <f>(0.5/0.719)*E107</f>
        <v>0.36787204450625877</v>
      </c>
    </row>
    <row r="108" spans="1:10" x14ac:dyDescent="0.2">
      <c r="B108">
        <v>2</v>
      </c>
      <c r="C108">
        <v>2</v>
      </c>
      <c r="D108" s="2">
        <v>3.72</v>
      </c>
      <c r="E108" s="2">
        <v>0.23</v>
      </c>
      <c r="F108" s="2">
        <f>100*E108/D108</f>
        <v>6.182795698924731</v>
      </c>
      <c r="G108" s="6">
        <v>1</v>
      </c>
      <c r="I108" s="2">
        <f>(0.5/0.719)*D108</f>
        <v>2.5869262865090406</v>
      </c>
      <c r="J108" s="2">
        <f>(0.5/0.719)*E108</f>
        <v>0.15994436717663424</v>
      </c>
    </row>
    <row r="109" spans="1:10" x14ac:dyDescent="0.2">
      <c r="B109">
        <v>3</v>
      </c>
      <c r="C109">
        <v>3</v>
      </c>
      <c r="D109" s="2">
        <v>2.1640000000000001</v>
      </c>
      <c r="E109" s="2">
        <f>0.124+0.372+0.164</f>
        <v>0.66</v>
      </c>
      <c r="F109" s="2">
        <f>100*E109/D109</f>
        <v>30.499075785582253</v>
      </c>
      <c r="G109" s="6">
        <v>1</v>
      </c>
      <c r="I109" s="2">
        <f>(0.5/0.719)*D109</f>
        <v>1.5048678720445066</v>
      </c>
      <c r="J109" s="2">
        <f>(0.5/0.719)*E109</f>
        <v>0.45897079276773306</v>
      </c>
    </row>
    <row r="110" spans="1:10" x14ac:dyDescent="0.2">
      <c r="B110">
        <v>4</v>
      </c>
      <c r="C110">
        <v>4</v>
      </c>
      <c r="D110" s="2">
        <v>1.9810000000000001</v>
      </c>
      <c r="E110" s="2">
        <f>0.236+0.239</f>
        <v>0.47499999999999998</v>
      </c>
      <c r="F110" s="2">
        <f>100*E110/D110</f>
        <v>23.977788995456837</v>
      </c>
      <c r="G110" s="6">
        <v>1</v>
      </c>
      <c r="I110" s="2">
        <f>(0.5/0.719)*D110</f>
        <v>1.3776077885952713</v>
      </c>
      <c r="J110" s="2">
        <f>(0.5/0.719)*E110</f>
        <v>0.33031988873435331</v>
      </c>
    </row>
    <row r="111" spans="1:10" x14ac:dyDescent="0.2">
      <c r="B111">
        <v>5</v>
      </c>
      <c r="C111">
        <v>5</v>
      </c>
      <c r="D111" s="2">
        <v>1.5669999999999999</v>
      </c>
      <c r="E111" s="2">
        <f>0.149+0.305</f>
        <v>0.45399999999999996</v>
      </c>
      <c r="F111" s="2">
        <f>100*E111/D111</f>
        <v>28.972559029993619</v>
      </c>
      <c r="G111" s="6">
        <v>1</v>
      </c>
      <c r="I111" s="2">
        <f>(0.5/0.719)*D111</f>
        <v>1.0897079276773296</v>
      </c>
      <c r="J111" s="2">
        <f>(0.5/0.719)*E111</f>
        <v>0.31571627260083451</v>
      </c>
    </row>
    <row r="112" spans="1:10" x14ac:dyDescent="0.2">
      <c r="B112">
        <v>6</v>
      </c>
      <c r="C112">
        <v>6</v>
      </c>
      <c r="D112" s="2">
        <v>1.403</v>
      </c>
      <c r="E112" s="2">
        <v>0.34899999999999998</v>
      </c>
      <c r="F112" s="2">
        <f>100*E112/D112</f>
        <v>24.875267284390588</v>
      </c>
      <c r="G112" s="6">
        <v>1</v>
      </c>
      <c r="I112" s="2">
        <f>(0.5/0.719)*D112</f>
        <v>0.97566063977746886</v>
      </c>
      <c r="J112" s="2">
        <f>(0.5/0.719)*E112</f>
        <v>0.24269819193324063</v>
      </c>
    </row>
    <row r="113" spans="1:10" x14ac:dyDescent="0.2">
      <c r="B113">
        <v>7</v>
      </c>
      <c r="C113">
        <v>7</v>
      </c>
      <c r="D113" s="2">
        <v>2.1819999999999999</v>
      </c>
      <c r="E113" s="2">
        <v>0.47099999999999997</v>
      </c>
      <c r="F113" s="2">
        <f>100*E113/D113</f>
        <v>21.585701191567367</v>
      </c>
      <c r="G113" s="6">
        <v>1</v>
      </c>
      <c r="I113" s="2">
        <f>(0.5/0.719)*D113</f>
        <v>1.5173852573018083</v>
      </c>
      <c r="J113" s="2">
        <f>(0.5/0.719)*E113</f>
        <v>0.32753824756606398</v>
      </c>
    </row>
    <row r="114" spans="1:10" x14ac:dyDescent="0.2">
      <c r="B114">
        <v>8</v>
      </c>
      <c r="C114">
        <v>8</v>
      </c>
      <c r="D114" s="2">
        <v>2.1789999999999998</v>
      </c>
      <c r="E114" s="2">
        <f>0.144+0.172+0.209</f>
        <v>0.52499999999999991</v>
      </c>
      <c r="F114" s="2">
        <f>100*E114/D114</f>
        <v>24.093620927030745</v>
      </c>
      <c r="G114" s="6">
        <v>1</v>
      </c>
      <c r="I114" s="2">
        <f>(0.5/0.719)*D114</f>
        <v>1.5152990264255912</v>
      </c>
      <c r="J114" s="2">
        <f>(0.5/0.719)*E114</f>
        <v>0.36509040333796938</v>
      </c>
    </row>
    <row r="115" spans="1:10" x14ac:dyDescent="0.2">
      <c r="A115" t="s">
        <v>7</v>
      </c>
      <c r="B115">
        <v>9</v>
      </c>
      <c r="C115">
        <v>1</v>
      </c>
      <c r="D115" s="2">
        <v>3.1030000000000002</v>
      </c>
      <c r="E115" s="2">
        <v>0.153</v>
      </c>
      <c r="F115" s="2">
        <f>100*E115/D115</f>
        <v>4.9307122139864639</v>
      </c>
      <c r="G115" s="6">
        <v>1</v>
      </c>
      <c r="H115" s="2">
        <f>10/12</f>
        <v>0.83333333333333337</v>
      </c>
      <c r="I115" s="2">
        <f>(0.5/0.719)*D115</f>
        <v>2.1578581363004177</v>
      </c>
      <c r="J115" s="2">
        <f>(0.5/0.719)*E115</f>
        <v>0.10639777468706538</v>
      </c>
    </row>
    <row r="116" spans="1:10" x14ac:dyDescent="0.2">
      <c r="B116">
        <v>10</v>
      </c>
      <c r="C116">
        <v>2</v>
      </c>
      <c r="D116" s="2">
        <v>1.9510000000000001</v>
      </c>
      <c r="E116" s="2">
        <v>0.2</v>
      </c>
      <c r="F116" s="2">
        <f>100*E116/D116</f>
        <v>10.251153254741158</v>
      </c>
      <c r="G116" s="6">
        <v>1</v>
      </c>
      <c r="I116" s="2">
        <f>(0.5/0.719)*D116</f>
        <v>1.3567454798331018</v>
      </c>
      <c r="J116" s="2">
        <f>(0.5/0.719)*E116</f>
        <v>0.13908205841446455</v>
      </c>
    </row>
    <row r="117" spans="1:10" x14ac:dyDescent="0.2">
      <c r="B117">
        <v>11</v>
      </c>
      <c r="C117">
        <v>3</v>
      </c>
      <c r="D117" s="2">
        <v>2.8210000000000002</v>
      </c>
      <c r="E117" s="2">
        <v>1.585</v>
      </c>
      <c r="F117" s="2">
        <f>100*E117/D117</f>
        <v>56.185749734136827</v>
      </c>
      <c r="G117" s="6">
        <v>1</v>
      </c>
      <c r="I117" s="2">
        <f>(0.5/0.719)*D117</f>
        <v>1.9617524339360226</v>
      </c>
      <c r="J117" s="2">
        <f>(0.5/0.719)*E117</f>
        <v>1.1022253129346316</v>
      </c>
    </row>
    <row r="118" spans="1:10" x14ac:dyDescent="0.2">
      <c r="B118">
        <v>12</v>
      </c>
      <c r="C118">
        <v>4</v>
      </c>
      <c r="D118" s="2">
        <v>2.1030000000000002</v>
      </c>
      <c r="E118" s="2">
        <v>0</v>
      </c>
      <c r="F118" s="2">
        <f>100*E118/D118</f>
        <v>0</v>
      </c>
      <c r="G118" s="6">
        <v>0</v>
      </c>
      <c r="I118" s="2">
        <f>(0.5/0.719)*D118</f>
        <v>1.4624478442280948</v>
      </c>
      <c r="J118" s="2">
        <f>(0.5/0.719)*E118</f>
        <v>0</v>
      </c>
    </row>
    <row r="119" spans="1:10" x14ac:dyDescent="0.2">
      <c r="B119">
        <v>13</v>
      </c>
      <c r="C119">
        <v>5</v>
      </c>
      <c r="D119" s="2">
        <v>2.0670000000000002</v>
      </c>
      <c r="E119" s="2">
        <v>0.19500000000000001</v>
      </c>
      <c r="F119" s="2">
        <f>100*E119/D119</f>
        <v>9.4339622641509422</v>
      </c>
      <c r="G119" s="6">
        <v>1</v>
      </c>
      <c r="I119" s="2">
        <f>(0.5/0.719)*D119</f>
        <v>1.4374130737134911</v>
      </c>
      <c r="J119" s="2">
        <f>(0.5/0.719)*E119</f>
        <v>0.13560500695410294</v>
      </c>
    </row>
    <row r="120" spans="1:10" x14ac:dyDescent="0.2">
      <c r="B120">
        <v>14</v>
      </c>
      <c r="C120">
        <v>6</v>
      </c>
      <c r="D120" s="2">
        <v>3.738</v>
      </c>
      <c r="E120" s="2">
        <f>0.587+0.116</f>
        <v>0.70299999999999996</v>
      </c>
      <c r="F120" s="2">
        <f>100*E120/D120</f>
        <v>18.806848582129479</v>
      </c>
      <c r="G120" s="6">
        <v>1</v>
      </c>
      <c r="I120" s="2">
        <f>(0.5/0.719)*D120</f>
        <v>2.5994436717663425</v>
      </c>
      <c r="J120" s="2">
        <f>(0.5/0.719)*E120</f>
        <v>0.48887343532684285</v>
      </c>
    </row>
    <row r="121" spans="1:10" x14ac:dyDescent="0.2">
      <c r="B121">
        <v>15</v>
      </c>
      <c r="C121">
        <v>7</v>
      </c>
      <c r="D121" s="2">
        <v>1.77</v>
      </c>
      <c r="E121" s="2">
        <v>0</v>
      </c>
      <c r="F121" s="2">
        <f>100*E121/D121</f>
        <v>0</v>
      </c>
      <c r="G121" s="6">
        <v>0</v>
      </c>
      <c r="I121" s="2">
        <f>(0.5/0.719)*D121</f>
        <v>1.2308762169680112</v>
      </c>
      <c r="J121" s="2">
        <f>(0.5/0.719)*E121</f>
        <v>0</v>
      </c>
    </row>
    <row r="122" spans="1:10" x14ac:dyDescent="0.2">
      <c r="B122">
        <v>16</v>
      </c>
      <c r="C122">
        <v>8</v>
      </c>
      <c r="D122" s="2">
        <v>2.2530000000000001</v>
      </c>
      <c r="E122" s="2">
        <v>0.189</v>
      </c>
      <c r="F122" s="2">
        <f>100*E122/D122</f>
        <v>8.3888149134487335</v>
      </c>
      <c r="G122" s="6">
        <v>1</v>
      </c>
      <c r="I122" s="2">
        <f>(0.5/0.719)*D122</f>
        <v>1.5667593880389432</v>
      </c>
      <c r="J122" s="2">
        <f>(0.5/0.719)*E122</f>
        <v>0.131432545201669</v>
      </c>
    </row>
    <row r="123" spans="1:10" x14ac:dyDescent="0.2">
      <c r="B123">
        <v>17</v>
      </c>
      <c r="C123">
        <v>9</v>
      </c>
      <c r="D123" s="2">
        <v>2.6360000000000001</v>
      </c>
      <c r="E123" s="2">
        <f>0.377+0.159</f>
        <v>0.53600000000000003</v>
      </c>
      <c r="F123" s="2">
        <f>100*E123/D123</f>
        <v>20.333839150227618</v>
      </c>
      <c r="G123" s="6">
        <v>1</v>
      </c>
      <c r="I123" s="2">
        <f>(0.5/0.719)*D123</f>
        <v>1.8331015299026427</v>
      </c>
      <c r="J123" s="2">
        <f>(0.5/0.719)*E123</f>
        <v>0.37273991655076499</v>
      </c>
    </row>
    <row r="124" spans="1:10" x14ac:dyDescent="0.2">
      <c r="B124">
        <v>18</v>
      </c>
      <c r="C124">
        <v>10</v>
      </c>
      <c r="D124" s="2">
        <v>2.1040000000000001</v>
      </c>
      <c r="E124" s="2">
        <f>0.359+0.202</f>
        <v>0.56099999999999994</v>
      </c>
      <c r="F124" s="2">
        <f>100*E124/D124</f>
        <v>26.663498098859311</v>
      </c>
      <c r="G124" s="6">
        <v>1</v>
      </c>
      <c r="I124" s="2">
        <f>(0.5/0.719)*D124</f>
        <v>1.463143254520167</v>
      </c>
      <c r="J124" s="2">
        <f>(0.5/0.719)*E124</f>
        <v>0.390125173852573</v>
      </c>
    </row>
    <row r="125" spans="1:10" x14ac:dyDescent="0.2">
      <c r="B125">
        <v>19</v>
      </c>
      <c r="C125">
        <v>11</v>
      </c>
      <c r="D125" s="2">
        <v>2.41</v>
      </c>
      <c r="E125" s="2">
        <f>0.232+0.288</f>
        <v>0.52</v>
      </c>
      <c r="F125" s="2">
        <f>100*E125/D125</f>
        <v>21.576763485477176</v>
      </c>
      <c r="G125" s="6">
        <v>1</v>
      </c>
      <c r="I125" s="2">
        <f>(0.5/0.719)*D125</f>
        <v>1.6759388038942979</v>
      </c>
      <c r="J125" s="2">
        <f>(0.5/0.719)*E125</f>
        <v>0.36161335187760785</v>
      </c>
    </row>
    <row r="126" spans="1:10" x14ac:dyDescent="0.2">
      <c r="B126">
        <v>20</v>
      </c>
      <c r="C126">
        <v>12</v>
      </c>
      <c r="D126" s="2">
        <v>1.222</v>
      </c>
      <c r="E126" s="2">
        <v>0.17299999999999999</v>
      </c>
      <c r="F126" s="2">
        <f>100*E126/D126</f>
        <v>14.157119476268411</v>
      </c>
      <c r="G126" s="6">
        <v>1</v>
      </c>
      <c r="I126" s="2">
        <f>(0.5/0.719)*D126</f>
        <v>0.84979137691237838</v>
      </c>
      <c r="J126" s="2">
        <f>(0.5/0.719)*E126</f>
        <v>0.12030598052851182</v>
      </c>
    </row>
    <row r="127" spans="1:10" x14ac:dyDescent="0.2">
      <c r="A127" t="s">
        <v>15</v>
      </c>
      <c r="B127">
        <v>21</v>
      </c>
      <c r="C127">
        <v>1</v>
      </c>
      <c r="D127" s="2">
        <v>2.4409999999999998</v>
      </c>
      <c r="E127" s="2">
        <f>0.32+0.088+0.202</f>
        <v>0.6100000000000001</v>
      </c>
      <c r="F127" s="2">
        <f>100*E127/D127</f>
        <v>24.989758295780423</v>
      </c>
      <c r="G127" s="7">
        <v>1</v>
      </c>
      <c r="H127" s="2">
        <f>6/7</f>
        <v>0.8571428571428571</v>
      </c>
      <c r="I127" s="2">
        <f>(0.5/0.719)*D127</f>
        <v>1.6974965229485397</v>
      </c>
      <c r="J127" s="2">
        <f>(0.5/0.719)*E127</f>
        <v>0.42420027816411693</v>
      </c>
    </row>
    <row r="128" spans="1:10" x14ac:dyDescent="0.2">
      <c r="B128">
        <v>22</v>
      </c>
      <c r="C128">
        <v>2</v>
      </c>
      <c r="D128" s="2">
        <v>1.4630000000000001</v>
      </c>
      <c r="E128" s="2">
        <f>0.274+0.074</f>
        <v>0.34800000000000003</v>
      </c>
      <c r="F128" s="2">
        <f>100*E128/D128</f>
        <v>23.786739576213261</v>
      </c>
      <c r="G128" s="7">
        <v>1</v>
      </c>
      <c r="I128" s="2">
        <f>(0.5/0.719)*D128</f>
        <v>1.0173852573018083</v>
      </c>
      <c r="J128" s="2">
        <f>(0.5/0.719)*E128</f>
        <v>0.24200278164116834</v>
      </c>
    </row>
    <row r="129" spans="1:10" x14ac:dyDescent="0.2">
      <c r="B129">
        <v>23</v>
      </c>
      <c r="C129">
        <v>3</v>
      </c>
      <c r="D129" s="2">
        <v>1.776</v>
      </c>
      <c r="E129" s="2">
        <f>0.15+0.074</f>
        <v>0.22399999999999998</v>
      </c>
      <c r="F129" s="2">
        <f>100*E129/D129</f>
        <v>12.612612612612612</v>
      </c>
      <c r="G129" s="7">
        <v>1</v>
      </c>
      <c r="I129" s="2">
        <f>(0.5/0.719)*D129</f>
        <v>1.2350486787204451</v>
      </c>
      <c r="J129" s="2">
        <f>(0.5/0.719)*E129</f>
        <v>0.15577190542420027</v>
      </c>
    </row>
    <row r="130" spans="1:10" x14ac:dyDescent="0.2">
      <c r="B130">
        <v>24</v>
      </c>
      <c r="C130">
        <v>4</v>
      </c>
      <c r="D130" s="2">
        <v>2.6669999999999998</v>
      </c>
      <c r="E130" s="2">
        <f>0.194+0.291+0.151</f>
        <v>0.63600000000000001</v>
      </c>
      <c r="F130" s="2">
        <f>100*E130/D130</f>
        <v>23.847019122609677</v>
      </c>
      <c r="G130" s="7">
        <v>1</v>
      </c>
      <c r="I130" s="2">
        <f>(0.5/0.719)*D130</f>
        <v>1.8546592489568847</v>
      </c>
      <c r="J130" s="2">
        <f>(0.5/0.719)*E130</f>
        <v>0.44228094575799726</v>
      </c>
    </row>
    <row r="131" spans="1:10" x14ac:dyDescent="0.2">
      <c r="B131">
        <v>25</v>
      </c>
      <c r="C131">
        <v>5</v>
      </c>
      <c r="D131" s="2">
        <v>3.2170000000000001</v>
      </c>
      <c r="E131" s="2">
        <f>0.193+0.219</f>
        <v>0.41200000000000003</v>
      </c>
      <c r="F131" s="2">
        <f>100*E131/D131</f>
        <v>12.806963009014611</v>
      </c>
      <c r="G131" s="7">
        <v>1</v>
      </c>
      <c r="I131" s="2">
        <f>(0.5/0.719)*D131</f>
        <v>2.2371349095966622</v>
      </c>
      <c r="J131" s="2">
        <f>(0.5/0.719)*E131</f>
        <v>0.28650904033379698</v>
      </c>
    </row>
    <row r="132" spans="1:10" x14ac:dyDescent="0.2">
      <c r="B132">
        <v>26</v>
      </c>
      <c r="C132">
        <v>6</v>
      </c>
      <c r="D132" s="2">
        <v>1.9990000000000001</v>
      </c>
      <c r="E132" s="2">
        <v>0</v>
      </c>
      <c r="F132" s="2">
        <f>100*E132/D132</f>
        <v>0</v>
      </c>
      <c r="G132" s="7">
        <v>0</v>
      </c>
      <c r="I132" s="2">
        <f>(0.5/0.719)*D132</f>
        <v>1.3901251738525733</v>
      </c>
      <c r="J132" s="2">
        <f>(0.5/0.719)*E132</f>
        <v>0</v>
      </c>
    </row>
    <row r="133" spans="1:10" x14ac:dyDescent="0.2">
      <c r="B133">
        <v>27</v>
      </c>
      <c r="C133">
        <v>7</v>
      </c>
      <c r="D133" s="2">
        <v>1.4259999999999999</v>
      </c>
      <c r="E133" s="2">
        <v>0.17499999999999999</v>
      </c>
      <c r="F133" s="2">
        <f>100*E133/D133</f>
        <v>12.272089761570829</v>
      </c>
      <c r="G133" s="7">
        <v>1</v>
      </c>
      <c r="I133" s="2">
        <f>(0.5/0.719)*D133</f>
        <v>0.99165507649513218</v>
      </c>
      <c r="J133" s="2">
        <f>(0.5/0.719)*E133</f>
        <v>0.12169680111265647</v>
      </c>
    </row>
    <row r="134" spans="1:10" x14ac:dyDescent="0.2">
      <c r="A134" t="s">
        <v>14</v>
      </c>
      <c r="B134">
        <v>28</v>
      </c>
      <c r="C134">
        <v>1</v>
      </c>
      <c r="D134" s="2">
        <v>1.365</v>
      </c>
      <c r="E134" s="2">
        <f>0.097+0.187</f>
        <v>0.28400000000000003</v>
      </c>
      <c r="F134" s="2">
        <f>100*E134/D134</f>
        <v>20.805860805860807</v>
      </c>
      <c r="G134" s="7">
        <v>1</v>
      </c>
      <c r="H134" s="2">
        <v>1</v>
      </c>
      <c r="I134" s="2">
        <f>(0.5/0.719)*D134</f>
        <v>0.94923504867872055</v>
      </c>
      <c r="J134" s="2">
        <f>(0.5/0.719)*E134</f>
        <v>0.19749652294853967</v>
      </c>
    </row>
    <row r="135" spans="1:10" x14ac:dyDescent="0.2">
      <c r="B135">
        <v>29</v>
      </c>
      <c r="C135">
        <v>2</v>
      </c>
      <c r="D135" s="2">
        <v>5.0880000000000001</v>
      </c>
      <c r="E135" s="2">
        <f>0.446+0.114</f>
        <v>0.56000000000000005</v>
      </c>
      <c r="F135" s="2">
        <f>100*E135/D135</f>
        <v>11.006289308176102</v>
      </c>
      <c r="G135" s="7">
        <v>1</v>
      </c>
      <c r="I135" s="2">
        <f>(0.5/0.719)*D135</f>
        <v>3.5382475660639781</v>
      </c>
      <c r="J135" s="2">
        <f>(0.5/0.719)*E135</f>
        <v>0.3894297635605008</v>
      </c>
    </row>
    <row r="136" spans="1:10" x14ac:dyDescent="0.2">
      <c r="B136">
        <v>30</v>
      </c>
      <c r="C136">
        <v>3</v>
      </c>
      <c r="D136" s="2">
        <v>1.952</v>
      </c>
      <c r="E136" s="2">
        <f>0.169+0.124</f>
        <v>0.29300000000000004</v>
      </c>
      <c r="F136" s="2">
        <f>100*E136/D136</f>
        <v>15.010245901639347</v>
      </c>
      <c r="G136" s="7">
        <v>1</v>
      </c>
      <c r="I136" s="2">
        <f>(0.5/0.719)*D136</f>
        <v>1.357440890125174</v>
      </c>
      <c r="J136" s="2">
        <f>(0.5/0.719)*E136</f>
        <v>0.20375521557719059</v>
      </c>
    </row>
    <row r="137" spans="1:10" x14ac:dyDescent="0.2">
      <c r="B137">
        <v>31</v>
      </c>
      <c r="C137">
        <v>4</v>
      </c>
      <c r="D137" s="2">
        <v>6.0709999999999997</v>
      </c>
      <c r="E137" s="2">
        <f>0.297+0.432+0.144+0.245</f>
        <v>1.1179999999999999</v>
      </c>
      <c r="F137" s="2">
        <f>100*E137/D137</f>
        <v>18.415417558886507</v>
      </c>
      <c r="G137" s="7">
        <v>1</v>
      </c>
      <c r="I137" s="2">
        <f>(0.5/0.719)*D137</f>
        <v>4.2218358831710709</v>
      </c>
      <c r="J137" s="2">
        <f>(0.5/0.719)*E137</f>
        <v>0.77746870653685674</v>
      </c>
    </row>
    <row r="138" spans="1:10" x14ac:dyDescent="0.2">
      <c r="B138">
        <v>32</v>
      </c>
      <c r="C138">
        <v>5</v>
      </c>
      <c r="D138" s="2">
        <v>3.6549999999999998</v>
      </c>
      <c r="E138" s="2">
        <f>0.289+0.26</f>
        <v>0.54899999999999993</v>
      </c>
      <c r="F138" s="2">
        <f>100*E138/D138</f>
        <v>15.020519835841311</v>
      </c>
      <c r="G138" s="7">
        <v>1</v>
      </c>
      <c r="I138" s="2">
        <f>(0.5/0.719)*D138</f>
        <v>2.5417246175243395</v>
      </c>
      <c r="J138" s="2">
        <f>(0.5/0.719)*E138</f>
        <v>0.38178025034770513</v>
      </c>
    </row>
    <row r="139" spans="1:10" x14ac:dyDescent="0.2">
      <c r="B139">
        <v>33</v>
      </c>
      <c r="C139">
        <v>6</v>
      </c>
      <c r="D139" s="2">
        <v>1.8129999999999999</v>
      </c>
      <c r="E139" s="2">
        <f>0.166+0.347</f>
        <v>0.51300000000000001</v>
      </c>
      <c r="F139" s="2">
        <f>100*E139/D139</f>
        <v>28.295642581356869</v>
      </c>
      <c r="G139" s="7">
        <v>1</v>
      </c>
      <c r="I139" s="2">
        <f>(0.5/0.719)*D139</f>
        <v>1.260778859527121</v>
      </c>
      <c r="J139" s="2">
        <f>(0.5/0.719)*E139</f>
        <v>0.35674547983310156</v>
      </c>
    </row>
    <row r="140" spans="1:10" x14ac:dyDescent="0.2">
      <c r="B140">
        <v>34</v>
      </c>
      <c r="C140">
        <v>7</v>
      </c>
      <c r="D140" s="2">
        <v>4.0830000000000002</v>
      </c>
      <c r="E140" s="2">
        <f>0.078+0.819</f>
        <v>0.89699999999999991</v>
      </c>
      <c r="F140" s="2">
        <f>100*E140/D140</f>
        <v>21.969140337986772</v>
      </c>
      <c r="G140" s="7">
        <v>1</v>
      </c>
      <c r="I140" s="2">
        <f>(0.5/0.719)*D140</f>
        <v>2.8393602225312939</v>
      </c>
      <c r="J140" s="2">
        <f>(0.5/0.719)*E140</f>
        <v>0.62378303198887342</v>
      </c>
    </row>
    <row r="141" spans="1:10" x14ac:dyDescent="0.2">
      <c r="B141">
        <v>35</v>
      </c>
      <c r="C141">
        <v>8</v>
      </c>
      <c r="D141" s="2">
        <v>1.6060000000000001</v>
      </c>
      <c r="E141" s="2">
        <v>0.32700000000000001</v>
      </c>
      <c r="F141" s="2">
        <f>100*E141/D141</f>
        <v>20.361145703611459</v>
      </c>
      <c r="G141" s="7">
        <v>1</v>
      </c>
      <c r="I141" s="2">
        <f>(0.5/0.719)*D141</f>
        <v>1.1168289290681503</v>
      </c>
      <c r="J141" s="2">
        <f>(0.5/0.719)*E141</f>
        <v>0.22739916550764955</v>
      </c>
    </row>
    <row r="142" spans="1:10" x14ac:dyDescent="0.2">
      <c r="B142">
        <v>36</v>
      </c>
      <c r="C142">
        <v>9</v>
      </c>
      <c r="D142" s="2">
        <v>1.758</v>
      </c>
      <c r="E142" s="2">
        <f>0.29+0.181</f>
        <v>0.47099999999999997</v>
      </c>
      <c r="F142" s="2">
        <f>100*E142/D142</f>
        <v>26.791808873720132</v>
      </c>
      <c r="G142" s="7">
        <v>1</v>
      </c>
      <c r="I142" s="2">
        <f>(0.5/0.719)*D142</f>
        <v>1.2225312934631434</v>
      </c>
      <c r="J142" s="2">
        <f>(0.5/0.719)*E142</f>
        <v>0.32753824756606398</v>
      </c>
    </row>
    <row r="143" spans="1:10" x14ac:dyDescent="0.2">
      <c r="A143" t="s">
        <v>13</v>
      </c>
      <c r="B143">
        <v>37</v>
      </c>
      <c r="C143">
        <v>1</v>
      </c>
      <c r="D143" s="2">
        <v>2.0019999999999998</v>
      </c>
      <c r="E143" s="2">
        <v>0.20899999999999999</v>
      </c>
      <c r="F143" s="2">
        <f>100*E143/D143</f>
        <v>10.43956043956044</v>
      </c>
      <c r="G143" s="7">
        <v>1</v>
      </c>
      <c r="H143" s="2">
        <v>1</v>
      </c>
      <c r="I143" s="2">
        <f>(0.5/0.719)*D143</f>
        <v>1.3922114047287899</v>
      </c>
      <c r="J143" s="2">
        <f>(0.5/0.719)*E143</f>
        <v>0.14534075104311545</v>
      </c>
    </row>
    <row r="144" spans="1:10" x14ac:dyDescent="0.2">
      <c r="B144">
        <v>38</v>
      </c>
      <c r="C144">
        <v>2</v>
      </c>
      <c r="D144" s="2">
        <v>1.2290000000000001</v>
      </c>
      <c r="E144" s="2">
        <v>0.21199999999999999</v>
      </c>
      <c r="F144" s="2">
        <f>100*E144/D144</f>
        <v>17.249796582587468</v>
      </c>
      <c r="G144" s="7">
        <v>1</v>
      </c>
      <c r="I144" s="2">
        <f>(0.5/0.719)*D144</f>
        <v>0.85465924895688472</v>
      </c>
      <c r="J144" s="2">
        <f>(0.5/0.719)*E144</f>
        <v>0.14742698191933243</v>
      </c>
    </row>
    <row r="145" spans="1:10" x14ac:dyDescent="0.2">
      <c r="B145">
        <v>39</v>
      </c>
      <c r="C145">
        <v>3</v>
      </c>
      <c r="D145" s="2">
        <v>9.7889999999999997</v>
      </c>
      <c r="E145" s="2">
        <f>0.13+0.186+0.239+0.194+0.163+0.218+0.118+0.229</f>
        <v>1.4769999999999999</v>
      </c>
      <c r="F145" s="2">
        <f>100*E145/D145</f>
        <v>15.088364490754929</v>
      </c>
      <c r="G145" s="7">
        <v>1</v>
      </c>
      <c r="I145" s="2">
        <f>(0.5/0.719)*D145</f>
        <v>6.8073713490959671</v>
      </c>
      <c r="J145" s="2">
        <f>(0.5/0.719)*E145</f>
        <v>1.0271210013908205</v>
      </c>
    </row>
    <row r="146" spans="1:10" x14ac:dyDescent="0.2">
      <c r="B146">
        <v>40</v>
      </c>
      <c r="C146">
        <v>4</v>
      </c>
      <c r="D146" s="2">
        <v>4.649</v>
      </c>
      <c r="E146" s="2">
        <f>0.095+0.329+0.137</f>
        <v>0.56100000000000005</v>
      </c>
      <c r="F146" s="2">
        <f>100*E146/D146</f>
        <v>12.067111206711122</v>
      </c>
      <c r="G146" s="7">
        <v>1</v>
      </c>
      <c r="I146" s="2">
        <f>(0.5/0.719)*D146</f>
        <v>3.2329624478442285</v>
      </c>
      <c r="J146" s="2">
        <f>(0.5/0.719)*E146</f>
        <v>0.39012517385257311</v>
      </c>
    </row>
    <row r="147" spans="1:10" x14ac:dyDescent="0.2">
      <c r="B147">
        <v>41</v>
      </c>
      <c r="C147">
        <v>5</v>
      </c>
      <c r="D147" s="2">
        <v>4.4379999999999997</v>
      </c>
      <c r="E147" s="2">
        <f>0.292+0.125</f>
        <v>0.41699999999999998</v>
      </c>
      <c r="F147" s="2">
        <f>100*E147/D147</f>
        <v>9.3961243803515089</v>
      </c>
      <c r="G147" s="7">
        <v>1</v>
      </c>
      <c r="I147" s="2">
        <f>(0.5/0.719)*D147</f>
        <v>3.0862308762169683</v>
      </c>
      <c r="J147" s="2">
        <f>(0.5/0.719)*E147</f>
        <v>0.28998609179415857</v>
      </c>
    </row>
    <row r="148" spans="1:10" x14ac:dyDescent="0.2">
      <c r="B148">
        <v>42</v>
      </c>
      <c r="C148">
        <v>6</v>
      </c>
      <c r="D148" s="2">
        <v>1.8</v>
      </c>
      <c r="E148" s="2">
        <v>0.27</v>
      </c>
      <c r="F148" s="2">
        <f>100*E148/D148</f>
        <v>15</v>
      </c>
      <c r="G148" s="7">
        <v>1</v>
      </c>
      <c r="I148" s="2">
        <f>(0.5/0.719)*D148</f>
        <v>1.251738525730181</v>
      </c>
      <c r="J148" s="2">
        <f>(0.5/0.719)*E148</f>
        <v>0.18776077885952716</v>
      </c>
    </row>
    <row r="149" spans="1:10" x14ac:dyDescent="0.2">
      <c r="B149">
        <v>43</v>
      </c>
      <c r="C149">
        <v>7</v>
      </c>
      <c r="D149" s="2">
        <v>1.8919999999999999</v>
      </c>
      <c r="E149" s="2">
        <f>0.108+0.147</f>
        <v>0.255</v>
      </c>
      <c r="F149" s="2">
        <f>100*E149/D149</f>
        <v>13.477801268498943</v>
      </c>
      <c r="G149" s="7">
        <v>1</v>
      </c>
      <c r="I149" s="2">
        <f>(0.5/0.719)*D149</f>
        <v>1.3157162726008345</v>
      </c>
      <c r="J149" s="2">
        <f>(0.5/0.719)*E149</f>
        <v>0.1773296244784423</v>
      </c>
    </row>
    <row r="150" spans="1:10" x14ac:dyDescent="0.2">
      <c r="A150" t="s">
        <v>12</v>
      </c>
      <c r="B150">
        <v>44</v>
      </c>
      <c r="C150">
        <v>1</v>
      </c>
      <c r="D150" s="2">
        <v>4.8250000000000002</v>
      </c>
      <c r="E150" s="2">
        <f>0.125+0.301+0.06+0.07+0.305+0.491+0.109</f>
        <v>1.4609999999999999</v>
      </c>
      <c r="F150" s="2">
        <f>100*E150/D150</f>
        <v>30.279792746113987</v>
      </c>
      <c r="G150" s="7">
        <v>1</v>
      </c>
      <c r="H150" s="2">
        <v>1</v>
      </c>
      <c r="I150" s="2">
        <f>(0.5/0.719)*D150</f>
        <v>3.3553546592489574</v>
      </c>
      <c r="J150" s="2">
        <f>(0.5/0.719)*E150</f>
        <v>1.0159944367176634</v>
      </c>
    </row>
    <row r="151" spans="1:10" x14ac:dyDescent="0.2">
      <c r="B151">
        <v>45</v>
      </c>
      <c r="C151">
        <v>2</v>
      </c>
      <c r="D151" s="2">
        <v>1.5960000000000001</v>
      </c>
      <c r="E151" s="2">
        <f>0.208+0.196</f>
        <v>0.40400000000000003</v>
      </c>
      <c r="F151" s="2">
        <f>100*E151/D151</f>
        <v>25.313283208020053</v>
      </c>
      <c r="G151" s="7">
        <v>1</v>
      </c>
      <c r="I151" s="2">
        <f>(0.5/0.719)*D151</f>
        <v>1.1098748261474272</v>
      </c>
      <c r="J151" s="2">
        <f>(0.5/0.719)*E151</f>
        <v>0.28094575799721838</v>
      </c>
    </row>
    <row r="152" spans="1:10" x14ac:dyDescent="0.2">
      <c r="B152">
        <v>46</v>
      </c>
      <c r="C152">
        <v>3</v>
      </c>
      <c r="D152" s="2">
        <v>2.35</v>
      </c>
      <c r="E152" s="2">
        <f>0.138+0.237</f>
        <v>0.375</v>
      </c>
      <c r="F152" s="2">
        <f>100*E152/D152</f>
        <v>15.957446808510637</v>
      </c>
      <c r="G152" s="7">
        <v>1</v>
      </c>
      <c r="I152" s="2">
        <f>(0.5/0.719)*D152</f>
        <v>1.6342141863699584</v>
      </c>
      <c r="J152" s="2">
        <f>(0.5/0.719)*E152</f>
        <v>0.26077885952712104</v>
      </c>
    </row>
    <row r="153" spans="1:10" x14ac:dyDescent="0.2">
      <c r="B153">
        <v>47</v>
      </c>
      <c r="C153">
        <v>4</v>
      </c>
      <c r="D153" s="2">
        <v>1.629</v>
      </c>
      <c r="E153" s="2">
        <v>0.21199999999999999</v>
      </c>
      <c r="F153" s="2">
        <f>100*E153/D153</f>
        <v>13.014119091467157</v>
      </c>
      <c r="G153" s="7">
        <v>1</v>
      </c>
      <c r="I153" s="2">
        <f>(0.5/0.719)*D153</f>
        <v>1.1328233657858138</v>
      </c>
      <c r="J153" s="2">
        <f>(0.5/0.719)*E153</f>
        <v>0.14742698191933243</v>
      </c>
    </row>
    <row r="154" spans="1:10" x14ac:dyDescent="0.2">
      <c r="B154">
        <v>48</v>
      </c>
      <c r="C154">
        <v>5</v>
      </c>
      <c r="D154" s="2">
        <v>5.1479999999999997</v>
      </c>
      <c r="E154" s="2">
        <f>0.398+0.535</f>
        <v>0.93300000000000005</v>
      </c>
      <c r="F154" s="2">
        <f>100*E154/D154</f>
        <v>18.123543123543126</v>
      </c>
      <c r="G154" s="7">
        <v>1</v>
      </c>
      <c r="I154" s="2">
        <f>(0.5/0.719)*D154</f>
        <v>3.5799721835883171</v>
      </c>
      <c r="J154" s="2">
        <f>(0.5/0.719)*E154</f>
        <v>0.6488178025034772</v>
      </c>
    </row>
    <row r="155" spans="1:10" x14ac:dyDescent="0.2">
      <c r="A155" t="s">
        <v>11</v>
      </c>
      <c r="B155">
        <v>49</v>
      </c>
      <c r="C155">
        <v>1</v>
      </c>
      <c r="D155" s="2">
        <v>1.8069999999999999</v>
      </c>
      <c r="E155" s="2">
        <f>0.175+0.258+0.111</f>
        <v>0.54400000000000004</v>
      </c>
      <c r="F155" s="2">
        <f>100*E155/D155</f>
        <v>30.105146651909244</v>
      </c>
      <c r="G155" s="7">
        <v>1</v>
      </c>
      <c r="H155" s="2">
        <f>2/3</f>
        <v>0.66666666666666663</v>
      </c>
      <c r="I155" s="2">
        <f>(0.5/0.719)*D155</f>
        <v>1.2566063977746871</v>
      </c>
      <c r="J155" s="2">
        <f>(0.5/0.719)*E155</f>
        <v>0.37830319888734359</v>
      </c>
    </row>
    <row r="156" spans="1:10" x14ac:dyDescent="0.2">
      <c r="B156">
        <v>50</v>
      </c>
      <c r="C156">
        <v>2</v>
      </c>
      <c r="D156" s="2">
        <v>2.0910000000000002</v>
      </c>
      <c r="E156" s="2">
        <v>9.8000000000000004E-2</v>
      </c>
      <c r="F156" s="2">
        <f>100*E156/D156</f>
        <v>4.6867527498804398</v>
      </c>
      <c r="G156" s="7">
        <v>1</v>
      </c>
      <c r="I156" s="2">
        <f>(0.5/0.719)*D156</f>
        <v>1.454102920723227</v>
      </c>
      <c r="J156" s="2">
        <f>(0.5/0.719)*E156</f>
        <v>6.8150208623087627E-2</v>
      </c>
    </row>
    <row r="157" spans="1:10" x14ac:dyDescent="0.2">
      <c r="B157">
        <v>51</v>
      </c>
      <c r="C157">
        <v>3</v>
      </c>
      <c r="D157" s="2">
        <v>1.409</v>
      </c>
      <c r="E157" s="2">
        <v>0</v>
      </c>
      <c r="F157" s="2">
        <f>100*E157/D157</f>
        <v>0</v>
      </c>
      <c r="G157" s="7">
        <v>0</v>
      </c>
      <c r="I157" s="2">
        <f>(0.5/0.719)*D157</f>
        <v>0.97983310152990277</v>
      </c>
      <c r="J157" s="2">
        <f>(0.5/0.719)*E157</f>
        <v>0</v>
      </c>
    </row>
    <row r="158" spans="1:10" x14ac:dyDescent="0.2">
      <c r="A158" t="s">
        <v>10</v>
      </c>
      <c r="B158">
        <v>52</v>
      </c>
      <c r="C158">
        <v>1</v>
      </c>
      <c r="D158" s="2">
        <v>3.052</v>
      </c>
      <c r="E158" s="2">
        <f>0.348+0.084</f>
        <v>0.432</v>
      </c>
      <c r="F158" s="2">
        <f>100*E158/D158</f>
        <v>14.154652686762779</v>
      </c>
      <c r="G158" s="7">
        <v>1</v>
      </c>
      <c r="H158" s="2">
        <v>1</v>
      </c>
      <c r="I158" s="2">
        <f>(0.5/0.719)*D158</f>
        <v>2.1223922114047289</v>
      </c>
      <c r="J158" s="2">
        <f>(0.5/0.719)*E158</f>
        <v>0.3004172461752434</v>
      </c>
    </row>
    <row r="159" spans="1:10" x14ac:dyDescent="0.2">
      <c r="B159">
        <v>53</v>
      </c>
      <c r="C159">
        <v>2</v>
      </c>
      <c r="D159" s="2">
        <v>1.35</v>
      </c>
      <c r="E159" s="2">
        <f>0.099+0.249</f>
        <v>0.34799999999999998</v>
      </c>
      <c r="F159" s="2">
        <f>100*E159/D159</f>
        <v>25.777777777777775</v>
      </c>
      <c r="G159" s="7">
        <v>1</v>
      </c>
      <c r="I159" s="2">
        <f>(0.5/0.719)*D159</f>
        <v>0.93880389429763578</v>
      </c>
      <c r="J159" s="2">
        <f>(0.5/0.719)*E159</f>
        <v>0.24200278164116829</v>
      </c>
    </row>
    <row r="160" spans="1:10" x14ac:dyDescent="0.2">
      <c r="B160">
        <v>54</v>
      </c>
      <c r="C160">
        <v>3</v>
      </c>
      <c r="D160" s="2">
        <v>2.6880000000000002</v>
      </c>
      <c r="E160" s="2">
        <f>0.57+0.201</f>
        <v>0.77099999999999991</v>
      </c>
      <c r="F160" s="2">
        <f>100*E160/D160</f>
        <v>28.683035714285712</v>
      </c>
      <c r="G160" s="7">
        <v>1</v>
      </c>
      <c r="I160" s="2">
        <f>(0.5/0.719)*D160</f>
        <v>1.8692628650904037</v>
      </c>
      <c r="J160" s="2">
        <f>(0.5/0.719)*E160</f>
        <v>0.53616133518776077</v>
      </c>
    </row>
    <row r="161" spans="1:10" x14ac:dyDescent="0.2">
      <c r="B161">
        <v>55</v>
      </c>
      <c r="C161">
        <v>4</v>
      </c>
      <c r="D161" s="2">
        <v>1.3080000000000001</v>
      </c>
      <c r="E161" s="2">
        <v>0.16600000000000001</v>
      </c>
      <c r="F161" s="2">
        <f>100*E161/D161</f>
        <v>12.691131498470948</v>
      </c>
      <c r="G161" s="7">
        <v>1</v>
      </c>
      <c r="I161" s="2">
        <f>(0.5/0.719)*D161</f>
        <v>0.90959666203059819</v>
      </c>
      <c r="J161" s="2">
        <f>(0.5/0.719)*E161</f>
        <v>0.11543810848400558</v>
      </c>
    </row>
    <row r="162" spans="1:10" x14ac:dyDescent="0.2">
      <c r="B162">
        <v>56</v>
      </c>
      <c r="C162">
        <v>5</v>
      </c>
      <c r="D162" s="2">
        <v>1.764</v>
      </c>
      <c r="E162" s="2">
        <v>0.10299999999999999</v>
      </c>
      <c r="F162" s="2">
        <f>100*E162/D162</f>
        <v>5.8390022675736954</v>
      </c>
      <c r="G162" s="7">
        <v>1</v>
      </c>
      <c r="I162" s="2">
        <f>(0.5/0.719)*D162</f>
        <v>1.2267037552155773</v>
      </c>
      <c r="J162" s="2">
        <f>(0.5/0.719)*E162</f>
        <v>7.1627260083449246E-2</v>
      </c>
    </row>
    <row r="163" spans="1:10" x14ac:dyDescent="0.2">
      <c r="A163" t="s">
        <v>9</v>
      </c>
      <c r="B163">
        <v>57</v>
      </c>
      <c r="C163">
        <v>1</v>
      </c>
      <c r="D163" s="2">
        <v>2.5680000000000001</v>
      </c>
      <c r="E163" s="2">
        <v>0.13900000000000001</v>
      </c>
      <c r="F163" s="2">
        <f>100*E163/D163</f>
        <v>5.4127725856697824</v>
      </c>
      <c r="G163" s="7">
        <v>1</v>
      </c>
      <c r="H163" s="2">
        <v>1</v>
      </c>
      <c r="I163" s="2">
        <f>(0.5/0.719)*D163</f>
        <v>1.7858136300417249</v>
      </c>
      <c r="J163" s="2">
        <f>(0.5/0.719)*E163</f>
        <v>9.6662030598052867E-2</v>
      </c>
    </row>
    <row r="164" spans="1:10" x14ac:dyDescent="0.2">
      <c r="B164">
        <v>58</v>
      </c>
      <c r="C164">
        <v>2</v>
      </c>
      <c r="D164" s="2">
        <v>2.266</v>
      </c>
      <c r="E164" s="2">
        <v>0.11700000000000001</v>
      </c>
      <c r="F164" s="2">
        <f>100*E164/D164</f>
        <v>5.1632833186231251</v>
      </c>
      <c r="G164" s="7">
        <v>1</v>
      </c>
      <c r="I164" s="2">
        <f>(0.5/0.719)*D164</f>
        <v>1.5757997218358832</v>
      </c>
      <c r="J164" s="2">
        <f>(0.5/0.719)*E164</f>
        <v>8.136300417246177E-2</v>
      </c>
    </row>
    <row r="165" spans="1:10" x14ac:dyDescent="0.2">
      <c r="B165">
        <v>59</v>
      </c>
      <c r="C165">
        <v>3</v>
      </c>
      <c r="D165" s="2">
        <v>2.1560000000000001</v>
      </c>
      <c r="E165" s="2">
        <f>0.232+0.101</f>
        <v>0.33300000000000002</v>
      </c>
      <c r="F165" s="2">
        <f>100*E165/D165</f>
        <v>15.445269016697589</v>
      </c>
      <c r="G165" s="7">
        <v>1</v>
      </c>
      <c r="I165" s="2">
        <f>(0.5/0.719)*D165</f>
        <v>1.499304589707928</v>
      </c>
      <c r="J165" s="2">
        <f>(0.5/0.719)*E165</f>
        <v>0.23157162726008348</v>
      </c>
    </row>
    <row r="166" spans="1:10" x14ac:dyDescent="0.2">
      <c r="B166">
        <v>60</v>
      </c>
      <c r="C166">
        <v>4</v>
      </c>
      <c r="D166" s="2">
        <v>2.0059999999999998</v>
      </c>
      <c r="E166" s="2">
        <f>0.19+0.134</f>
        <v>0.32400000000000001</v>
      </c>
      <c r="F166" s="2">
        <f>100*E166/D166</f>
        <v>16.151545363908276</v>
      </c>
      <c r="G166" s="7">
        <v>1</v>
      </c>
      <c r="I166" s="2">
        <f>(0.5/0.719)*D166</f>
        <v>1.3949930458970792</v>
      </c>
      <c r="J166" s="2">
        <f>(0.5/0.719)*E166</f>
        <v>0.22531293463143257</v>
      </c>
    </row>
    <row r="167" spans="1:10" x14ac:dyDescent="0.2">
      <c r="B167">
        <v>61</v>
      </c>
      <c r="C167">
        <v>5</v>
      </c>
      <c r="D167" s="2">
        <v>4.2910000000000004</v>
      </c>
      <c r="E167" s="2">
        <v>0.28299999999999997</v>
      </c>
      <c r="F167" s="2">
        <f>100*E167/D167</f>
        <v>6.5951992542530871</v>
      </c>
      <c r="G167" s="7">
        <v>1</v>
      </c>
      <c r="I167" s="2">
        <f>(0.5/0.719)*D167</f>
        <v>2.984005563282337</v>
      </c>
      <c r="J167" s="2">
        <f>(0.5/0.719)*E167</f>
        <v>0.19680111265646733</v>
      </c>
    </row>
    <row r="168" spans="1:10" x14ac:dyDescent="0.2">
      <c r="A168" t="s">
        <v>8</v>
      </c>
      <c r="B168">
        <v>62</v>
      </c>
      <c r="C168">
        <v>1</v>
      </c>
      <c r="D168" s="2">
        <v>2.9449999999999998</v>
      </c>
      <c r="E168" s="2">
        <f>0.204+0.19+0.083</f>
        <v>0.47700000000000004</v>
      </c>
      <c r="F168" s="2">
        <f>100*E168/D168</f>
        <v>16.196943972835317</v>
      </c>
      <c r="G168" s="7">
        <v>1</v>
      </c>
      <c r="H168" s="2">
        <f>7/8</f>
        <v>0.875</v>
      </c>
      <c r="I168" s="2">
        <f>(0.5/0.719)*D168</f>
        <v>2.0479833101529903</v>
      </c>
      <c r="J168" s="2">
        <f>(0.5/0.719)*E168</f>
        <v>0.331710709318498</v>
      </c>
    </row>
    <row r="169" spans="1:10" x14ac:dyDescent="0.2">
      <c r="B169">
        <v>63</v>
      </c>
      <c r="C169">
        <v>2</v>
      </c>
      <c r="D169" s="2">
        <v>3.7130000000000001</v>
      </c>
      <c r="E169" s="2">
        <v>0.34499999999999997</v>
      </c>
      <c r="F169" s="2">
        <f>100*E169/D169</f>
        <v>9.2916778884998656</v>
      </c>
      <c r="G169" s="7">
        <v>1</v>
      </c>
      <c r="I169" s="2">
        <f>(0.5/0.719)*D169</f>
        <v>2.5820584144645342</v>
      </c>
      <c r="J169" s="2">
        <f>(0.5/0.719)*E169</f>
        <v>0.23991655076495133</v>
      </c>
    </row>
    <row r="170" spans="1:10" x14ac:dyDescent="0.2">
      <c r="B170">
        <v>64</v>
      </c>
      <c r="C170">
        <v>3</v>
      </c>
      <c r="D170" s="2">
        <v>3.2280000000000002</v>
      </c>
      <c r="E170" s="2">
        <f>0.193+0.124</f>
        <v>0.317</v>
      </c>
      <c r="F170" s="2">
        <f>100*E170/D170</f>
        <v>9.8203221809169765</v>
      </c>
      <c r="G170" s="7">
        <v>1</v>
      </c>
      <c r="I170" s="2">
        <f>(0.5/0.719)*D170</f>
        <v>2.2447844228094578</v>
      </c>
      <c r="J170" s="2">
        <f>(0.5/0.719)*E170</f>
        <v>0.22044506258692631</v>
      </c>
    </row>
    <row r="171" spans="1:10" x14ac:dyDescent="0.2">
      <c r="B171">
        <v>65</v>
      </c>
      <c r="C171">
        <v>4</v>
      </c>
      <c r="D171" s="2">
        <v>2.1890000000000001</v>
      </c>
      <c r="E171" s="2">
        <v>0.183</v>
      </c>
      <c r="F171" s="2">
        <f>100*E171/D171</f>
        <v>8.3599817268158976</v>
      </c>
      <c r="G171" s="7">
        <v>1</v>
      </c>
      <c r="I171" s="2">
        <f>(0.5/0.719)*D171</f>
        <v>1.5222531293463146</v>
      </c>
      <c r="J171" s="2">
        <f>(0.5/0.719)*E171</f>
        <v>0.12726008344923506</v>
      </c>
    </row>
    <row r="172" spans="1:10" x14ac:dyDescent="0.2">
      <c r="B172">
        <v>66</v>
      </c>
      <c r="C172">
        <v>5</v>
      </c>
      <c r="D172" s="2">
        <v>5.2590000000000003</v>
      </c>
      <c r="E172" s="2">
        <f>0.226+0.217</f>
        <v>0.443</v>
      </c>
      <c r="F172" s="2">
        <f>100*E172/D172</f>
        <v>8.4236546872028892</v>
      </c>
      <c r="G172" s="7">
        <v>1</v>
      </c>
      <c r="I172" s="2">
        <f>(0.5/0.719)*D172</f>
        <v>3.6571627260083455</v>
      </c>
      <c r="J172" s="2">
        <f>(0.5/0.719)*E172</f>
        <v>0.30806675938803896</v>
      </c>
    </row>
    <row r="173" spans="1:10" x14ac:dyDescent="0.2">
      <c r="B173">
        <v>67</v>
      </c>
      <c r="C173">
        <v>6</v>
      </c>
      <c r="D173" s="2">
        <v>4.8780000000000001</v>
      </c>
      <c r="E173" s="2">
        <f>0.609+0.116+0.447</f>
        <v>1.1719999999999999</v>
      </c>
      <c r="F173" s="2">
        <f>100*E173/D173</f>
        <v>24.02624026240262</v>
      </c>
      <c r="G173" s="7">
        <v>1</v>
      </c>
      <c r="I173" s="2">
        <f>(0.5/0.719)*D173</f>
        <v>3.3922114047287906</v>
      </c>
      <c r="J173" s="2">
        <f>(0.5/0.719)*E173</f>
        <v>0.81502086230876225</v>
      </c>
    </row>
    <row r="174" spans="1:10" x14ac:dyDescent="0.2">
      <c r="B174">
        <v>68</v>
      </c>
      <c r="C174">
        <v>7</v>
      </c>
      <c r="D174" s="2">
        <v>4.1929999999999996</v>
      </c>
      <c r="E174" s="2">
        <f>0.291+0.901</f>
        <v>1.1919999999999999</v>
      </c>
      <c r="F174" s="2">
        <f>100*E174/D174</f>
        <v>28.428332935845457</v>
      </c>
      <c r="G174" s="7">
        <v>1</v>
      </c>
      <c r="I174" s="2">
        <f>(0.5/0.719)*D174</f>
        <v>2.9158553546592492</v>
      </c>
      <c r="J174" s="2">
        <f>(0.5/0.719)*E174</f>
        <v>0.82892906815020873</v>
      </c>
    </row>
    <row r="175" spans="1:10" x14ac:dyDescent="0.2">
      <c r="B175">
        <v>69</v>
      </c>
      <c r="C175">
        <v>8</v>
      </c>
      <c r="D175" s="2">
        <v>2.4289999999999998</v>
      </c>
      <c r="E175" s="2">
        <v>0</v>
      </c>
      <c r="F175" s="2">
        <f>100*E175/D175</f>
        <v>0</v>
      </c>
      <c r="G175" s="7">
        <v>0</v>
      </c>
      <c r="I175" s="2">
        <f>(0.5/0.719)*D175</f>
        <v>1.6891515994436719</v>
      </c>
      <c r="J175" s="2">
        <f>(0.5/0.719)*E175</f>
        <v>0</v>
      </c>
    </row>
    <row r="176" spans="1:10" x14ac:dyDescent="0.2">
      <c r="A176" t="s">
        <v>6</v>
      </c>
      <c r="B176">
        <v>70</v>
      </c>
      <c r="C176">
        <v>1</v>
      </c>
      <c r="D176" s="2">
        <v>2.9809999999999999</v>
      </c>
      <c r="E176" s="2">
        <v>0</v>
      </c>
      <c r="F176" s="2">
        <f>100*E176/D176</f>
        <v>0</v>
      </c>
      <c r="G176" s="7">
        <v>0</v>
      </c>
      <c r="H176" s="2">
        <f>7/11</f>
        <v>0.63636363636363635</v>
      </c>
      <c r="I176" s="2">
        <f>(0.5/0.719)*D176</f>
        <v>2.0730180806675942</v>
      </c>
      <c r="J176" s="2">
        <f>(0.5/0.719)*E176</f>
        <v>0</v>
      </c>
    </row>
    <row r="177" spans="1:10" x14ac:dyDescent="0.2">
      <c r="B177">
        <v>71</v>
      </c>
      <c r="C177">
        <v>2</v>
      </c>
      <c r="D177" s="2">
        <v>2.8759999999999999</v>
      </c>
      <c r="E177" s="2">
        <v>0</v>
      </c>
      <c r="F177" s="2">
        <f>100*E177/D177</f>
        <v>0</v>
      </c>
      <c r="G177" s="7">
        <v>0</v>
      </c>
      <c r="I177" s="2">
        <f>(0.5/0.719)*D177</f>
        <v>2</v>
      </c>
      <c r="J177" s="2">
        <f>(0.5/0.719)*E177</f>
        <v>0</v>
      </c>
    </row>
    <row r="178" spans="1:10" x14ac:dyDescent="0.2">
      <c r="B178">
        <v>72</v>
      </c>
      <c r="C178">
        <v>3</v>
      </c>
      <c r="D178" s="2">
        <v>2.1040000000000001</v>
      </c>
      <c r="E178" s="2">
        <v>0</v>
      </c>
      <c r="F178" s="2">
        <f>100*E178/D178</f>
        <v>0</v>
      </c>
      <c r="G178" s="7">
        <v>0</v>
      </c>
      <c r="I178" s="2">
        <f>(0.5/0.719)*D178</f>
        <v>1.463143254520167</v>
      </c>
      <c r="J178" s="2">
        <f>(0.5/0.719)*E178</f>
        <v>0</v>
      </c>
    </row>
    <row r="179" spans="1:10" x14ac:dyDescent="0.2">
      <c r="B179">
        <v>73</v>
      </c>
      <c r="C179">
        <v>4</v>
      </c>
      <c r="D179" s="2">
        <v>2.593</v>
      </c>
      <c r="E179" s="2">
        <v>0.46800000000000003</v>
      </c>
      <c r="F179" s="2">
        <f>100*E179/D179</f>
        <v>18.048592364057079</v>
      </c>
      <c r="G179" s="7">
        <v>1</v>
      </c>
      <c r="I179" s="2">
        <f>(0.5/0.719)*D179</f>
        <v>1.803198887343533</v>
      </c>
      <c r="J179" s="2">
        <f>(0.5/0.719)*E179</f>
        <v>0.32545201668984708</v>
      </c>
    </row>
    <row r="180" spans="1:10" x14ac:dyDescent="0.2">
      <c r="B180">
        <v>74</v>
      </c>
      <c r="C180">
        <v>5</v>
      </c>
      <c r="D180" s="2">
        <v>1.9219999999999999</v>
      </c>
      <c r="E180" s="2">
        <v>0.42199999999999999</v>
      </c>
      <c r="F180" s="2">
        <f>100*E180/D180</f>
        <v>21.956295525494276</v>
      </c>
      <c r="G180" s="7">
        <v>1</v>
      </c>
      <c r="I180" s="2">
        <f>(0.5/0.719)*D180</f>
        <v>1.3365785813630042</v>
      </c>
      <c r="J180" s="2">
        <f>(0.5/0.719)*E180</f>
        <v>0.29346314325452016</v>
      </c>
    </row>
    <row r="181" spans="1:10" x14ac:dyDescent="0.2">
      <c r="B181">
        <v>75</v>
      </c>
      <c r="C181">
        <v>6</v>
      </c>
      <c r="D181" s="2">
        <v>2.347</v>
      </c>
      <c r="E181" s="2">
        <v>0.44800000000000001</v>
      </c>
      <c r="F181" s="2">
        <f>100*E181/D181</f>
        <v>19.088197699190459</v>
      </c>
      <c r="G181" s="7">
        <v>1</v>
      </c>
      <c r="I181" s="2">
        <f>(0.5/0.719)*D181</f>
        <v>1.6321279554937416</v>
      </c>
      <c r="J181" s="2">
        <f>(0.5/0.719)*E181</f>
        <v>0.3115438108484006</v>
      </c>
    </row>
    <row r="182" spans="1:10" x14ac:dyDescent="0.2">
      <c r="B182">
        <v>76</v>
      </c>
      <c r="C182">
        <v>7</v>
      </c>
      <c r="D182" s="2">
        <v>1.919</v>
      </c>
      <c r="E182" s="2">
        <v>0</v>
      </c>
      <c r="F182" s="2">
        <f>100*E182/D182</f>
        <v>0</v>
      </c>
      <c r="G182" s="7">
        <v>0</v>
      </c>
      <c r="I182" s="2">
        <f>(0.5/0.719)*D182</f>
        <v>1.3344923504867874</v>
      </c>
      <c r="J182" s="2">
        <f>(0.5/0.719)*E182</f>
        <v>0</v>
      </c>
    </row>
    <row r="183" spans="1:10" x14ac:dyDescent="0.2">
      <c r="B183">
        <v>77</v>
      </c>
      <c r="C183">
        <v>8</v>
      </c>
      <c r="D183" s="2">
        <v>3.2549999999999999</v>
      </c>
      <c r="E183" s="2">
        <f>0.304+0.101</f>
        <v>0.40500000000000003</v>
      </c>
      <c r="F183" s="2">
        <f>100*E183/D183</f>
        <v>12.442396313364055</v>
      </c>
      <c r="G183" s="7">
        <v>1</v>
      </c>
      <c r="I183" s="2">
        <f>(0.5/0.719)*D183</f>
        <v>2.2635605006954105</v>
      </c>
      <c r="J183" s="2">
        <f>(0.5/0.719)*E183</f>
        <v>0.28164116828929076</v>
      </c>
    </row>
    <row r="184" spans="1:10" x14ac:dyDescent="0.2">
      <c r="B184">
        <v>78</v>
      </c>
      <c r="C184">
        <v>9</v>
      </c>
      <c r="D184" s="2">
        <v>2.0030000000000001</v>
      </c>
      <c r="E184" s="2">
        <f>0.116+0.158</f>
        <v>0.27400000000000002</v>
      </c>
      <c r="F184" s="2">
        <f>100*E184/D184</f>
        <v>13.679480778831753</v>
      </c>
      <c r="G184" s="7">
        <v>1</v>
      </c>
      <c r="I184" s="2">
        <f>(0.5/0.719)*D184</f>
        <v>1.3929068150208626</v>
      </c>
      <c r="J184" s="2">
        <f>(0.5/0.719)*E184</f>
        <v>0.19054242002781643</v>
      </c>
    </row>
    <row r="185" spans="1:10" x14ac:dyDescent="0.2">
      <c r="B185">
        <v>79</v>
      </c>
      <c r="C185">
        <v>10</v>
      </c>
      <c r="D185" s="2">
        <v>2.714</v>
      </c>
      <c r="E185" s="2">
        <v>0.22800000000000001</v>
      </c>
      <c r="F185" s="2">
        <f>100*E185/D185</f>
        <v>8.4008843036109067</v>
      </c>
      <c r="G185" s="7">
        <v>1</v>
      </c>
      <c r="I185" s="2">
        <f>(0.5/0.719)*D185</f>
        <v>1.887343532684284</v>
      </c>
      <c r="J185" s="2">
        <f>(0.5/0.719)*E185</f>
        <v>0.1585535465924896</v>
      </c>
    </row>
    <row r="186" spans="1:10" x14ac:dyDescent="0.2">
      <c r="B186">
        <v>80</v>
      </c>
      <c r="C186">
        <v>11</v>
      </c>
      <c r="D186" s="2">
        <v>2.4630000000000001</v>
      </c>
      <c r="E186" s="2">
        <v>0.27800000000000002</v>
      </c>
      <c r="F186" s="2">
        <f>100*E186/D186</f>
        <v>11.287048315062933</v>
      </c>
      <c r="G186" s="7">
        <v>1</v>
      </c>
      <c r="I186" s="2">
        <f>(0.5/0.719)*D186</f>
        <v>1.7127955493741309</v>
      </c>
      <c r="J186" s="2">
        <f>(0.5/0.719)*E186</f>
        <v>0.19332406119610573</v>
      </c>
    </row>
    <row r="187" spans="1:10" x14ac:dyDescent="0.2">
      <c r="A187" t="s">
        <v>5</v>
      </c>
      <c r="B187">
        <v>81</v>
      </c>
      <c r="C187">
        <v>1</v>
      </c>
      <c r="D187" s="2">
        <v>2.742</v>
      </c>
      <c r="E187" s="2">
        <v>0.58499999999999996</v>
      </c>
      <c r="F187" s="2">
        <f>100*E187/D187</f>
        <v>21.334792122538293</v>
      </c>
      <c r="G187" s="7">
        <v>1</v>
      </c>
      <c r="H187" s="2">
        <v>1</v>
      </c>
      <c r="I187" s="2">
        <f>(0.5/0.719)*D187</f>
        <v>1.9068150208623089</v>
      </c>
      <c r="J187" s="2">
        <f>(0.5/0.719)*E187</f>
        <v>0.40681502086230881</v>
      </c>
    </row>
    <row r="188" spans="1:10" x14ac:dyDescent="0.2">
      <c r="B188">
        <v>82</v>
      </c>
      <c r="C188">
        <v>2</v>
      </c>
      <c r="D188" s="2">
        <v>2.1440000000000001</v>
      </c>
      <c r="E188" s="2">
        <f>0.362+0.388</f>
        <v>0.75</v>
      </c>
      <c r="F188" s="2">
        <f>100*E188/D188</f>
        <v>34.981343283582085</v>
      </c>
      <c r="G188" s="7">
        <v>1</v>
      </c>
      <c r="I188" s="2">
        <f>(0.5/0.719)*D188</f>
        <v>1.49095966620306</v>
      </c>
      <c r="J188" s="2">
        <f>(0.5/0.719)*E188</f>
        <v>0.52155771905424209</v>
      </c>
    </row>
    <row r="189" spans="1:10" x14ac:dyDescent="0.2">
      <c r="B189">
        <v>83</v>
      </c>
      <c r="C189">
        <v>3</v>
      </c>
      <c r="D189" s="2">
        <v>2.746</v>
      </c>
      <c r="E189" s="2">
        <v>0.20699999999999999</v>
      </c>
      <c r="F189" s="2">
        <f>100*E189/D189</f>
        <v>7.538237436270939</v>
      </c>
      <c r="G189" s="7">
        <v>1</v>
      </c>
      <c r="I189" s="2">
        <f>(0.5/0.719)*D189</f>
        <v>1.9095966620305982</v>
      </c>
      <c r="J189" s="2">
        <f>(0.5/0.719)*E189</f>
        <v>0.14394993045897081</v>
      </c>
    </row>
    <row r="190" spans="1:10" x14ac:dyDescent="0.2">
      <c r="A190" t="s">
        <v>4</v>
      </c>
      <c r="B190">
        <v>84</v>
      </c>
      <c r="C190">
        <v>1</v>
      </c>
      <c r="D190" s="2">
        <v>3.202</v>
      </c>
      <c r="E190" s="2">
        <v>0.245</v>
      </c>
      <c r="F190" s="2">
        <f>100*E190/D190</f>
        <v>7.6514678326046219</v>
      </c>
      <c r="G190" s="7">
        <v>1</v>
      </c>
      <c r="H190" s="2">
        <v>1</v>
      </c>
      <c r="I190" s="2">
        <f>(0.5/0.719)*D190</f>
        <v>2.2267037552155773</v>
      </c>
      <c r="J190" s="2">
        <f>(0.5/0.719)*E190</f>
        <v>0.17037552155771907</v>
      </c>
    </row>
    <row r="191" spans="1:10" x14ac:dyDescent="0.2">
      <c r="B191">
        <v>85</v>
      </c>
      <c r="C191">
        <v>2</v>
      </c>
      <c r="D191" s="2">
        <v>2.2549999999999999</v>
      </c>
      <c r="E191" s="2">
        <f>0.411+0.546</f>
        <v>0.95700000000000007</v>
      </c>
      <c r="F191" s="2">
        <f>100*E191/D191</f>
        <v>42.439024390243908</v>
      </c>
      <c r="G191" s="7">
        <v>1</v>
      </c>
      <c r="I191" s="2">
        <f>(0.5/0.719)*D191</f>
        <v>1.5681502086230876</v>
      </c>
      <c r="J191" s="2">
        <f>(0.5/0.719)*E191</f>
        <v>0.66550764951321295</v>
      </c>
    </row>
    <row r="192" spans="1:10" x14ac:dyDescent="0.2">
      <c r="B192">
        <v>86</v>
      </c>
      <c r="C192">
        <v>3</v>
      </c>
      <c r="D192" s="2">
        <v>2.3610000000000002</v>
      </c>
      <c r="E192" s="2">
        <f>0.105+0.105+0.187</f>
        <v>0.39700000000000002</v>
      </c>
      <c r="F192" s="2">
        <f>100*E192/D192</f>
        <v>16.814908936891147</v>
      </c>
      <c r="G192" s="7">
        <v>1</v>
      </c>
      <c r="I192" s="2">
        <f>(0.5/0.719)*D192</f>
        <v>1.6418636995827542</v>
      </c>
      <c r="J192" s="2">
        <f>(0.5/0.719)*E192</f>
        <v>0.27607788595271215</v>
      </c>
    </row>
    <row r="193" spans="1:10" x14ac:dyDescent="0.2">
      <c r="B193">
        <v>87</v>
      </c>
      <c r="C193">
        <v>4</v>
      </c>
      <c r="D193" s="2">
        <v>4.883</v>
      </c>
      <c r="E193" s="2">
        <f>-0.159+0.315+1.036+0.263</f>
        <v>1.4550000000000001</v>
      </c>
      <c r="F193" s="2">
        <f>100*E193/D193</f>
        <v>29.797255785377843</v>
      </c>
      <c r="G193" s="7">
        <v>1</v>
      </c>
      <c r="I193" s="2">
        <f>(0.5/0.719)*D193</f>
        <v>3.395688456189152</v>
      </c>
      <c r="J193" s="2">
        <f>(0.5/0.719)*E193</f>
        <v>1.0118219749652297</v>
      </c>
    </row>
    <row r="194" spans="1:10" x14ac:dyDescent="0.2">
      <c r="B194">
        <v>88</v>
      </c>
      <c r="C194">
        <v>5</v>
      </c>
      <c r="D194" s="2">
        <v>2.2549999999999999</v>
      </c>
      <c r="E194" s="2">
        <f>0.19+0.199</f>
        <v>0.38900000000000001</v>
      </c>
      <c r="F194" s="2">
        <f>100*E194/D194</f>
        <v>17.250554323725055</v>
      </c>
      <c r="G194" s="7">
        <v>1</v>
      </c>
      <c r="I194" s="2">
        <f>(0.5/0.719)*D194</f>
        <v>1.5681502086230876</v>
      </c>
      <c r="J194" s="2">
        <f>(0.5/0.719)*E194</f>
        <v>0.27051460361613355</v>
      </c>
    </row>
    <row r="195" spans="1:10" x14ac:dyDescent="0.2">
      <c r="B195">
        <v>89</v>
      </c>
      <c r="C195">
        <v>6</v>
      </c>
      <c r="D195" s="2">
        <v>1.99</v>
      </c>
      <c r="E195" s="2">
        <f>0.196+0.594</f>
        <v>0.79</v>
      </c>
      <c r="F195" s="2">
        <f>100*E195/D195</f>
        <v>39.698492462311556</v>
      </c>
      <c r="G195" s="7">
        <v>1</v>
      </c>
      <c r="I195" s="2">
        <f>(0.5/0.719)*D195</f>
        <v>1.3838664812239223</v>
      </c>
      <c r="J195" s="2">
        <f>(0.5/0.719)*E195</f>
        <v>0.54937413073713504</v>
      </c>
    </row>
    <row r="196" spans="1:10" x14ac:dyDescent="0.2">
      <c r="A196" t="s">
        <v>3</v>
      </c>
      <c r="B196">
        <v>90</v>
      </c>
      <c r="C196">
        <v>1</v>
      </c>
      <c r="D196" s="2">
        <v>2.6309999999999998</v>
      </c>
      <c r="E196" s="2">
        <f>0.329+0.114+0.669</f>
        <v>1.1120000000000001</v>
      </c>
      <c r="F196" s="2">
        <f>100*E196/D196</f>
        <v>42.265298365640454</v>
      </c>
      <c r="G196" s="7">
        <v>1</v>
      </c>
      <c r="H196" s="2">
        <v>1</v>
      </c>
      <c r="I196" s="2">
        <f>(0.5/0.719)*D196</f>
        <v>1.829624478442281</v>
      </c>
      <c r="J196" s="2">
        <f>(0.5/0.719)*E196</f>
        <v>0.77329624478442294</v>
      </c>
    </row>
    <row r="197" spans="1:10" x14ac:dyDescent="0.2">
      <c r="B197">
        <v>91</v>
      </c>
      <c r="C197">
        <v>2</v>
      </c>
      <c r="D197" s="2">
        <v>3.3490000000000002</v>
      </c>
      <c r="E197" s="2">
        <f>0.489+0.115</f>
        <v>0.60399999999999998</v>
      </c>
      <c r="F197" s="2">
        <f>100*E197/D197</f>
        <v>18.035234398327859</v>
      </c>
      <c r="G197" s="7">
        <v>1</v>
      </c>
      <c r="I197" s="2">
        <f>(0.5/0.719)*D197</f>
        <v>2.3289290681502091</v>
      </c>
      <c r="J197" s="2">
        <f>(0.5/0.719)*E197</f>
        <v>0.42002781641168291</v>
      </c>
    </row>
    <row r="198" spans="1:10" x14ac:dyDescent="0.2">
      <c r="B198">
        <v>92</v>
      </c>
      <c r="C198">
        <v>3</v>
      </c>
      <c r="D198" s="2">
        <v>3.2989999999999999</v>
      </c>
      <c r="E198" s="2">
        <f>0.31+0.485+0.12</f>
        <v>0.91499999999999992</v>
      </c>
      <c r="F198" s="2">
        <f>100*E198/D198</f>
        <v>27.735677478023639</v>
      </c>
      <c r="G198" s="7">
        <v>1</v>
      </c>
      <c r="I198" s="2">
        <f>(0.5/0.719)*D198</f>
        <v>2.2941585535465925</v>
      </c>
      <c r="J198" s="2">
        <f>(0.5/0.719)*E198</f>
        <v>0.63630041724617525</v>
      </c>
    </row>
    <row r="199" spans="1:10" x14ac:dyDescent="0.2">
      <c r="B199">
        <v>93</v>
      </c>
      <c r="C199">
        <v>4</v>
      </c>
      <c r="D199" s="2">
        <v>2.5870000000000002</v>
      </c>
      <c r="E199" s="2">
        <f>0.261+0.385+0.158</f>
        <v>0.80400000000000005</v>
      </c>
      <c r="F199" s="2">
        <f>100*E199/D199</f>
        <v>31.078469269424044</v>
      </c>
      <c r="G199" s="7">
        <v>1</v>
      </c>
      <c r="I199" s="2">
        <f>(0.5/0.719)*D199</f>
        <v>1.799026425591099</v>
      </c>
      <c r="J199" s="2">
        <f>(0.5/0.719)*E199</f>
        <v>0.55910987482614749</v>
      </c>
    </row>
    <row r="200" spans="1:10" x14ac:dyDescent="0.2">
      <c r="B200">
        <v>94</v>
      </c>
      <c r="C200">
        <v>5</v>
      </c>
      <c r="D200" s="2">
        <v>2.8260000000000001</v>
      </c>
      <c r="E200" s="2">
        <v>0.248</v>
      </c>
      <c r="F200" s="2">
        <f>100*E200/D200</f>
        <v>8.7756546355272462</v>
      </c>
      <c r="G200" s="7">
        <v>1</v>
      </c>
      <c r="I200" s="2">
        <f>(0.5/0.719)*D200</f>
        <v>1.9652294853963841</v>
      </c>
      <c r="J200" s="2">
        <f>(0.5/0.719)*E200</f>
        <v>0.17246175243393605</v>
      </c>
    </row>
    <row r="201" spans="1:10" x14ac:dyDescent="0.2">
      <c r="B201">
        <v>95</v>
      </c>
      <c r="C201">
        <v>6</v>
      </c>
      <c r="D201" s="2">
        <v>2.2829999999999999</v>
      </c>
      <c r="E201" s="2">
        <v>0.157</v>
      </c>
      <c r="F201" s="2">
        <f>100*E201/D201</f>
        <v>6.8769163381515552</v>
      </c>
      <c r="G201" s="7">
        <v>1</v>
      </c>
      <c r="I201" s="2">
        <f>(0.5/0.719)*D201</f>
        <v>1.5876216968011128</v>
      </c>
      <c r="J201" s="2">
        <f>(0.5/0.719)*E201</f>
        <v>0.10917941585535468</v>
      </c>
    </row>
    <row r="202" spans="1:10" x14ac:dyDescent="0.2">
      <c r="B202">
        <v>96</v>
      </c>
      <c r="C202">
        <v>7</v>
      </c>
      <c r="D202" s="2">
        <v>2.74</v>
      </c>
      <c r="E202" s="2">
        <v>0.16900000000000001</v>
      </c>
      <c r="F202" s="2">
        <f>100*E202/D202</f>
        <v>6.1678832116788325</v>
      </c>
      <c r="G202" s="7">
        <v>1</v>
      </c>
      <c r="I202" s="2">
        <f>(0.5/0.719)*D202</f>
        <v>1.9054242002781645</v>
      </c>
      <c r="J202" s="2">
        <f>(0.5/0.719)*E202</f>
        <v>0.11752433936022255</v>
      </c>
    </row>
    <row r="203" spans="1:10" x14ac:dyDescent="0.2">
      <c r="B203">
        <v>97</v>
      </c>
      <c r="C203">
        <v>8</v>
      </c>
      <c r="D203" s="2">
        <v>1.927</v>
      </c>
      <c r="E203" s="2">
        <v>0.186</v>
      </c>
      <c r="F203" s="2">
        <f>100*E203/D203</f>
        <v>9.6523092890503381</v>
      </c>
      <c r="G203" s="7">
        <v>1</v>
      </c>
      <c r="I203" s="2">
        <f>(0.5/0.719)*D203</f>
        <v>1.3400556328233659</v>
      </c>
      <c r="J203" s="2">
        <f>(0.5/0.719)*E203</f>
        <v>0.12934631432545202</v>
      </c>
    </row>
    <row r="204" spans="1:10" x14ac:dyDescent="0.2">
      <c r="B204">
        <v>98</v>
      </c>
      <c r="C204">
        <v>9</v>
      </c>
      <c r="D204" s="2">
        <v>2.0569999999999999</v>
      </c>
      <c r="E204" s="2">
        <v>0.25700000000000001</v>
      </c>
      <c r="F204" s="2">
        <f>100*E204/D204</f>
        <v>12.493923189110355</v>
      </c>
      <c r="G204" s="7">
        <v>1</v>
      </c>
      <c r="I204" s="2">
        <f>(0.5/0.719)*D204</f>
        <v>1.4304589707927677</v>
      </c>
      <c r="J204" s="2">
        <f>(0.5/0.719)*E204</f>
        <v>0.17872044506258694</v>
      </c>
    </row>
    <row r="205" spans="1:10" x14ac:dyDescent="0.2">
      <c r="A205" t="s">
        <v>2</v>
      </c>
      <c r="B205">
        <v>99</v>
      </c>
      <c r="C205">
        <v>1</v>
      </c>
      <c r="D205" s="2">
        <v>2.694</v>
      </c>
      <c r="E205" s="2">
        <f>0.211+0.232</f>
        <v>0.443</v>
      </c>
      <c r="F205" s="2">
        <f>100*E205/D205</f>
        <v>16.443949517446175</v>
      </c>
      <c r="G205" s="7">
        <v>1</v>
      </c>
      <c r="H205" s="2">
        <v>1</v>
      </c>
      <c r="I205" s="2">
        <f>(0.5/0.719)*D205</f>
        <v>1.8734353268428374</v>
      </c>
      <c r="J205" s="2">
        <f>(0.5/0.719)*E205</f>
        <v>0.30806675938803896</v>
      </c>
    </row>
    <row r="206" spans="1:10" x14ac:dyDescent="0.2">
      <c r="B206">
        <v>100</v>
      </c>
      <c r="C206">
        <v>2</v>
      </c>
      <c r="D206" s="2">
        <v>2.601</v>
      </c>
      <c r="E206" s="2">
        <v>0.17299999999999999</v>
      </c>
      <c r="F206" s="2">
        <f>100*E206/D206</f>
        <v>6.6512879661668576</v>
      </c>
      <c r="G206" s="7">
        <v>1</v>
      </c>
      <c r="I206" s="2">
        <f>(0.5/0.719)*D206</f>
        <v>1.8087621696801115</v>
      </c>
      <c r="J206" s="2">
        <f>(0.5/0.719)*E206</f>
        <v>0.12030598052851182</v>
      </c>
    </row>
    <row r="207" spans="1:10" x14ac:dyDescent="0.2">
      <c r="B207">
        <v>101</v>
      </c>
      <c r="C207">
        <v>3</v>
      </c>
      <c r="D207" s="2">
        <v>2.8940000000000001</v>
      </c>
      <c r="E207" s="2">
        <v>0.216</v>
      </c>
      <c r="F207" s="2">
        <f>100*E207/D207</f>
        <v>7.4637180373185901</v>
      </c>
      <c r="G207" s="7">
        <v>1</v>
      </c>
      <c r="I207" s="2">
        <f>(0.5/0.719)*D207</f>
        <v>2.0125173852573019</v>
      </c>
      <c r="J207" s="2">
        <f>(0.5/0.719)*E207</f>
        <v>0.1502086230876217</v>
      </c>
    </row>
    <row r="208" spans="1:10" x14ac:dyDescent="0.2">
      <c r="B208">
        <v>102</v>
      </c>
      <c r="C208">
        <v>4</v>
      </c>
      <c r="D208" s="2">
        <v>2.3290000000000002</v>
      </c>
      <c r="E208" s="2">
        <f>0.258+0.226</f>
        <v>0.48399999999999999</v>
      </c>
      <c r="F208" s="2">
        <f>100*E208/D208</f>
        <v>20.78145126663804</v>
      </c>
      <c r="G208" s="7">
        <v>1</v>
      </c>
      <c r="I208" s="2">
        <f>(0.5/0.719)*D208</f>
        <v>1.6196105702364398</v>
      </c>
      <c r="J208" s="2">
        <f>(0.5/0.719)*E208</f>
        <v>0.33657858136300423</v>
      </c>
    </row>
    <row r="209" spans="1:10" x14ac:dyDescent="0.2">
      <c r="B209">
        <v>103</v>
      </c>
      <c r="C209">
        <v>5</v>
      </c>
      <c r="D209" s="2">
        <v>1.3160000000000001</v>
      </c>
      <c r="E209" s="2">
        <v>0.122</v>
      </c>
      <c r="F209" s="2">
        <f>100*E209/D209</f>
        <v>9.2705167173252274</v>
      </c>
      <c r="G209" s="7">
        <v>1</v>
      </c>
      <c r="I209" s="2">
        <f>(0.5/0.719)*D209</f>
        <v>0.91515994436717674</v>
      </c>
      <c r="J209" s="2">
        <f>(0.5/0.719)*E209</f>
        <v>8.4840055632823375E-2</v>
      </c>
    </row>
    <row r="210" spans="1:10" x14ac:dyDescent="0.2">
      <c r="B210">
        <v>104</v>
      </c>
      <c r="C210">
        <v>6</v>
      </c>
      <c r="D210" s="2">
        <v>3.117</v>
      </c>
      <c r="E210" s="2">
        <f>0.167+0.503+0.074</f>
        <v>0.74399999999999999</v>
      </c>
      <c r="F210" s="2">
        <f>100*E210/D210</f>
        <v>23.86910490856593</v>
      </c>
      <c r="G210" s="7">
        <v>1</v>
      </c>
      <c r="I210" s="2">
        <f>(0.5/0.719)*D210</f>
        <v>2.1675938803894299</v>
      </c>
      <c r="J210" s="2">
        <f>(0.5/0.719)*E210</f>
        <v>0.51738525730180807</v>
      </c>
    </row>
    <row r="211" spans="1:10" x14ac:dyDescent="0.2">
      <c r="B211">
        <v>105</v>
      </c>
      <c r="C211">
        <v>7</v>
      </c>
      <c r="D211" s="2">
        <v>1.5640000000000001</v>
      </c>
      <c r="E211" s="2">
        <v>0.161</v>
      </c>
      <c r="F211" s="2">
        <f>100*E211/D211</f>
        <v>10.294117647058824</v>
      </c>
      <c r="G211" s="7">
        <v>1</v>
      </c>
      <c r="I211" s="2">
        <f>(0.5/0.719)*D211</f>
        <v>1.0876216968011128</v>
      </c>
      <c r="J211" s="2">
        <f>(0.5/0.719)*E211</f>
        <v>0.11196105702364396</v>
      </c>
    </row>
    <row r="212" spans="1:10" x14ac:dyDescent="0.2">
      <c r="B212">
        <v>106</v>
      </c>
      <c r="C212">
        <v>8</v>
      </c>
      <c r="D212" s="2">
        <v>3.0350000000000001</v>
      </c>
      <c r="E212" s="2">
        <v>0.11799999999999999</v>
      </c>
      <c r="F212" s="2">
        <f>100*E212/D212</f>
        <v>3.8879736408566714</v>
      </c>
      <c r="G212" s="7">
        <v>1</v>
      </c>
      <c r="I212" s="2">
        <f>(0.5/0.719)*D212</f>
        <v>2.1105702364394996</v>
      </c>
      <c r="J212" s="2">
        <f>(0.5/0.719)*E212</f>
        <v>8.2058414464534074E-2</v>
      </c>
    </row>
    <row r="213" spans="1:10" x14ac:dyDescent="0.2">
      <c r="B213">
        <v>107</v>
      </c>
      <c r="C213">
        <v>9</v>
      </c>
      <c r="D213" s="2">
        <v>1.5509999999999999</v>
      </c>
      <c r="E213" s="2">
        <v>0.22800000000000001</v>
      </c>
      <c r="F213" s="2">
        <f>100*E213/D213</f>
        <v>14.70019342359768</v>
      </c>
      <c r="G213" s="7">
        <v>1</v>
      </c>
      <c r="I213" s="2">
        <f>(0.5/0.719)*D213</f>
        <v>1.0785813630041725</v>
      </c>
      <c r="J213" s="2">
        <f>(0.5/0.719)*E213</f>
        <v>0.1585535465924896</v>
      </c>
    </row>
    <row r="214" spans="1:10" x14ac:dyDescent="0.2">
      <c r="A214" t="s">
        <v>176</v>
      </c>
      <c r="B214">
        <v>108</v>
      </c>
      <c r="C214">
        <v>1</v>
      </c>
      <c r="D214" s="2">
        <v>3.254</v>
      </c>
      <c r="E214" s="2">
        <f>0.387+0.27</f>
        <v>0.65700000000000003</v>
      </c>
      <c r="F214" s="2">
        <f>100*E214/D214</f>
        <v>20.190534726490473</v>
      </c>
      <c r="G214" s="7">
        <v>1</v>
      </c>
      <c r="H214" s="2">
        <v>1</v>
      </c>
      <c r="I214" s="2">
        <f>(0.5/0.719)*D214</f>
        <v>2.2628650904033383</v>
      </c>
      <c r="J214" s="2">
        <f>(0.5/0.719)*E214</f>
        <v>0.45688456189151605</v>
      </c>
    </row>
    <row r="215" spans="1:10" x14ac:dyDescent="0.2">
      <c r="B215">
        <v>109</v>
      </c>
      <c r="C215">
        <v>2</v>
      </c>
      <c r="D215" s="2">
        <v>3.9750000000000001</v>
      </c>
      <c r="E215" s="2">
        <v>0.84</v>
      </c>
      <c r="F215" s="2">
        <f>100*E215/D215</f>
        <v>21.132075471698112</v>
      </c>
      <c r="G215" s="7">
        <v>1</v>
      </c>
      <c r="I215" s="2">
        <f>(0.5/0.719)*D215</f>
        <v>2.7642559109874831</v>
      </c>
      <c r="J215" s="2">
        <f>(0.5/0.719)*E215</f>
        <v>0.58414464534075106</v>
      </c>
    </row>
    <row r="216" spans="1:10" x14ac:dyDescent="0.2">
      <c r="B216">
        <v>110</v>
      </c>
      <c r="C216">
        <v>3</v>
      </c>
      <c r="D216" s="2">
        <v>3.242</v>
      </c>
      <c r="E216" s="2">
        <f>0.408+0.608+0.153</f>
        <v>1.169</v>
      </c>
      <c r="F216" s="2">
        <f>100*E216/D216</f>
        <v>36.057988895743371</v>
      </c>
      <c r="G216" s="7">
        <v>1</v>
      </c>
      <c r="I216" s="2">
        <f>(0.5/0.719)*D216</f>
        <v>2.2545201668984705</v>
      </c>
      <c r="J216" s="2">
        <f>(0.5/0.719)*E216</f>
        <v>0.8129346314325453</v>
      </c>
    </row>
    <row r="217" spans="1:10" x14ac:dyDescent="0.2">
      <c r="B217">
        <v>111</v>
      </c>
      <c r="C217">
        <v>4</v>
      </c>
      <c r="D217" s="2">
        <v>2.302</v>
      </c>
      <c r="E217" s="2">
        <f>0.205+0.279</f>
        <v>0.48399999999999999</v>
      </c>
      <c r="F217" s="2">
        <f>100*E217/D217</f>
        <v>21.0251954821894</v>
      </c>
      <c r="G217" s="7">
        <v>1</v>
      </c>
      <c r="I217" s="2">
        <f>(0.5/0.719)*D217</f>
        <v>1.6008344923504869</v>
      </c>
      <c r="J217" s="2">
        <f>(0.5/0.719)*E217</f>
        <v>0.33657858136300423</v>
      </c>
    </row>
    <row r="218" spans="1:10" x14ac:dyDescent="0.2">
      <c r="B218">
        <v>112</v>
      </c>
      <c r="C218">
        <v>5</v>
      </c>
      <c r="D218" s="2">
        <v>2.9390000000000001</v>
      </c>
      <c r="E218" s="2">
        <v>0.113</v>
      </c>
      <c r="F218" s="2">
        <f>100*E218/D218</f>
        <v>3.8448451854372236</v>
      </c>
      <c r="G218" s="7">
        <v>1</v>
      </c>
      <c r="I218" s="2">
        <f>(0.5/0.719)*D218</f>
        <v>2.0438108484005566</v>
      </c>
      <c r="J218" s="2">
        <f>(0.5/0.719)*E218</f>
        <v>7.8581363004172469E-2</v>
      </c>
    </row>
    <row r="219" spans="1:10" x14ac:dyDescent="0.2">
      <c r="B219">
        <v>113</v>
      </c>
      <c r="C219">
        <v>6</v>
      </c>
      <c r="D219" s="2">
        <v>2.476</v>
      </c>
      <c r="E219" s="2">
        <f>0.165+0.265+0.612</f>
        <v>1.042</v>
      </c>
      <c r="F219" s="2">
        <f>100*E219/D219</f>
        <v>42.084006462035539</v>
      </c>
      <c r="G219" s="7">
        <v>1</v>
      </c>
      <c r="I219" s="2">
        <f>(0.5/0.719)*D219</f>
        <v>1.7218358831710712</v>
      </c>
      <c r="J219" s="2">
        <f>(0.5/0.719)*E219</f>
        <v>0.72461752433936033</v>
      </c>
    </row>
    <row r="220" spans="1:10" x14ac:dyDescent="0.2">
      <c r="B220">
        <v>114</v>
      </c>
      <c r="C220">
        <v>7</v>
      </c>
      <c r="D220" s="2">
        <v>2.1909999999999998</v>
      </c>
      <c r="E220" s="2">
        <v>0.125</v>
      </c>
      <c r="F220" s="2">
        <f>100*E220/D220</f>
        <v>5.7051574623459613</v>
      </c>
      <c r="G220" s="7">
        <v>1</v>
      </c>
      <c r="I220" s="2">
        <f>(0.5/0.719)*D220</f>
        <v>1.523643949930459</v>
      </c>
      <c r="J220" s="2">
        <f>(0.5/0.719)*E220</f>
        <v>8.6926286509040343E-2</v>
      </c>
    </row>
    <row r="221" spans="1:10" x14ac:dyDescent="0.2">
      <c r="B221">
        <v>115</v>
      </c>
      <c r="C221">
        <v>8</v>
      </c>
      <c r="D221" s="2">
        <v>1.9179999999999999</v>
      </c>
      <c r="E221" s="2">
        <v>0.20599999999999999</v>
      </c>
      <c r="F221" s="2">
        <f>100*E221/D221</f>
        <v>10.740354535974973</v>
      </c>
      <c r="G221" s="7">
        <v>1</v>
      </c>
      <c r="I221" s="2">
        <f>(0.5/0.719)*D221</f>
        <v>1.333796940194715</v>
      </c>
      <c r="J221" s="2">
        <f>(0.5/0.719)*E221</f>
        <v>0.14325452016689849</v>
      </c>
    </row>
    <row r="223" spans="1:10" x14ac:dyDescent="0.2">
      <c r="C223" t="s">
        <v>1</v>
      </c>
      <c r="D223" s="2">
        <f>AVERAGE(D107:D221)</f>
        <v>2.6617565217391319</v>
      </c>
      <c r="E223" s="2">
        <f>AVERAGE(E107:E221)</f>
        <v>0.43976521739130447</v>
      </c>
      <c r="F223" s="2">
        <f>AVERAGE(F107:F221)</f>
        <v>16.433662053968842</v>
      </c>
      <c r="G223" s="2"/>
      <c r="H223" s="2">
        <f>AVERAGE(H107:H221)</f>
        <v>0.9292816558441559</v>
      </c>
      <c r="I223" s="2">
        <f>AVERAGE(I107:I221)</f>
        <v>1.8510128802080184</v>
      </c>
      <c r="J223" s="2">
        <f>AVERAGE(J107:J221)</f>
        <v>0.30581725826933559</v>
      </c>
    </row>
    <row r="224" spans="1:10" x14ac:dyDescent="0.2">
      <c r="C224" t="s">
        <v>0</v>
      </c>
      <c r="D224" s="2">
        <f>STDEV(D107:D221)</f>
        <v>1.1894685942426344</v>
      </c>
      <c r="E224" s="2">
        <f>STDEV(E107:E221)</f>
        <v>0.34792435481623618</v>
      </c>
      <c r="F224" s="2">
        <f>STDEV(F107:F221)</f>
        <v>10.638110104185477</v>
      </c>
      <c r="G224" s="2"/>
      <c r="H224" s="2">
        <f>STDEV(H107:H221)</f>
        <v>0.12305448926134591</v>
      </c>
      <c r="I224" s="2">
        <f>STDEV(I107:I221)</f>
        <v>0.8271687025331268</v>
      </c>
      <c r="J224" s="2">
        <f>STDEV(J107:J221)</f>
        <v>0.24195017720183321</v>
      </c>
    </row>
    <row r="226" spans="1:10" x14ac:dyDescent="0.2">
      <c r="A226" t="s">
        <v>128</v>
      </c>
    </row>
    <row r="227" spans="1:10" x14ac:dyDescent="0.2">
      <c r="A227" s="5" t="s">
        <v>95</v>
      </c>
      <c r="B227" s="5" t="s">
        <v>23</v>
      </c>
      <c r="C227" s="5" t="s">
        <v>22</v>
      </c>
      <c r="D227" s="4" t="s">
        <v>94</v>
      </c>
      <c r="E227" s="4" t="s">
        <v>93</v>
      </c>
      <c r="F227" s="4" t="s">
        <v>91</v>
      </c>
      <c r="G227" s="8" t="s">
        <v>173</v>
      </c>
      <c r="H227" s="4" t="s">
        <v>172</v>
      </c>
      <c r="I227" s="4" t="s">
        <v>92</v>
      </c>
      <c r="J227" s="4" t="s">
        <v>171</v>
      </c>
    </row>
    <row r="228" spans="1:10" x14ac:dyDescent="0.2">
      <c r="A228" t="s">
        <v>175</v>
      </c>
      <c r="B228">
        <v>1</v>
      </c>
      <c r="C228">
        <v>1</v>
      </c>
      <c r="D228" s="2">
        <v>2.2149999999999999</v>
      </c>
      <c r="E228" s="2">
        <f>0.293+0.297</f>
        <v>0.59</v>
      </c>
      <c r="F228" s="2">
        <f>100*E228/D228</f>
        <v>26.636568848758468</v>
      </c>
      <c r="G228" s="7">
        <v>1</v>
      </c>
      <c r="H228" s="2">
        <v>1</v>
      </c>
      <c r="I228" s="2">
        <f>(0.5/0.719)*D228</f>
        <v>1.5403337969401947</v>
      </c>
      <c r="J228" s="2">
        <f>(0.5/0.719)*E228</f>
        <v>0.4102920723226704</v>
      </c>
    </row>
    <row r="229" spans="1:10" x14ac:dyDescent="0.2">
      <c r="B229">
        <v>2</v>
      </c>
      <c r="C229">
        <v>2</v>
      </c>
      <c r="D229" s="2">
        <v>3.9769999999999999</v>
      </c>
      <c r="E229" s="2">
        <f>0.297+0.152</f>
        <v>0.44899999999999995</v>
      </c>
      <c r="F229" s="2">
        <f>100*E229/D229</f>
        <v>11.28991702288157</v>
      </c>
      <c r="G229" s="7">
        <v>1</v>
      </c>
      <c r="I229" s="2">
        <f>(0.5/0.719)*D229</f>
        <v>2.7656467315716275</v>
      </c>
      <c r="J229" s="2">
        <f>(0.5/0.719)*E229</f>
        <v>0.31223922114047287</v>
      </c>
    </row>
    <row r="230" spans="1:10" x14ac:dyDescent="0.2">
      <c r="B230">
        <v>3</v>
      </c>
      <c r="C230">
        <v>3</v>
      </c>
      <c r="D230" s="2">
        <v>1.538</v>
      </c>
      <c r="E230" s="2">
        <v>0.14799999999999999</v>
      </c>
      <c r="F230" s="2">
        <f>100*E230/D230</f>
        <v>9.622886866059817</v>
      </c>
      <c r="G230" s="7">
        <v>1</v>
      </c>
      <c r="I230" s="2">
        <f>(0.5/0.719)*D230</f>
        <v>1.0695410292072325</v>
      </c>
      <c r="J230" s="2">
        <f>(0.5/0.719)*E230</f>
        <v>0.10292072322670376</v>
      </c>
    </row>
    <row r="231" spans="1:10" x14ac:dyDescent="0.2">
      <c r="B231">
        <v>4</v>
      </c>
      <c r="C231">
        <v>4</v>
      </c>
      <c r="D231" s="2">
        <v>1.6120000000000001</v>
      </c>
      <c r="E231" s="2">
        <v>0.32100000000000001</v>
      </c>
      <c r="F231" s="2">
        <f>100*E231/D231</f>
        <v>19.913151364764268</v>
      </c>
      <c r="G231" s="7">
        <v>1</v>
      </c>
      <c r="I231" s="2">
        <f>(0.5/0.719)*D231</f>
        <v>1.1210013908205843</v>
      </c>
      <c r="J231" s="2">
        <f>(0.5/0.719)*E231</f>
        <v>0.22322670375521561</v>
      </c>
    </row>
    <row r="232" spans="1:10" x14ac:dyDescent="0.2">
      <c r="B232">
        <v>5</v>
      </c>
      <c r="C232">
        <v>5</v>
      </c>
      <c r="D232" s="2">
        <v>1.85</v>
      </c>
      <c r="E232" s="2">
        <f>0.189+0.171</f>
        <v>0.36</v>
      </c>
      <c r="F232" s="2">
        <f>100*E232/D232</f>
        <v>19.45945945945946</v>
      </c>
      <c r="G232" s="7">
        <v>1</v>
      </c>
      <c r="I232" s="2">
        <f>(0.5/0.719)*D232</f>
        <v>1.2865090403337971</v>
      </c>
      <c r="J232" s="2">
        <f>(0.5/0.719)*E232</f>
        <v>0.25034770514603616</v>
      </c>
    </row>
    <row r="233" spans="1:10" x14ac:dyDescent="0.2">
      <c r="B233">
        <v>6</v>
      </c>
      <c r="C233">
        <v>6</v>
      </c>
      <c r="D233" s="2">
        <v>2.0720000000000001</v>
      </c>
      <c r="E233" s="2">
        <v>0.71099999999999997</v>
      </c>
      <c r="F233" s="2">
        <f>100*E233/D233</f>
        <v>34.314671814671811</v>
      </c>
      <c r="G233" s="7">
        <v>1</v>
      </c>
      <c r="I233" s="2">
        <f>(0.5/0.719)*D233</f>
        <v>1.4408901251738528</v>
      </c>
      <c r="J233" s="2">
        <f>(0.5/0.719)*E233</f>
        <v>0.49443671766342145</v>
      </c>
    </row>
    <row r="234" spans="1:10" x14ac:dyDescent="0.2">
      <c r="B234">
        <v>7</v>
      </c>
      <c r="C234">
        <v>7</v>
      </c>
      <c r="D234" s="2">
        <v>2.3250000000000002</v>
      </c>
      <c r="E234" s="2">
        <f>0.406+0.226</f>
        <v>0.63200000000000001</v>
      </c>
      <c r="F234" s="2">
        <f>100*E234/D234</f>
        <v>27.182795698924732</v>
      </c>
      <c r="G234" s="7">
        <v>1</v>
      </c>
      <c r="I234" s="2">
        <f>(0.5/0.719)*D234</f>
        <v>1.6168289290681506</v>
      </c>
      <c r="J234" s="2">
        <f>(0.5/0.719)*E234</f>
        <v>0.43949930458970798</v>
      </c>
    </row>
    <row r="235" spans="1:10" x14ac:dyDescent="0.2">
      <c r="B235">
        <v>8</v>
      </c>
      <c r="C235">
        <v>8</v>
      </c>
      <c r="D235" s="2">
        <v>4.2039999999999997</v>
      </c>
      <c r="E235" s="2">
        <f>1.132+0.134+0.119+0.183</f>
        <v>1.5680000000000001</v>
      </c>
      <c r="F235" s="2">
        <f>100*E235/D235</f>
        <v>37.297811607992394</v>
      </c>
      <c r="G235" s="7">
        <v>1</v>
      </c>
      <c r="I235" s="2">
        <f>(0.5/0.719)*D235</f>
        <v>2.9235048678720448</v>
      </c>
      <c r="J235" s="2">
        <f>(0.5/0.719)*E235</f>
        <v>1.090403337969402</v>
      </c>
    </row>
    <row r="236" spans="1:10" x14ac:dyDescent="0.2">
      <c r="A236" t="s">
        <v>126</v>
      </c>
      <c r="B236">
        <v>9</v>
      </c>
      <c r="C236">
        <v>1</v>
      </c>
      <c r="D236" s="2">
        <v>1.911</v>
      </c>
      <c r="E236" s="2">
        <v>0.188</v>
      </c>
      <c r="F236" s="2">
        <f>100*E236/D236</f>
        <v>9.837781266352696</v>
      </c>
      <c r="G236" s="7">
        <v>1</v>
      </c>
      <c r="H236" s="2">
        <v>1</v>
      </c>
      <c r="I236" s="2">
        <f>(0.5/0.719)*D236</f>
        <v>1.3289290681502088</v>
      </c>
      <c r="J236" s="2">
        <f>(0.5/0.719)*E236</f>
        <v>0.13073713490959668</v>
      </c>
    </row>
    <row r="237" spans="1:10" x14ac:dyDescent="0.2">
      <c r="B237">
        <v>10</v>
      </c>
      <c r="C237">
        <v>2</v>
      </c>
      <c r="D237" s="2">
        <v>2.4009999999999998</v>
      </c>
      <c r="E237" s="2">
        <f>0.785+0.152</f>
        <v>0.93700000000000006</v>
      </c>
      <c r="F237" s="2">
        <f>100*E237/D237</f>
        <v>39.025406080799669</v>
      </c>
      <c r="G237" s="7">
        <v>1</v>
      </c>
      <c r="I237" s="2">
        <f>(0.5/0.719)*D237</f>
        <v>1.6696801112656467</v>
      </c>
      <c r="J237" s="2">
        <f>(0.5/0.719)*E237</f>
        <v>0.65159944367176648</v>
      </c>
    </row>
    <row r="238" spans="1:10" x14ac:dyDescent="0.2">
      <c r="B238">
        <v>11</v>
      </c>
      <c r="C238">
        <v>3</v>
      </c>
      <c r="D238" s="2">
        <v>4.8579999999999997</v>
      </c>
      <c r="E238" s="2">
        <f>0.167+0.539</f>
        <v>0.70600000000000007</v>
      </c>
      <c r="F238" s="2">
        <f>100*E238/D238</f>
        <v>14.532729518320298</v>
      </c>
      <c r="G238" s="7">
        <v>1</v>
      </c>
      <c r="I238" s="2">
        <f>(0.5/0.719)*D238</f>
        <v>3.3783031988873438</v>
      </c>
      <c r="J238" s="2">
        <f>(0.5/0.719)*E238</f>
        <v>0.49095966620305992</v>
      </c>
    </row>
    <row r="239" spans="1:10" x14ac:dyDescent="0.2">
      <c r="B239">
        <v>12</v>
      </c>
      <c r="C239">
        <v>4</v>
      </c>
      <c r="D239" s="2">
        <v>3.069</v>
      </c>
      <c r="E239" s="2">
        <f>0.497+0.176</f>
        <v>0.67300000000000004</v>
      </c>
      <c r="F239" s="2">
        <f>100*E239/D239</f>
        <v>21.928967090257416</v>
      </c>
      <c r="G239" s="7">
        <v>1</v>
      </c>
      <c r="I239" s="2">
        <f>(0.5/0.719)*D239</f>
        <v>2.1342141863699586</v>
      </c>
      <c r="J239" s="2">
        <f>(0.5/0.719)*E239</f>
        <v>0.46801112656467325</v>
      </c>
    </row>
    <row r="240" spans="1:10" x14ac:dyDescent="0.2">
      <c r="B240">
        <v>13</v>
      </c>
      <c r="C240">
        <v>5</v>
      </c>
      <c r="D240" s="2">
        <v>1.8260000000000001</v>
      </c>
      <c r="E240" s="2">
        <v>0.27400000000000002</v>
      </c>
      <c r="F240" s="2">
        <f>100*E240/D240</f>
        <v>15.005476451259584</v>
      </c>
      <c r="G240" s="7">
        <v>1</v>
      </c>
      <c r="I240" s="2">
        <f>(0.5/0.719)*D240</f>
        <v>1.2698191933240615</v>
      </c>
      <c r="J240" s="2">
        <f>(0.5/0.719)*E240</f>
        <v>0.19054242002781643</v>
      </c>
    </row>
    <row r="241" spans="1:10" x14ac:dyDescent="0.2">
      <c r="B241">
        <v>14</v>
      </c>
      <c r="C241">
        <v>6</v>
      </c>
      <c r="D241" s="2">
        <v>3.06</v>
      </c>
      <c r="E241" s="2">
        <f>0.137+0.196+0.295</f>
        <v>0.628</v>
      </c>
      <c r="F241" s="2">
        <f>100*E241/D241</f>
        <v>20.522875816993462</v>
      </c>
      <c r="G241" s="7">
        <v>1</v>
      </c>
      <c r="I241" s="2">
        <f>(0.5/0.719)*D241</f>
        <v>2.1279554937413074</v>
      </c>
      <c r="J241" s="2">
        <f>(0.5/0.719)*E241</f>
        <v>0.43671766342141871</v>
      </c>
    </row>
    <row r="242" spans="1:10" x14ac:dyDescent="0.2">
      <c r="B242">
        <v>15</v>
      </c>
      <c r="C242">
        <v>7</v>
      </c>
      <c r="D242" s="2">
        <v>2.9169999999999998</v>
      </c>
      <c r="E242" s="2">
        <f>0.132+0.151+0.44+0.101</f>
        <v>0.82400000000000007</v>
      </c>
      <c r="F242" s="2">
        <f>100*E242/D242</f>
        <v>28.248200205690782</v>
      </c>
      <c r="G242" s="7">
        <v>1</v>
      </c>
      <c r="I242" s="2">
        <f>(0.5/0.719)*D242</f>
        <v>2.0285118219749654</v>
      </c>
      <c r="J242" s="2">
        <f>(0.5/0.719)*E242</f>
        <v>0.57301808066759397</v>
      </c>
    </row>
    <row r="243" spans="1:10" x14ac:dyDescent="0.2">
      <c r="B243">
        <v>16</v>
      </c>
      <c r="C243">
        <v>8</v>
      </c>
      <c r="D243" s="2">
        <v>2.8730000000000002</v>
      </c>
      <c r="E243" s="2">
        <f>0.173+0.356</f>
        <v>0.52899999999999991</v>
      </c>
      <c r="F243" s="2">
        <f>100*E243/D243</f>
        <v>18.412808910546463</v>
      </c>
      <c r="G243" s="7">
        <v>1</v>
      </c>
      <c r="I243" s="2">
        <f>(0.5/0.719)*D243</f>
        <v>1.9979137691237834</v>
      </c>
      <c r="J243" s="2">
        <f>(0.5/0.719)*E243</f>
        <v>0.36787204450625866</v>
      </c>
    </row>
    <row r="244" spans="1:10" x14ac:dyDescent="0.2">
      <c r="B244">
        <v>17</v>
      </c>
      <c r="C244">
        <v>9</v>
      </c>
      <c r="D244" s="2">
        <v>1.9950000000000001</v>
      </c>
      <c r="E244" s="2">
        <v>0.58799999999999997</v>
      </c>
      <c r="F244" s="2">
        <f>100*E244/D244</f>
        <v>29.473684210526311</v>
      </c>
      <c r="G244" s="7">
        <v>1</v>
      </c>
      <c r="I244" s="2">
        <f>(0.5/0.719)*D244</f>
        <v>1.387343532684284</v>
      </c>
      <c r="J244" s="2">
        <f>(0.5/0.719)*E244</f>
        <v>0.40890125173852576</v>
      </c>
    </row>
    <row r="245" spans="1:10" x14ac:dyDescent="0.2">
      <c r="A245" t="s">
        <v>125</v>
      </c>
      <c r="B245">
        <v>18</v>
      </c>
      <c r="C245">
        <v>1</v>
      </c>
      <c r="D245" s="2">
        <v>4.0350000000000001</v>
      </c>
      <c r="E245" s="2">
        <f>0.672+0.299+0.155</f>
        <v>1.1260000000000001</v>
      </c>
      <c r="F245" s="2">
        <f>100*E245/D245</f>
        <v>27.905824039653037</v>
      </c>
      <c r="G245" s="7">
        <v>1</v>
      </c>
      <c r="H245" s="2">
        <v>0.81818181818181823</v>
      </c>
      <c r="I245" s="2">
        <f>(0.5/0.719)*D245</f>
        <v>2.8059805285118222</v>
      </c>
      <c r="J245" s="2">
        <f>(0.5/0.719)*E245</f>
        <v>0.7830319888734355</v>
      </c>
    </row>
    <row r="246" spans="1:10" x14ac:dyDescent="0.2">
      <c r="B246">
        <v>19</v>
      </c>
      <c r="C246">
        <v>2</v>
      </c>
      <c r="D246" s="2">
        <v>1.738</v>
      </c>
      <c r="E246" s="2">
        <v>0.183</v>
      </c>
      <c r="F246" s="2">
        <f>100*E246/D246</f>
        <v>10.529344073647872</v>
      </c>
      <c r="G246" s="7">
        <v>1</v>
      </c>
      <c r="I246" s="2">
        <f>(0.5/0.719)*D246</f>
        <v>1.208623087621697</v>
      </c>
      <c r="J246" s="2">
        <f>(0.5/0.719)*E246</f>
        <v>0.12726008344923506</v>
      </c>
    </row>
    <row r="247" spans="1:10" x14ac:dyDescent="0.2">
      <c r="B247">
        <v>20</v>
      </c>
      <c r="C247">
        <v>3</v>
      </c>
      <c r="D247" s="2">
        <v>1.573</v>
      </c>
      <c r="E247" s="2">
        <v>0.39900000000000002</v>
      </c>
      <c r="F247" s="2">
        <f>100*E247/D247</f>
        <v>25.365543547361735</v>
      </c>
      <c r="G247" s="7">
        <v>1</v>
      </c>
      <c r="I247" s="2">
        <f>(0.5/0.719)*D247</f>
        <v>1.0938803894297637</v>
      </c>
      <c r="J247" s="2">
        <f>(0.5/0.719)*E247</f>
        <v>0.27746870653685679</v>
      </c>
    </row>
    <row r="248" spans="1:10" x14ac:dyDescent="0.2">
      <c r="B248">
        <v>21</v>
      </c>
      <c r="C248">
        <v>4</v>
      </c>
      <c r="D248" s="2">
        <v>1.2869999999999999</v>
      </c>
      <c r="E248" s="2">
        <v>0.20899999999999999</v>
      </c>
      <c r="F248" s="2">
        <f>100*E248/D248</f>
        <v>16.239316239316238</v>
      </c>
      <c r="G248" s="7">
        <v>1</v>
      </c>
      <c r="I248" s="2">
        <f>(0.5/0.719)*D248</f>
        <v>0.89499304589707929</v>
      </c>
      <c r="J248" s="2">
        <f>(0.5/0.719)*E248</f>
        <v>0.14534075104311545</v>
      </c>
    </row>
    <row r="249" spans="1:10" x14ac:dyDescent="0.2">
      <c r="B249">
        <v>22</v>
      </c>
      <c r="C249">
        <v>5</v>
      </c>
      <c r="D249" s="2">
        <v>3.8140000000000001</v>
      </c>
      <c r="E249" s="2">
        <v>0</v>
      </c>
      <c r="F249" s="2">
        <f>100*E249/D249</f>
        <v>0</v>
      </c>
      <c r="G249" s="7">
        <v>0</v>
      </c>
      <c r="I249" s="2">
        <f>(0.5/0.719)*D249</f>
        <v>2.6522948539638391</v>
      </c>
      <c r="J249" s="2">
        <f>(0.5/0.719)*E249</f>
        <v>0</v>
      </c>
    </row>
    <row r="250" spans="1:10" x14ac:dyDescent="0.2">
      <c r="B250">
        <v>23</v>
      </c>
      <c r="C250">
        <v>6</v>
      </c>
      <c r="D250" s="2">
        <v>1.3109999999999999</v>
      </c>
      <c r="E250" s="2">
        <v>0</v>
      </c>
      <c r="F250" s="2">
        <f>100*E250/D250</f>
        <v>0</v>
      </c>
      <c r="G250" s="7">
        <v>0</v>
      </c>
      <c r="I250" s="2">
        <f>(0.5/0.719)*D250</f>
        <v>0.91168289290681503</v>
      </c>
      <c r="J250" s="2">
        <f>(0.5/0.719)*E250</f>
        <v>0</v>
      </c>
    </row>
    <row r="251" spans="1:10" x14ac:dyDescent="0.2">
      <c r="B251">
        <v>24</v>
      </c>
      <c r="C251">
        <v>7</v>
      </c>
      <c r="D251" s="2">
        <v>1.407</v>
      </c>
      <c r="E251" s="2">
        <v>0.122</v>
      </c>
      <c r="F251" s="2">
        <f>100*E251/D251</f>
        <v>8.6709310589907602</v>
      </c>
      <c r="G251" s="7">
        <v>1</v>
      </c>
      <c r="I251" s="2">
        <f>(0.5/0.719)*D251</f>
        <v>0.97844228094575814</v>
      </c>
      <c r="J251" s="2">
        <f>(0.5/0.719)*E251</f>
        <v>8.4840055632823375E-2</v>
      </c>
    </row>
    <row r="252" spans="1:10" x14ac:dyDescent="0.2">
      <c r="B252">
        <v>25</v>
      </c>
      <c r="C252">
        <v>8</v>
      </c>
      <c r="D252" s="2">
        <v>2.5840000000000001</v>
      </c>
      <c r="E252" s="2">
        <v>0.67800000000000005</v>
      </c>
      <c r="F252" s="2">
        <f>100*E252/D252</f>
        <v>26.238390092879261</v>
      </c>
      <c r="G252" s="7">
        <v>1</v>
      </c>
      <c r="I252" s="2">
        <f>(0.5/0.719)*D252</f>
        <v>1.796940194714882</v>
      </c>
      <c r="J252" s="2">
        <f>(0.5/0.719)*E252</f>
        <v>0.47148817802503484</v>
      </c>
    </row>
    <row r="253" spans="1:10" x14ac:dyDescent="0.2">
      <c r="B253">
        <v>26</v>
      </c>
      <c r="C253">
        <v>9</v>
      </c>
      <c r="D253" s="2">
        <v>1.3260000000000001</v>
      </c>
      <c r="E253" s="2">
        <f>0.104+0.162</f>
        <v>0.26600000000000001</v>
      </c>
      <c r="F253" s="2">
        <f>100*E253/D253</f>
        <v>20.060331825037707</v>
      </c>
      <c r="G253" s="7">
        <v>1</v>
      </c>
      <c r="I253" s="2">
        <f>(0.5/0.719)*D253</f>
        <v>0.92211404728790003</v>
      </c>
      <c r="J253" s="2">
        <f>(0.5/0.719)*E253</f>
        <v>0.18497913769123786</v>
      </c>
    </row>
    <row r="254" spans="1:10" x14ac:dyDescent="0.2">
      <c r="B254">
        <v>27</v>
      </c>
      <c r="C254">
        <v>10</v>
      </c>
      <c r="D254" s="2">
        <v>1.56</v>
      </c>
      <c r="E254" s="2">
        <v>0.22</v>
      </c>
      <c r="F254" s="2">
        <f>100*E254/D254</f>
        <v>14.102564102564102</v>
      </c>
      <c r="G254" s="7">
        <v>1</v>
      </c>
      <c r="I254" s="2">
        <f>(0.5/0.719)*D254</f>
        <v>1.0848400556328235</v>
      </c>
      <c r="J254" s="2">
        <f>(0.5/0.719)*E254</f>
        <v>0.152990264255911</v>
      </c>
    </row>
    <row r="255" spans="1:10" x14ac:dyDescent="0.2">
      <c r="B255">
        <v>28</v>
      </c>
      <c r="C255">
        <v>11</v>
      </c>
      <c r="D255" s="2">
        <v>1.264</v>
      </c>
      <c r="E255" s="2">
        <v>0.29399999999999998</v>
      </c>
      <c r="F255" s="2">
        <f>100*E255/D255</f>
        <v>23.259493670886073</v>
      </c>
      <c r="G255" s="7">
        <v>1</v>
      </c>
      <c r="I255" s="2">
        <f>(0.5/0.719)*D255</f>
        <v>0.87899860917941597</v>
      </c>
      <c r="J255" s="2">
        <f>(0.5/0.719)*E255</f>
        <v>0.20445062586926288</v>
      </c>
    </row>
    <row r="256" spans="1:10" x14ac:dyDescent="0.2">
      <c r="A256" t="s">
        <v>124</v>
      </c>
      <c r="B256">
        <v>29</v>
      </c>
      <c r="C256">
        <v>1</v>
      </c>
      <c r="D256" s="2">
        <v>2.7719999999999998</v>
      </c>
      <c r="E256" s="2">
        <v>0.63900000000000001</v>
      </c>
      <c r="F256" s="2">
        <f>100*E256/D256</f>
        <v>23.051948051948052</v>
      </c>
      <c r="G256" s="7">
        <v>1</v>
      </c>
      <c r="H256" s="2">
        <v>1</v>
      </c>
      <c r="I256" s="2">
        <f>(0.5/0.719)*D256</f>
        <v>1.9276773296244785</v>
      </c>
      <c r="J256" s="2">
        <f>(0.5/0.719)*E256</f>
        <v>0.44436717663421427</v>
      </c>
    </row>
    <row r="257" spans="1:10" x14ac:dyDescent="0.2">
      <c r="B257">
        <v>30</v>
      </c>
      <c r="C257">
        <v>2</v>
      </c>
      <c r="D257" s="2">
        <v>3.625</v>
      </c>
      <c r="E257" s="2">
        <v>0.39</v>
      </c>
      <c r="F257" s="2">
        <f>100*E257/D257</f>
        <v>10.758620689655173</v>
      </c>
      <c r="G257" s="7">
        <v>1</v>
      </c>
      <c r="I257" s="2">
        <f>(0.5/0.719)*D257</f>
        <v>2.5208623087621698</v>
      </c>
      <c r="J257" s="2">
        <f>(0.5/0.719)*E257</f>
        <v>0.27121001390820587</v>
      </c>
    </row>
    <row r="258" spans="1:10" x14ac:dyDescent="0.2">
      <c r="B258">
        <v>31</v>
      </c>
      <c r="C258">
        <v>3</v>
      </c>
      <c r="D258" s="2">
        <v>5.7469999999999999</v>
      </c>
      <c r="E258" s="2">
        <f>0.329+0.29+0.359</f>
        <v>0.97799999999999998</v>
      </c>
      <c r="F258" s="2">
        <f>100*E258/D258</f>
        <v>17.017574386636507</v>
      </c>
      <c r="G258" s="7">
        <v>1</v>
      </c>
      <c r="I258" s="2">
        <f>(0.5/0.719)*D258</f>
        <v>3.9965229485396385</v>
      </c>
      <c r="J258" s="2">
        <f>(0.5/0.719)*E258</f>
        <v>0.68011126564673163</v>
      </c>
    </row>
    <row r="259" spans="1:10" x14ac:dyDescent="0.2">
      <c r="B259">
        <v>32</v>
      </c>
      <c r="C259">
        <v>4</v>
      </c>
      <c r="D259" s="2">
        <v>9.6709999999999994</v>
      </c>
      <c r="E259" s="2">
        <f>0.324+0.263+0.254+0.121</f>
        <v>0.96199999999999997</v>
      </c>
      <c r="F259" s="2">
        <f>100*E259/D259</f>
        <v>9.9472650191293575</v>
      </c>
      <c r="G259" s="7">
        <v>1</v>
      </c>
      <c r="I259" s="2">
        <f>(0.5/0.719)*D259</f>
        <v>6.7253129346314324</v>
      </c>
      <c r="J259" s="2">
        <f>(0.5/0.719)*E259</f>
        <v>0.66898470097357443</v>
      </c>
    </row>
    <row r="260" spans="1:10" x14ac:dyDescent="0.2">
      <c r="B260">
        <v>33</v>
      </c>
      <c r="C260">
        <v>5</v>
      </c>
      <c r="D260" s="2">
        <v>8.6920000000000002</v>
      </c>
      <c r="E260" s="2">
        <f>0.314+0.513</f>
        <v>0.82699999999999996</v>
      </c>
      <c r="F260" s="2">
        <f>100*E260/D260</f>
        <v>9.5144960883571077</v>
      </c>
      <c r="G260" s="7">
        <v>1</v>
      </c>
      <c r="I260" s="2">
        <f>(0.5/0.719)*D260</f>
        <v>6.0445062586926293</v>
      </c>
      <c r="J260" s="2">
        <f>(0.5/0.719)*E260</f>
        <v>0.57510431154381092</v>
      </c>
    </row>
    <row r="261" spans="1:10" x14ac:dyDescent="0.2">
      <c r="A261" t="s">
        <v>123</v>
      </c>
      <c r="B261">
        <v>34</v>
      </c>
      <c r="C261">
        <v>1</v>
      </c>
      <c r="D261" s="2">
        <v>3.7269999999999999</v>
      </c>
      <c r="E261" s="2">
        <f>0.447+0.147+0.403</f>
        <v>0.997</v>
      </c>
      <c r="F261" s="2">
        <f>100*E261/D261</f>
        <v>26.750737858867723</v>
      </c>
      <c r="G261" s="7">
        <v>1</v>
      </c>
      <c r="H261" s="2">
        <v>1</v>
      </c>
      <c r="I261" s="2">
        <f>(0.5/0.719)*D261</f>
        <v>2.5917941585535469</v>
      </c>
      <c r="J261" s="2">
        <f>(0.5/0.719)*E261</f>
        <v>0.69332406119610579</v>
      </c>
    </row>
    <row r="262" spans="1:10" x14ac:dyDescent="0.2">
      <c r="B262">
        <v>35</v>
      </c>
      <c r="C262">
        <v>2</v>
      </c>
      <c r="D262" s="2">
        <v>5.181</v>
      </c>
      <c r="E262" s="2">
        <f>0.531+0.824+0.671</f>
        <v>2.0259999999999998</v>
      </c>
      <c r="F262" s="2">
        <f>100*E262/D262</f>
        <v>39.104419996139733</v>
      </c>
      <c r="G262" s="7">
        <v>1</v>
      </c>
      <c r="I262" s="2">
        <f>(0.5/0.719)*D262</f>
        <v>3.602920723226704</v>
      </c>
      <c r="J262" s="2">
        <f>(0.5/0.719)*E262</f>
        <v>1.4089012517385258</v>
      </c>
    </row>
    <row r="263" spans="1:10" x14ac:dyDescent="0.2">
      <c r="B263">
        <v>36</v>
      </c>
      <c r="C263">
        <v>3</v>
      </c>
      <c r="D263" s="2">
        <v>1.893</v>
      </c>
      <c r="E263" s="2">
        <f>0.514+0.106</f>
        <v>0.62</v>
      </c>
      <c r="F263" s="2">
        <f>100*E263/D263</f>
        <v>32.752245113576336</v>
      </c>
      <c r="G263" s="7">
        <v>1</v>
      </c>
      <c r="I263" s="2">
        <f>(0.5/0.719)*D263</f>
        <v>1.3164116828929069</v>
      </c>
      <c r="J263" s="2">
        <f>(0.5/0.719)*E263</f>
        <v>0.43115438108484011</v>
      </c>
    </row>
    <row r="264" spans="1:10" x14ac:dyDescent="0.2">
      <c r="B264">
        <v>37</v>
      </c>
      <c r="C264">
        <v>4</v>
      </c>
      <c r="D264" s="2">
        <v>3.3239999999999998</v>
      </c>
      <c r="E264" s="2">
        <v>0.4</v>
      </c>
      <c r="F264" s="2">
        <f>100*E264/D264</f>
        <v>12.033694344163658</v>
      </c>
      <c r="G264" s="7">
        <v>1</v>
      </c>
      <c r="I264" s="2">
        <f>(0.5/0.719)*D264</f>
        <v>2.3115438108484008</v>
      </c>
      <c r="J264" s="2">
        <f>(0.5/0.719)*E264</f>
        <v>0.27816411682892911</v>
      </c>
    </row>
    <row r="265" spans="1:10" x14ac:dyDescent="0.2">
      <c r="B265">
        <v>38</v>
      </c>
      <c r="C265">
        <v>5</v>
      </c>
      <c r="D265" s="2">
        <v>1.2270000000000001</v>
      </c>
      <c r="E265" s="2">
        <f>0.148+0.328</f>
        <v>0.47599999999999998</v>
      </c>
      <c r="F265" s="2">
        <f>100*E265/D265</f>
        <v>38.79380603096984</v>
      </c>
      <c r="G265" s="7">
        <v>1</v>
      </c>
      <c r="I265" s="2">
        <f>(0.5/0.719)*D265</f>
        <v>0.85326842837274008</v>
      </c>
      <c r="J265" s="2">
        <f>(0.5/0.719)*E265</f>
        <v>0.33101529902642562</v>
      </c>
    </row>
    <row r="266" spans="1:10" x14ac:dyDescent="0.2">
      <c r="B266">
        <v>39</v>
      </c>
      <c r="C266">
        <v>6</v>
      </c>
      <c r="D266" s="2">
        <v>5.9390000000000001</v>
      </c>
      <c r="E266" s="2">
        <f>1.242+0.47+1.005+0.298</f>
        <v>3.0149999999999997</v>
      </c>
      <c r="F266" s="2">
        <f>100*E266/D266</f>
        <v>50.766122242801806</v>
      </c>
      <c r="G266" s="7">
        <v>1</v>
      </c>
      <c r="I266" s="2">
        <f>(0.5/0.719)*D266</f>
        <v>4.1300417246175245</v>
      </c>
      <c r="J266" s="2">
        <f>(0.5/0.719)*E266</f>
        <v>2.0966620305980528</v>
      </c>
    </row>
    <row r="267" spans="1:10" x14ac:dyDescent="0.2">
      <c r="B267">
        <v>40</v>
      </c>
      <c r="C267">
        <v>7</v>
      </c>
      <c r="D267" s="2">
        <v>2.2570000000000001</v>
      </c>
      <c r="E267" s="2">
        <f>0.272+0.637</f>
        <v>0.90900000000000003</v>
      </c>
      <c r="F267" s="2">
        <f>100*E267/D267</f>
        <v>40.274700930438634</v>
      </c>
      <c r="G267" s="7">
        <v>1</v>
      </c>
      <c r="I267" s="2">
        <f>(0.5/0.719)*D267</f>
        <v>1.5695410292072325</v>
      </c>
      <c r="J267" s="2">
        <f>(0.5/0.719)*E267</f>
        <v>0.63212795549374134</v>
      </c>
    </row>
    <row r="268" spans="1:10" x14ac:dyDescent="0.2">
      <c r="A268" t="s">
        <v>122</v>
      </c>
      <c r="B268">
        <v>41</v>
      </c>
      <c r="C268">
        <v>1</v>
      </c>
      <c r="D268" s="2">
        <v>2.2650000000000001</v>
      </c>
      <c r="E268" s="2">
        <v>0.39800000000000002</v>
      </c>
      <c r="F268" s="2">
        <f>100*E268/D268</f>
        <v>17.571743929359823</v>
      </c>
      <c r="G268" s="7">
        <v>1</v>
      </c>
      <c r="H268" s="2">
        <v>1</v>
      </c>
      <c r="I268" s="2">
        <f>(0.5/0.719)*D268</f>
        <v>1.575104311543811</v>
      </c>
      <c r="J268" s="2">
        <f>(0.5/0.719)*E268</f>
        <v>0.27677329624478447</v>
      </c>
    </row>
    <row r="269" spans="1:10" x14ac:dyDescent="0.2">
      <c r="B269">
        <v>42</v>
      </c>
      <c r="C269">
        <v>2</v>
      </c>
      <c r="D269" s="2">
        <v>1.331</v>
      </c>
      <c r="E269" s="2">
        <v>0.48199999999999998</v>
      </c>
      <c r="F269" s="2">
        <f>100*E269/D269</f>
        <v>36.213373403456046</v>
      </c>
      <c r="G269" s="7">
        <v>1</v>
      </c>
      <c r="I269" s="2">
        <f>(0.5/0.719)*D269</f>
        <v>0.92559109874826151</v>
      </c>
      <c r="J269" s="2">
        <f>(0.5/0.719)*E269</f>
        <v>0.33518776077885953</v>
      </c>
    </row>
    <row r="270" spans="1:10" x14ac:dyDescent="0.2">
      <c r="B270">
        <v>43</v>
      </c>
      <c r="C270">
        <v>3</v>
      </c>
      <c r="D270" s="2">
        <v>1.788</v>
      </c>
      <c r="E270" s="2">
        <f>0.248+0.364</f>
        <v>0.61199999999999999</v>
      </c>
      <c r="F270" s="2">
        <f>100*E270/D270</f>
        <v>34.228187919463082</v>
      </c>
      <c r="G270" s="7">
        <v>1</v>
      </c>
      <c r="I270" s="2">
        <f>(0.5/0.719)*D270</f>
        <v>1.2433936022253131</v>
      </c>
      <c r="J270" s="2">
        <f>(0.5/0.719)*E270</f>
        <v>0.42559109874826151</v>
      </c>
    </row>
    <row r="271" spans="1:10" x14ac:dyDescent="0.2">
      <c r="B271">
        <v>44</v>
      </c>
      <c r="C271">
        <v>4</v>
      </c>
      <c r="D271" s="2">
        <v>2.2869999999999999</v>
      </c>
      <c r="E271" s="2">
        <f>0.534+0.581</f>
        <v>1.115</v>
      </c>
      <c r="F271" s="2">
        <f>100*E271/D271</f>
        <v>48.753825972890247</v>
      </c>
      <c r="G271" s="7">
        <v>1</v>
      </c>
      <c r="I271" s="2">
        <f>(0.5/0.719)*D271</f>
        <v>1.590403337969402</v>
      </c>
      <c r="J271" s="2">
        <f>(0.5/0.719)*E271</f>
        <v>0.77538247566063989</v>
      </c>
    </row>
    <row r="272" spans="1:10" x14ac:dyDescent="0.2">
      <c r="B272">
        <v>45</v>
      </c>
      <c r="C272">
        <v>5</v>
      </c>
      <c r="D272" s="2">
        <v>2.2389999999999999</v>
      </c>
      <c r="E272" s="2">
        <f>0.44+0.223+0.326</f>
        <v>0.9890000000000001</v>
      </c>
      <c r="F272" s="2">
        <f>100*E272/D272</f>
        <v>44.171505136221533</v>
      </c>
      <c r="G272" s="7">
        <v>1</v>
      </c>
      <c r="I272" s="2">
        <f>(0.5/0.719)*D272</f>
        <v>1.5570236439499305</v>
      </c>
      <c r="J272" s="2">
        <f>(0.5/0.719)*E272</f>
        <v>0.68776077885952724</v>
      </c>
    </row>
    <row r="273" spans="1:10" x14ac:dyDescent="0.2">
      <c r="B273">
        <v>46</v>
      </c>
      <c r="C273">
        <v>6</v>
      </c>
      <c r="D273" s="2">
        <v>1.399</v>
      </c>
      <c r="E273" s="2">
        <v>0.40600000000000003</v>
      </c>
      <c r="F273" s="2">
        <f>100*E273/D273</f>
        <v>29.020729092208722</v>
      </c>
      <c r="G273" s="7">
        <v>1</v>
      </c>
      <c r="I273" s="2">
        <f>(0.5/0.719)*D273</f>
        <v>0.97287899860917948</v>
      </c>
      <c r="J273" s="2">
        <f>(0.5/0.719)*E273</f>
        <v>0.28233657858136307</v>
      </c>
    </row>
    <row r="274" spans="1:10" x14ac:dyDescent="0.2">
      <c r="B274">
        <v>47</v>
      </c>
      <c r="C274">
        <v>7</v>
      </c>
      <c r="D274" s="2">
        <v>3.153</v>
      </c>
      <c r="E274" s="2">
        <f>0.497+0.442+0.675</f>
        <v>1.6140000000000001</v>
      </c>
      <c r="F274" s="2">
        <f>100*E274/D274</f>
        <v>51.189343482397717</v>
      </c>
      <c r="G274" s="7">
        <v>1</v>
      </c>
      <c r="I274" s="2">
        <f>(0.5/0.719)*D274</f>
        <v>2.1926286509040338</v>
      </c>
      <c r="J274" s="2">
        <f>(0.5/0.719)*E274</f>
        <v>1.1223922114047289</v>
      </c>
    </row>
    <row r="275" spans="1:10" x14ac:dyDescent="0.2">
      <c r="A275" t="s">
        <v>121</v>
      </c>
      <c r="B275">
        <v>48</v>
      </c>
      <c r="C275">
        <v>1</v>
      </c>
      <c r="D275" s="2">
        <v>5.8940000000000001</v>
      </c>
      <c r="E275" s="2">
        <f>0.27+0.281+0.204</f>
        <v>0.755</v>
      </c>
      <c r="F275" s="2">
        <f>100*E275/D275</f>
        <v>12.809636918900576</v>
      </c>
      <c r="G275" s="7">
        <v>1</v>
      </c>
      <c r="H275" s="2">
        <v>1</v>
      </c>
      <c r="I275" s="2">
        <f>(0.5/0.719)*D275</f>
        <v>4.0987482614742703</v>
      </c>
      <c r="J275" s="2">
        <f>(0.5/0.719)*E275</f>
        <v>0.52503477051460368</v>
      </c>
    </row>
    <row r="276" spans="1:10" x14ac:dyDescent="0.2">
      <c r="B276">
        <v>49</v>
      </c>
      <c r="C276">
        <v>2</v>
      </c>
      <c r="D276" s="2">
        <v>3.4049999999999998</v>
      </c>
      <c r="E276" s="2">
        <f>0.721+0.333</f>
        <v>1.054</v>
      </c>
      <c r="F276" s="2">
        <f>100*E276/D276</f>
        <v>30.954478707782677</v>
      </c>
      <c r="G276" s="7">
        <v>1</v>
      </c>
      <c r="I276" s="2">
        <f>(0.5/0.719)*D276</f>
        <v>2.3678720445062589</v>
      </c>
      <c r="J276" s="2">
        <f>(0.5/0.719)*E276</f>
        <v>0.73296244784422826</v>
      </c>
    </row>
    <row r="277" spans="1:10" x14ac:dyDescent="0.2">
      <c r="B277">
        <v>50</v>
      </c>
      <c r="C277">
        <v>3</v>
      </c>
      <c r="D277" s="2">
        <v>7.9770000000000003</v>
      </c>
      <c r="E277" s="2">
        <f>0.998+0.207+0.749</f>
        <v>1.9540000000000002</v>
      </c>
      <c r="F277" s="2">
        <f>100*E277/D277</f>
        <v>24.49542434499185</v>
      </c>
      <c r="G277" s="7">
        <v>1</v>
      </c>
      <c r="I277" s="2">
        <f>(0.5/0.719)*D277</f>
        <v>5.547287899860919</v>
      </c>
      <c r="J277" s="2">
        <f>(0.5/0.719)*E277</f>
        <v>1.3588317107093189</v>
      </c>
    </row>
    <row r="278" spans="1:10" x14ac:dyDescent="0.2">
      <c r="A278" t="s">
        <v>120</v>
      </c>
      <c r="B278">
        <v>51</v>
      </c>
      <c r="C278">
        <v>1</v>
      </c>
      <c r="D278" s="2">
        <v>4.6130000000000004</v>
      </c>
      <c r="E278" s="2">
        <f>1.708+0.205</f>
        <v>1.913</v>
      </c>
      <c r="F278" s="2">
        <f>100*E278/D278</f>
        <v>41.469759375677434</v>
      </c>
      <c r="G278" s="7">
        <v>1</v>
      </c>
      <c r="H278" s="2">
        <v>1</v>
      </c>
      <c r="I278" s="2">
        <f>(0.5/0.719)*D278</f>
        <v>3.207927677329625</v>
      </c>
      <c r="J278" s="2">
        <f>(0.5/0.719)*E278</f>
        <v>1.3303198887343535</v>
      </c>
    </row>
    <row r="279" spans="1:10" x14ac:dyDescent="0.2">
      <c r="B279">
        <v>52</v>
      </c>
      <c r="C279">
        <v>2</v>
      </c>
      <c r="D279" s="2">
        <v>2.8660000000000001</v>
      </c>
      <c r="E279" s="2">
        <v>0.23799999999999999</v>
      </c>
      <c r="F279" s="2">
        <f>100*E279/D279</f>
        <v>8.3042568039078848</v>
      </c>
      <c r="G279" s="7">
        <v>1</v>
      </c>
      <c r="I279" s="2">
        <f>(0.5/0.719)*D279</f>
        <v>1.993045897079277</v>
      </c>
      <c r="J279" s="2">
        <f>(0.5/0.719)*E279</f>
        <v>0.16550764951321281</v>
      </c>
    </row>
    <row r="280" spans="1:10" x14ac:dyDescent="0.2">
      <c r="A280" t="s">
        <v>119</v>
      </c>
      <c r="B280">
        <v>53</v>
      </c>
      <c r="C280">
        <v>1</v>
      </c>
      <c r="D280" s="2">
        <v>1.6890000000000001</v>
      </c>
      <c r="E280" s="2">
        <v>0.90300000000000002</v>
      </c>
      <c r="F280" s="2">
        <f>100*E280/D280</f>
        <v>53.463587921847243</v>
      </c>
      <c r="G280" s="7">
        <v>1</v>
      </c>
      <c r="H280" s="2">
        <v>1</v>
      </c>
      <c r="I280" s="2">
        <f>(0.5/0.719)*D280</f>
        <v>1.1745479833101531</v>
      </c>
      <c r="J280" s="2">
        <f>(0.5/0.719)*E280</f>
        <v>0.62795549374130744</v>
      </c>
    </row>
    <row r="281" spans="1:10" x14ac:dyDescent="0.2">
      <c r="B281">
        <v>54</v>
      </c>
      <c r="C281">
        <v>2</v>
      </c>
      <c r="D281" s="2">
        <v>2.4260000000000002</v>
      </c>
      <c r="E281" s="2">
        <f>0.697+0.357+0.33</f>
        <v>1.3839999999999999</v>
      </c>
      <c r="F281" s="2">
        <f>100*E281/D281</f>
        <v>57.048639736191248</v>
      </c>
      <c r="G281" s="7">
        <v>1</v>
      </c>
      <c r="I281" s="2">
        <f>(0.5/0.719)*D281</f>
        <v>1.687065368567455</v>
      </c>
      <c r="J281" s="2">
        <f>(0.5/0.719)*E281</f>
        <v>0.9624478442280946</v>
      </c>
    </row>
    <row r="282" spans="1:10" x14ac:dyDescent="0.2">
      <c r="B282">
        <v>55</v>
      </c>
      <c r="C282">
        <v>3</v>
      </c>
      <c r="D282" s="2">
        <v>4.4640000000000004</v>
      </c>
      <c r="E282" s="2">
        <f>0.193+0.411</f>
        <v>0.60399999999999998</v>
      </c>
      <c r="F282" s="2">
        <f>100*E282/D282</f>
        <v>13.530465949820787</v>
      </c>
      <c r="G282" s="7">
        <v>1</v>
      </c>
      <c r="I282" s="2">
        <f>(0.5/0.719)*D282</f>
        <v>3.1043115438108488</v>
      </c>
      <c r="J282" s="2">
        <f>(0.5/0.719)*E282</f>
        <v>0.42002781641168291</v>
      </c>
    </row>
    <row r="283" spans="1:10" x14ac:dyDescent="0.2">
      <c r="B283">
        <v>56</v>
      </c>
      <c r="C283">
        <v>4</v>
      </c>
      <c r="D283" s="2">
        <v>5.0430000000000001</v>
      </c>
      <c r="E283" s="2">
        <f>0.2+0.422+0.074+0.339</f>
        <v>1.0349999999999999</v>
      </c>
      <c r="F283" s="2">
        <f>100*E283/D283</f>
        <v>20.523497917906006</v>
      </c>
      <c r="G283" s="7">
        <v>1</v>
      </c>
      <c r="I283" s="2">
        <f>(0.5/0.719)*D283</f>
        <v>3.5069541029207238</v>
      </c>
      <c r="J283" s="2">
        <f>(0.5/0.719)*E283</f>
        <v>0.71974965229485399</v>
      </c>
    </row>
    <row r="284" spans="1:10" x14ac:dyDescent="0.2">
      <c r="B284">
        <v>57</v>
      </c>
      <c r="C284">
        <v>5</v>
      </c>
      <c r="D284" s="2">
        <v>1.3759999999999999</v>
      </c>
      <c r="E284" s="2">
        <f>0.234+0.113</f>
        <v>0.34700000000000003</v>
      </c>
      <c r="F284" s="2">
        <f>100*E284/D284</f>
        <v>25.218023255813957</v>
      </c>
      <c r="G284" s="7">
        <v>1</v>
      </c>
      <c r="I284" s="2">
        <f>(0.5/0.719)*D284</f>
        <v>0.95688456189151605</v>
      </c>
      <c r="J284" s="2">
        <f>(0.5/0.719)*E284</f>
        <v>0.24130737134909602</v>
      </c>
    </row>
    <row r="285" spans="1:10" x14ac:dyDescent="0.2">
      <c r="B285">
        <v>58</v>
      </c>
      <c r="C285">
        <v>6</v>
      </c>
      <c r="D285" s="2">
        <v>4.4829999999999997</v>
      </c>
      <c r="E285" s="2">
        <f>0.219+0.309+0.83+0.257</f>
        <v>1.6150000000000002</v>
      </c>
      <c r="F285" s="2">
        <f>100*E285/D285</f>
        <v>36.024983270131621</v>
      </c>
      <c r="G285" s="7">
        <v>1</v>
      </c>
      <c r="I285" s="2">
        <f>(0.5/0.719)*D285</f>
        <v>3.1175243393602226</v>
      </c>
      <c r="J285" s="2">
        <f>(0.5/0.719)*E285</f>
        <v>1.1230876216968013</v>
      </c>
    </row>
    <row r="286" spans="1:10" x14ac:dyDescent="0.2">
      <c r="B286">
        <v>59</v>
      </c>
      <c r="C286">
        <v>7</v>
      </c>
      <c r="D286" s="2">
        <v>2.52</v>
      </c>
      <c r="E286" s="2">
        <f>0.465+0.46+0.195</f>
        <v>1.1200000000000001</v>
      </c>
      <c r="F286" s="2">
        <f>100*E286/D286</f>
        <v>44.44444444444445</v>
      </c>
      <c r="G286" s="7">
        <v>1</v>
      </c>
      <c r="I286" s="2">
        <f>(0.5/0.719)*D286</f>
        <v>1.7524339360222534</v>
      </c>
      <c r="J286" s="2">
        <f>(0.5/0.719)*E286</f>
        <v>0.77885952712100159</v>
      </c>
    </row>
    <row r="287" spans="1:10" x14ac:dyDescent="0.2">
      <c r="A287" t="s">
        <v>127</v>
      </c>
      <c r="B287">
        <v>60</v>
      </c>
      <c r="C287">
        <v>1</v>
      </c>
      <c r="D287" s="2">
        <v>3.1640000000000001</v>
      </c>
      <c r="E287" s="2">
        <f>0.649+0.595</f>
        <v>1.244</v>
      </c>
      <c r="F287" s="2">
        <f>100*E287/D287</f>
        <v>39.317319848293302</v>
      </c>
      <c r="G287" s="7">
        <v>1</v>
      </c>
      <c r="H287" s="2">
        <f>8/9</f>
        <v>0.88888888888888884</v>
      </c>
      <c r="I287" s="2">
        <f>(0.5/0.719)*D287</f>
        <v>2.2002781641168294</v>
      </c>
      <c r="J287" s="2">
        <f>(0.5/0.719)*E287</f>
        <v>0.86509040333796949</v>
      </c>
    </row>
    <row r="288" spans="1:10" x14ac:dyDescent="0.2">
      <c r="B288">
        <v>61</v>
      </c>
      <c r="C288">
        <v>2</v>
      </c>
      <c r="D288" s="2">
        <v>3.5760000000000001</v>
      </c>
      <c r="E288" s="2">
        <v>0.5</v>
      </c>
      <c r="F288" s="2">
        <f>100*E288/D288</f>
        <v>13.982102908277405</v>
      </c>
      <c r="G288" s="7">
        <v>1</v>
      </c>
      <c r="I288" s="2">
        <f>(0.5/0.719)*D288</f>
        <v>2.4867872044506263</v>
      </c>
      <c r="J288" s="2">
        <f>(0.5/0.719)*E288</f>
        <v>0.34770514603616137</v>
      </c>
    </row>
    <row r="289" spans="1:10" x14ac:dyDescent="0.2">
      <c r="B289">
        <v>62</v>
      </c>
      <c r="C289">
        <v>3</v>
      </c>
      <c r="D289" s="2">
        <v>2.1429999999999998</v>
      </c>
      <c r="E289" s="2">
        <v>0</v>
      </c>
      <c r="F289" s="2">
        <f>100*E289/D289</f>
        <v>0</v>
      </c>
      <c r="G289" s="7">
        <v>0</v>
      </c>
      <c r="I289" s="2">
        <f>(0.5/0.719)*D289</f>
        <v>1.4902642559109875</v>
      </c>
      <c r="J289" s="2">
        <f>(0.5/0.719)*E289</f>
        <v>0</v>
      </c>
    </row>
    <row r="290" spans="1:10" x14ac:dyDescent="0.2">
      <c r="B290">
        <v>63</v>
      </c>
      <c r="C290">
        <v>4</v>
      </c>
      <c r="D290" s="2">
        <v>2.9060000000000001</v>
      </c>
      <c r="E290" s="2">
        <f>0.112+0.511+0.311</f>
        <v>0.93399999999999994</v>
      </c>
      <c r="F290" s="2">
        <f>100*E290/D290</f>
        <v>32.1403991741225</v>
      </c>
      <c r="G290" s="7">
        <v>1</v>
      </c>
      <c r="I290" s="2">
        <f>(0.5/0.719)*D290</f>
        <v>2.0208623087621702</v>
      </c>
      <c r="J290" s="2">
        <f>(0.5/0.719)*E290</f>
        <v>0.64951321279554941</v>
      </c>
    </row>
    <row r="291" spans="1:10" x14ac:dyDescent="0.2">
      <c r="B291">
        <v>64</v>
      </c>
      <c r="C291">
        <v>5</v>
      </c>
      <c r="D291" s="2">
        <v>4.2229999999999999</v>
      </c>
      <c r="E291" s="2">
        <f>0.403+0.207</f>
        <v>0.61</v>
      </c>
      <c r="F291" s="2">
        <f>100*E291/D291</f>
        <v>14.444707553871655</v>
      </c>
      <c r="G291" s="7">
        <v>1</v>
      </c>
      <c r="I291" s="2">
        <f>(0.5/0.719)*D291</f>
        <v>2.9367176634214189</v>
      </c>
      <c r="J291" s="2">
        <f>(0.5/0.719)*E291</f>
        <v>0.42420027816411687</v>
      </c>
    </row>
    <row r="292" spans="1:10" x14ac:dyDescent="0.2">
      <c r="B292">
        <v>65</v>
      </c>
      <c r="C292">
        <v>6</v>
      </c>
      <c r="D292" s="2">
        <v>5.5510000000000002</v>
      </c>
      <c r="E292" s="2">
        <f>1.627+0.109+0.483</f>
        <v>2.2189999999999999</v>
      </c>
      <c r="F292" s="2">
        <f>100*E292/D292</f>
        <v>39.974779319041609</v>
      </c>
      <c r="G292" s="7">
        <v>1</v>
      </c>
      <c r="I292" s="2">
        <f>(0.5/0.719)*D292</f>
        <v>3.8602225312934637</v>
      </c>
      <c r="J292" s="2">
        <f>(0.5/0.719)*E292</f>
        <v>1.5431154381084842</v>
      </c>
    </row>
    <row r="293" spans="1:10" x14ac:dyDescent="0.2">
      <c r="B293">
        <v>66</v>
      </c>
      <c r="C293">
        <v>7</v>
      </c>
      <c r="D293" s="2">
        <v>2.6349999999999998</v>
      </c>
      <c r="E293" s="2">
        <f>0.322+0.174</f>
        <v>0.496</v>
      </c>
      <c r="F293" s="2">
        <f>100*E293/D293</f>
        <v>18.823529411764707</v>
      </c>
      <c r="G293" s="7">
        <v>1</v>
      </c>
      <c r="I293" s="2">
        <f>(0.5/0.719)*D293</f>
        <v>1.8324061196105703</v>
      </c>
      <c r="J293" s="2">
        <f>(0.5/0.719)*E293</f>
        <v>0.3449235048678721</v>
      </c>
    </row>
    <row r="294" spans="1:10" x14ac:dyDescent="0.2">
      <c r="B294">
        <v>67</v>
      </c>
      <c r="C294">
        <v>8</v>
      </c>
      <c r="D294" s="2">
        <v>1.9339999999999999</v>
      </c>
      <c r="E294" s="2">
        <f>0.526+0.199</f>
        <v>0.72500000000000009</v>
      </c>
      <c r="F294" s="2">
        <f>100*E294/D294</f>
        <v>37.487073422957607</v>
      </c>
      <c r="G294" s="7">
        <v>1</v>
      </c>
      <c r="I294" s="2">
        <f>(0.5/0.719)*D294</f>
        <v>1.344923504867872</v>
      </c>
      <c r="J294" s="2">
        <f>(0.5/0.719)*E294</f>
        <v>0.50417246175243402</v>
      </c>
    </row>
    <row r="295" spans="1:10" x14ac:dyDescent="0.2">
      <c r="B295">
        <v>68</v>
      </c>
      <c r="C295">
        <v>9</v>
      </c>
      <c r="D295" s="2">
        <v>3.2090000000000001</v>
      </c>
      <c r="E295" s="2">
        <f>0.367+0.4+0.457</f>
        <v>1.224</v>
      </c>
      <c r="F295" s="2">
        <f>100*E295/D295</f>
        <v>38.14272358990339</v>
      </c>
      <c r="G295" s="7">
        <v>1</v>
      </c>
      <c r="I295" s="2">
        <f>(0.5/0.719)*D295</f>
        <v>2.2315716272600836</v>
      </c>
      <c r="J295" s="2">
        <f>(0.5/0.719)*E295</f>
        <v>0.85118219749652302</v>
      </c>
    </row>
    <row r="296" spans="1:10" x14ac:dyDescent="0.2">
      <c r="A296" t="s">
        <v>118</v>
      </c>
      <c r="B296">
        <v>69</v>
      </c>
      <c r="C296">
        <v>1</v>
      </c>
      <c r="D296" s="2">
        <v>5.5519999999999996</v>
      </c>
      <c r="E296" s="2">
        <f>0.862+0.959+0.663+0.369</f>
        <v>2.8529999999999998</v>
      </c>
      <c r="F296" s="2">
        <f>100*E296/D296</f>
        <v>51.386887608069159</v>
      </c>
      <c r="G296" s="7">
        <v>1</v>
      </c>
      <c r="H296" s="2">
        <v>1</v>
      </c>
      <c r="I296" s="2">
        <f>(0.5/0.719)*D296</f>
        <v>3.8609179415855355</v>
      </c>
      <c r="J296" s="2">
        <f>(0.5/0.719)*E296</f>
        <v>1.9840055632823366</v>
      </c>
    </row>
    <row r="297" spans="1:10" x14ac:dyDescent="0.2">
      <c r="B297">
        <v>70</v>
      </c>
      <c r="C297">
        <v>2</v>
      </c>
      <c r="D297" s="2">
        <v>4.1420000000000003</v>
      </c>
      <c r="E297" s="2">
        <f>1.016+0.319</f>
        <v>1.335</v>
      </c>
      <c r="F297" s="2">
        <f>100*E297/D297</f>
        <v>32.230806373732491</v>
      </c>
      <c r="G297" s="7">
        <v>1</v>
      </c>
      <c r="I297" s="2">
        <f>(0.5/0.719)*D297</f>
        <v>2.8803894297635613</v>
      </c>
      <c r="J297" s="2">
        <f>(0.5/0.719)*E297</f>
        <v>0.92837273991655089</v>
      </c>
    </row>
    <row r="298" spans="1:10" x14ac:dyDescent="0.2">
      <c r="B298">
        <v>71</v>
      </c>
      <c r="C298">
        <v>3</v>
      </c>
      <c r="D298" s="2">
        <v>5.1210000000000004</v>
      </c>
      <c r="E298" s="2">
        <f>0.461+0.345</f>
        <v>0.80600000000000005</v>
      </c>
      <c r="F298" s="2">
        <f>100*E298/D298</f>
        <v>15.739113454403437</v>
      </c>
      <c r="G298" s="7">
        <v>1</v>
      </c>
      <c r="I298" s="2">
        <f>(0.5/0.719)*D298</f>
        <v>3.5611961057023649</v>
      </c>
      <c r="J298" s="2">
        <f>(0.5/0.719)*E298</f>
        <v>0.56050069541029213</v>
      </c>
    </row>
    <row r="299" spans="1:10" x14ac:dyDescent="0.2">
      <c r="B299">
        <v>72</v>
      </c>
      <c r="C299">
        <v>4</v>
      </c>
      <c r="D299" s="2">
        <v>2.2000000000000002</v>
      </c>
      <c r="E299" s="2">
        <f>0.216+0.761+0.269</f>
        <v>1.246</v>
      </c>
      <c r="F299" s="2">
        <f>100*E299/D299</f>
        <v>56.636363636363626</v>
      </c>
      <c r="G299" s="7">
        <v>1</v>
      </c>
      <c r="I299" s="2">
        <f>(0.5/0.719)*D299</f>
        <v>1.5299026425591102</v>
      </c>
      <c r="J299" s="2">
        <f>(0.5/0.719)*E299</f>
        <v>0.86648122392211413</v>
      </c>
    </row>
    <row r="300" spans="1:10" x14ac:dyDescent="0.2">
      <c r="A300" t="s">
        <v>117</v>
      </c>
      <c r="B300">
        <v>73</v>
      </c>
      <c r="C300">
        <v>1</v>
      </c>
      <c r="D300" s="2">
        <v>1.4610000000000001</v>
      </c>
      <c r="E300" s="2">
        <f>0.07+0.64</f>
        <v>0.71</v>
      </c>
      <c r="F300" s="2">
        <f>100*E300/D300</f>
        <v>48.596851471594796</v>
      </c>
      <c r="G300" s="7">
        <v>1</v>
      </c>
      <c r="H300" s="2">
        <v>1</v>
      </c>
      <c r="I300" s="2">
        <f>(0.5/0.719)*D300</f>
        <v>1.0159944367176637</v>
      </c>
      <c r="J300" s="2">
        <f>(0.5/0.719)*E300</f>
        <v>0.49374130737134914</v>
      </c>
    </row>
    <row r="301" spans="1:10" x14ac:dyDescent="0.2">
      <c r="B301">
        <v>74</v>
      </c>
      <c r="C301">
        <v>2</v>
      </c>
      <c r="D301" s="2">
        <v>1.2509999999999999</v>
      </c>
      <c r="E301" s="2">
        <f>0.389+0.342</f>
        <v>0.73100000000000009</v>
      </c>
      <c r="F301" s="2">
        <f>100*E301/D301</f>
        <v>58.433253397282186</v>
      </c>
      <c r="G301" s="7">
        <v>1</v>
      </c>
      <c r="I301" s="2">
        <f>(0.5/0.719)*D301</f>
        <v>0.86995827538247572</v>
      </c>
      <c r="J301" s="2">
        <f>(0.5/0.719)*E301</f>
        <v>0.50834492350486804</v>
      </c>
    </row>
    <row r="302" spans="1:10" x14ac:dyDescent="0.2">
      <c r="B302">
        <v>75</v>
      </c>
      <c r="C302">
        <v>3</v>
      </c>
      <c r="D302" s="2">
        <v>1.4630000000000001</v>
      </c>
      <c r="E302" s="2">
        <f>0.234+0.234</f>
        <v>0.46800000000000003</v>
      </c>
      <c r="F302" s="2">
        <f>100*E302/D302</f>
        <v>31.989063568010938</v>
      </c>
      <c r="G302" s="7">
        <v>1</v>
      </c>
      <c r="I302" s="2">
        <f>(0.5/0.719)*D302</f>
        <v>1.0173852573018083</v>
      </c>
      <c r="J302" s="2">
        <f>(0.5/0.719)*E302</f>
        <v>0.32545201668984708</v>
      </c>
    </row>
    <row r="303" spans="1:10" x14ac:dyDescent="0.2">
      <c r="B303">
        <v>76</v>
      </c>
      <c r="C303">
        <v>4</v>
      </c>
      <c r="D303" s="2">
        <v>2.2000000000000002</v>
      </c>
      <c r="E303" s="2">
        <f>0.235+0.259+0.14</f>
        <v>0.63400000000000001</v>
      </c>
      <c r="F303" s="2">
        <f>100*E303/D303</f>
        <v>28.818181818181817</v>
      </c>
      <c r="G303" s="7">
        <v>1</v>
      </c>
      <c r="I303" s="2">
        <f>(0.5/0.719)*D303</f>
        <v>1.5299026425591102</v>
      </c>
      <c r="J303" s="2">
        <f>(0.5/0.719)*E303</f>
        <v>0.44089012517385262</v>
      </c>
    </row>
    <row r="304" spans="1:10" x14ac:dyDescent="0.2">
      <c r="B304">
        <v>77</v>
      </c>
      <c r="C304">
        <v>5</v>
      </c>
      <c r="D304" s="2">
        <v>1.587</v>
      </c>
      <c r="E304" s="2">
        <f>0.396+0.444</f>
        <v>0.84000000000000008</v>
      </c>
      <c r="F304" s="2">
        <f>100*E304/D304</f>
        <v>52.930056710775055</v>
      </c>
      <c r="G304" s="7">
        <v>1</v>
      </c>
      <c r="I304" s="2">
        <f>(0.5/0.719)*D304</f>
        <v>1.1036161335187762</v>
      </c>
      <c r="J304" s="2">
        <f>(0.5/0.719)*E304</f>
        <v>0.58414464534075117</v>
      </c>
    </row>
    <row r="305" spans="1:10" x14ac:dyDescent="0.2">
      <c r="B305">
        <v>78</v>
      </c>
      <c r="C305">
        <v>6</v>
      </c>
      <c r="D305" s="2">
        <v>1.639</v>
      </c>
      <c r="E305" s="2">
        <f>0.365+0.433+0.098</f>
        <v>0.89600000000000002</v>
      </c>
      <c r="F305" s="2">
        <f>100*E305/D305</f>
        <v>54.66748017083588</v>
      </c>
      <c r="G305" s="7">
        <v>1</v>
      </c>
      <c r="I305" s="2">
        <f>(0.5/0.719)*D305</f>
        <v>1.139777468706537</v>
      </c>
      <c r="J305" s="2">
        <f>(0.5/0.719)*E305</f>
        <v>0.62308762169680121</v>
      </c>
    </row>
    <row r="306" spans="1:10" x14ac:dyDescent="0.2">
      <c r="B306">
        <v>79</v>
      </c>
      <c r="C306">
        <v>7</v>
      </c>
      <c r="D306" s="2">
        <v>1.075</v>
      </c>
      <c r="E306" s="2">
        <f>0.547+0.318</f>
        <v>0.86499999999999999</v>
      </c>
      <c r="F306" s="2">
        <f>100*E306/D306</f>
        <v>80.465116279069775</v>
      </c>
      <c r="G306" s="7">
        <v>1</v>
      </c>
      <c r="I306" s="2">
        <f>(0.5/0.719)*D306</f>
        <v>0.74756606397774694</v>
      </c>
      <c r="J306" s="2">
        <f>(0.5/0.719)*E306</f>
        <v>0.60152990264255912</v>
      </c>
    </row>
    <row r="307" spans="1:10" x14ac:dyDescent="0.2">
      <c r="B307">
        <v>80</v>
      </c>
      <c r="C307">
        <v>8</v>
      </c>
      <c r="D307" s="2">
        <v>1.482</v>
      </c>
      <c r="E307" s="2">
        <f>0.534+0.71</f>
        <v>1.244</v>
      </c>
      <c r="F307" s="2">
        <f>100*E307/D307</f>
        <v>83.940620782726057</v>
      </c>
      <c r="G307" s="7">
        <v>1</v>
      </c>
      <c r="I307" s="2">
        <f>(0.5/0.719)*D307</f>
        <v>1.0305980528511822</v>
      </c>
      <c r="J307" s="2">
        <f>(0.5/0.719)*E307</f>
        <v>0.86509040333796949</v>
      </c>
    </row>
    <row r="308" spans="1:10" x14ac:dyDescent="0.2">
      <c r="B308">
        <v>81</v>
      </c>
      <c r="C308">
        <v>9</v>
      </c>
      <c r="D308" s="2">
        <v>1.02</v>
      </c>
      <c r="E308" s="2">
        <v>0.93799999999999994</v>
      </c>
      <c r="F308" s="2">
        <f>100*E308/D308</f>
        <v>91.960784313725483</v>
      </c>
      <c r="G308" s="7">
        <v>1</v>
      </c>
      <c r="I308" s="2">
        <f>(0.5/0.719)*D308</f>
        <v>0.70931849791376922</v>
      </c>
      <c r="J308" s="2">
        <f>(0.5/0.719)*E308</f>
        <v>0.65229485396383868</v>
      </c>
    </row>
    <row r="309" spans="1:10" x14ac:dyDescent="0.2">
      <c r="B309">
        <v>82</v>
      </c>
      <c r="C309">
        <v>10</v>
      </c>
      <c r="D309" s="2">
        <v>1.44</v>
      </c>
      <c r="E309" s="2">
        <f>0.151+0.153</f>
        <v>0.30399999999999999</v>
      </c>
      <c r="F309" s="2">
        <f>100*E309/D309</f>
        <v>21.111111111111111</v>
      </c>
      <c r="G309" s="7">
        <v>1</v>
      </c>
      <c r="I309" s="2">
        <f>(0.5/0.719)*D309</f>
        <v>1.0013908205841446</v>
      </c>
      <c r="J309" s="2">
        <f>(0.5/0.719)*E309</f>
        <v>0.21140472878998612</v>
      </c>
    </row>
    <row r="310" spans="1:10" x14ac:dyDescent="0.2">
      <c r="B310">
        <v>83</v>
      </c>
      <c r="C310">
        <v>11</v>
      </c>
      <c r="D310" s="2">
        <v>1.9730000000000001</v>
      </c>
      <c r="E310" s="2">
        <f>0.254+0.12+0.082</f>
        <v>0.45600000000000002</v>
      </c>
      <c r="F310" s="2">
        <f>100*E310/D310</f>
        <v>23.112012164216928</v>
      </c>
      <c r="G310" s="7">
        <v>1</v>
      </c>
      <c r="I310" s="2">
        <f>(0.5/0.719)*D310</f>
        <v>1.3720445062586928</v>
      </c>
      <c r="J310" s="2">
        <f>(0.5/0.719)*E310</f>
        <v>0.31710709318497921</v>
      </c>
    </row>
    <row r="311" spans="1:10" x14ac:dyDescent="0.2">
      <c r="B311">
        <v>84</v>
      </c>
      <c r="C311">
        <v>12</v>
      </c>
      <c r="D311" s="2">
        <v>5.2549999999999999</v>
      </c>
      <c r="E311" s="2">
        <f>0.173+0.114+0.266+0.49+0.315</f>
        <v>1.3579999999999999</v>
      </c>
      <c r="F311" s="2">
        <f>100*E311/D311</f>
        <v>25.842055185537582</v>
      </c>
      <c r="G311" s="7">
        <v>1</v>
      </c>
      <c r="I311" s="2">
        <f>(0.5/0.719)*D311</f>
        <v>3.6543810848400557</v>
      </c>
      <c r="J311" s="2">
        <f>(0.5/0.719)*E311</f>
        <v>0.94436717663421421</v>
      </c>
    </row>
    <row r="312" spans="1:10" x14ac:dyDescent="0.2">
      <c r="B312">
        <v>85</v>
      </c>
      <c r="C312">
        <v>13</v>
      </c>
      <c r="D312" s="2">
        <v>1.61</v>
      </c>
      <c r="E312" s="2">
        <f>0.712+0.087+0.086+0.177</f>
        <v>1.0619999999999998</v>
      </c>
      <c r="F312" s="2">
        <f>100*E312/D312</f>
        <v>65.962732919254648</v>
      </c>
      <c r="G312" s="7">
        <v>1</v>
      </c>
      <c r="I312" s="2">
        <f>(0.5/0.719)*D312</f>
        <v>1.1196105702364396</v>
      </c>
      <c r="J312" s="2">
        <f>(0.5/0.719)*E312</f>
        <v>0.73852573018080658</v>
      </c>
    </row>
    <row r="313" spans="1:10" x14ac:dyDescent="0.2">
      <c r="B313">
        <v>86</v>
      </c>
      <c r="C313">
        <v>14</v>
      </c>
      <c r="D313" s="2">
        <v>0.70399999999999996</v>
      </c>
      <c r="E313" s="2">
        <f>0.08+0.23</f>
        <v>0.31</v>
      </c>
      <c r="F313" s="2">
        <f>100*E313/D313</f>
        <v>44.034090909090914</v>
      </c>
      <c r="G313" s="7">
        <v>1</v>
      </c>
      <c r="I313" s="2">
        <f>(0.5/0.719)*D313</f>
        <v>0.48956884561891517</v>
      </c>
      <c r="J313" s="2">
        <f>(0.5/0.719)*E313</f>
        <v>0.21557719054242006</v>
      </c>
    </row>
    <row r="314" spans="1:10" x14ac:dyDescent="0.2">
      <c r="B314">
        <v>87</v>
      </c>
      <c r="C314">
        <v>15</v>
      </c>
      <c r="D314" s="2">
        <v>1.087</v>
      </c>
      <c r="E314" s="2">
        <f>0.538+0.144</f>
        <v>0.68200000000000005</v>
      </c>
      <c r="F314" s="2">
        <f>100*E314/D314</f>
        <v>62.741490340386392</v>
      </c>
      <c r="G314" s="7">
        <v>1</v>
      </c>
      <c r="I314" s="2">
        <f>(0.5/0.719)*D314</f>
        <v>0.75591098748261476</v>
      </c>
      <c r="J314" s="2">
        <f>(0.5/0.719)*E314</f>
        <v>0.47426981919332417</v>
      </c>
    </row>
    <row r="315" spans="1:10" x14ac:dyDescent="0.2">
      <c r="A315" t="s">
        <v>116</v>
      </c>
      <c r="B315">
        <v>88</v>
      </c>
      <c r="C315">
        <v>1</v>
      </c>
      <c r="D315" s="2">
        <v>1.788</v>
      </c>
      <c r="E315" s="2">
        <v>0.44800000000000001</v>
      </c>
      <c r="F315" s="2">
        <f>100*E315/D315</f>
        <v>25.055928411633111</v>
      </c>
      <c r="G315" s="7">
        <v>1</v>
      </c>
      <c r="H315" s="2">
        <v>1</v>
      </c>
      <c r="I315" s="2">
        <f>(0.5/0.719)*D315</f>
        <v>1.2433936022253131</v>
      </c>
      <c r="J315" s="2">
        <f>(0.5/0.719)*E315</f>
        <v>0.3115438108484006</v>
      </c>
    </row>
    <row r="316" spans="1:10" x14ac:dyDescent="0.2">
      <c r="B316">
        <v>89</v>
      </c>
      <c r="C316">
        <v>2</v>
      </c>
      <c r="D316" s="2">
        <v>3.51</v>
      </c>
      <c r="E316" s="2">
        <f>1.186+0.106+0.693</f>
        <v>1.9849999999999999</v>
      </c>
      <c r="F316" s="2">
        <f>100*E316/D316</f>
        <v>56.552706552706553</v>
      </c>
      <c r="G316" s="7">
        <v>1</v>
      </c>
      <c r="I316" s="2">
        <f>(0.5/0.719)*D316</f>
        <v>2.4408901251738526</v>
      </c>
      <c r="J316" s="2">
        <f>(0.5/0.719)*E316</f>
        <v>1.3803894297635606</v>
      </c>
    </row>
    <row r="317" spans="1:10" x14ac:dyDescent="0.2">
      <c r="B317">
        <v>90</v>
      </c>
      <c r="C317">
        <v>3</v>
      </c>
      <c r="D317" s="2">
        <v>2.1440000000000001</v>
      </c>
      <c r="E317" s="2">
        <f>0.496+0.179</f>
        <v>0.67500000000000004</v>
      </c>
      <c r="F317" s="2">
        <f>100*E317/D317</f>
        <v>31.48320895522388</v>
      </c>
      <c r="G317" s="7">
        <v>1</v>
      </c>
      <c r="I317" s="2">
        <f>(0.5/0.719)*D317</f>
        <v>1.49095966620306</v>
      </c>
      <c r="J317" s="2">
        <f>(0.5/0.719)*E317</f>
        <v>0.46940194714881789</v>
      </c>
    </row>
    <row r="318" spans="1:10" x14ac:dyDescent="0.2">
      <c r="B318">
        <v>91</v>
      </c>
      <c r="C318">
        <v>4</v>
      </c>
      <c r="D318" s="2">
        <v>1.58</v>
      </c>
      <c r="E318" s="2">
        <f>0.172+0.269</f>
        <v>0.441</v>
      </c>
      <c r="F318" s="2">
        <f>100*E318/D318</f>
        <v>27.911392405063292</v>
      </c>
      <c r="G318" s="7">
        <v>1</v>
      </c>
      <c r="I318" s="2">
        <f>(0.5/0.719)*D318</f>
        <v>1.0987482614742701</v>
      </c>
      <c r="J318" s="2">
        <f>(0.5/0.719)*E318</f>
        <v>0.30667593880389432</v>
      </c>
    </row>
    <row r="319" spans="1:10" x14ac:dyDescent="0.2">
      <c r="B319">
        <v>92</v>
      </c>
      <c r="C319">
        <v>5</v>
      </c>
      <c r="D319" s="2">
        <v>1.897</v>
      </c>
      <c r="E319" s="2">
        <f>0.382+0.122</f>
        <v>0.504</v>
      </c>
      <c r="F319" s="2">
        <f>100*E319/D319</f>
        <v>26.568265682656826</v>
      </c>
      <c r="G319" s="7">
        <v>1</v>
      </c>
      <c r="I319" s="2">
        <f>(0.5/0.719)*D319</f>
        <v>1.3191933240611962</v>
      </c>
      <c r="J319" s="2">
        <f>(0.5/0.719)*E319</f>
        <v>0.35048678720445064</v>
      </c>
    </row>
    <row r="320" spans="1:10" x14ac:dyDescent="0.2">
      <c r="B320">
        <v>93</v>
      </c>
      <c r="C320">
        <v>6</v>
      </c>
      <c r="D320" s="2">
        <v>3.9910000000000001</v>
      </c>
      <c r="E320" s="2">
        <f>0.13+0.248+0.367+0.35</f>
        <v>1.095</v>
      </c>
      <c r="F320" s="2">
        <f>100*E320/D320</f>
        <v>27.436732648459031</v>
      </c>
      <c r="G320" s="7">
        <v>1</v>
      </c>
      <c r="I320" s="2">
        <f>(0.5/0.719)*D320</f>
        <v>2.7753824756606402</v>
      </c>
      <c r="J320" s="2">
        <f>(0.5/0.719)*E320</f>
        <v>0.76147426981919342</v>
      </c>
    </row>
    <row r="321" spans="1:10" x14ac:dyDescent="0.2">
      <c r="B321">
        <v>94</v>
      </c>
      <c r="C321">
        <v>7</v>
      </c>
      <c r="D321" s="2">
        <v>2.109</v>
      </c>
      <c r="E321" s="2">
        <f>0.149+0.407</f>
        <v>0.55599999999999994</v>
      </c>
      <c r="F321" s="2">
        <f>100*E321/D321</f>
        <v>26.363205310573729</v>
      </c>
      <c r="G321" s="7">
        <v>1</v>
      </c>
      <c r="I321" s="2">
        <f>(0.5/0.719)*D321</f>
        <v>1.4666203059805287</v>
      </c>
      <c r="J321" s="2">
        <f>(0.5/0.719)*E321</f>
        <v>0.38664812239221141</v>
      </c>
    </row>
    <row r="322" spans="1:10" x14ac:dyDescent="0.2">
      <c r="B322">
        <v>95</v>
      </c>
      <c r="C322">
        <v>8</v>
      </c>
      <c r="D322" s="2">
        <v>1.345</v>
      </c>
      <c r="E322" s="2">
        <v>0.39300000000000002</v>
      </c>
      <c r="F322" s="2">
        <f>100*E322/D322</f>
        <v>29.21933085501859</v>
      </c>
      <c r="G322" s="7">
        <v>1</v>
      </c>
      <c r="I322" s="2">
        <f>(0.5/0.719)*D322</f>
        <v>0.93532684283727408</v>
      </c>
      <c r="J322" s="2">
        <f>(0.5/0.719)*E322</f>
        <v>0.27329624478442283</v>
      </c>
    </row>
    <row r="323" spans="1:10" x14ac:dyDescent="0.2">
      <c r="A323" t="s">
        <v>115</v>
      </c>
      <c r="B323">
        <v>96</v>
      </c>
      <c r="C323">
        <v>1</v>
      </c>
      <c r="D323" s="2">
        <v>1.579</v>
      </c>
      <c r="E323" s="2">
        <v>0.312</v>
      </c>
      <c r="F323" s="2">
        <f>100*E323/D323</f>
        <v>19.759341355288157</v>
      </c>
      <c r="G323" s="7">
        <v>1</v>
      </c>
      <c r="H323" s="2">
        <v>1</v>
      </c>
      <c r="I323" s="2">
        <f>(0.5/0.719)*D323</f>
        <v>1.0980528511821976</v>
      </c>
      <c r="J323" s="2">
        <f>(0.5/0.719)*E323</f>
        <v>0.21696801112656469</v>
      </c>
    </row>
    <row r="324" spans="1:10" x14ac:dyDescent="0.2">
      <c r="B324">
        <v>97</v>
      </c>
      <c r="C324">
        <v>2</v>
      </c>
      <c r="D324" s="2">
        <v>4.95</v>
      </c>
      <c r="E324" s="2">
        <f>0.163+0.224+0.193+0.346+0.134+0.081</f>
        <v>1.141</v>
      </c>
      <c r="F324" s="2">
        <f>100*E324/D324</f>
        <v>23.050505050505048</v>
      </c>
      <c r="G324" s="7">
        <v>1</v>
      </c>
      <c r="I324" s="2">
        <f>(0.5/0.719)*D324</f>
        <v>3.4422809457579979</v>
      </c>
      <c r="J324" s="2">
        <f>(0.5/0.719)*E324</f>
        <v>0.79346314325452028</v>
      </c>
    </row>
    <row r="325" spans="1:10" x14ac:dyDescent="0.2">
      <c r="B325">
        <v>98</v>
      </c>
      <c r="C325">
        <v>3</v>
      </c>
      <c r="D325" s="2">
        <v>1.4750000000000001</v>
      </c>
      <c r="E325" s="2">
        <f>0.229+0.51</f>
        <v>0.73899999999999999</v>
      </c>
      <c r="F325" s="2">
        <f>100*E325/D325</f>
        <v>50.101694915254235</v>
      </c>
      <c r="G325" s="7">
        <v>1</v>
      </c>
      <c r="I325" s="2">
        <f>(0.5/0.719)*D325</f>
        <v>1.0257301808066761</v>
      </c>
      <c r="J325" s="2">
        <f>(0.5/0.719)*E325</f>
        <v>0.51390820584144647</v>
      </c>
    </row>
    <row r="326" spans="1:10" x14ac:dyDescent="0.2">
      <c r="B326">
        <v>99</v>
      </c>
      <c r="C326">
        <v>4</v>
      </c>
      <c r="D326" s="2">
        <v>3.081</v>
      </c>
      <c r="E326" s="2">
        <f>0.22+0.252+0.357+0.306</f>
        <v>1.135</v>
      </c>
      <c r="F326" s="2">
        <f>100*E326/D326</f>
        <v>36.838688737422913</v>
      </c>
      <c r="G326" s="7">
        <v>1</v>
      </c>
      <c r="I326" s="2">
        <f>(0.5/0.719)*D326</f>
        <v>2.1425591098748265</v>
      </c>
      <c r="J326" s="2">
        <f>(0.5/0.719)*E326</f>
        <v>0.78929068150208637</v>
      </c>
    </row>
    <row r="327" spans="1:10" x14ac:dyDescent="0.2">
      <c r="B327">
        <v>100</v>
      </c>
      <c r="C327">
        <v>5</v>
      </c>
      <c r="D327" s="2">
        <v>4.1870000000000003</v>
      </c>
      <c r="E327" s="2">
        <f>0.36+0.275+0.82+0.167</f>
        <v>1.6220000000000001</v>
      </c>
      <c r="F327" s="2">
        <f>100*E327/D327</f>
        <v>38.738953904943877</v>
      </c>
      <c r="G327" s="7">
        <v>1</v>
      </c>
      <c r="I327" s="2">
        <f>(0.5/0.719)*D327</f>
        <v>2.9116828929068155</v>
      </c>
      <c r="J327" s="2">
        <f>(0.5/0.719)*E327</f>
        <v>1.1279554937413077</v>
      </c>
    </row>
    <row r="328" spans="1:10" x14ac:dyDescent="0.2">
      <c r="B328">
        <v>101</v>
      </c>
      <c r="C328">
        <v>6</v>
      </c>
      <c r="D328" s="2">
        <v>1.1950000000000001</v>
      </c>
      <c r="E328" s="2">
        <f>0.113+0.113</f>
        <v>0.22600000000000001</v>
      </c>
      <c r="F328" s="2">
        <f>100*E328/D328</f>
        <v>18.91213389121339</v>
      </c>
      <c r="G328" s="7">
        <v>1</v>
      </c>
      <c r="I328" s="2">
        <f>(0.5/0.719)*D328</f>
        <v>0.83101529902642568</v>
      </c>
      <c r="J328" s="2">
        <f>(0.5/0.719)*E328</f>
        <v>0.15716272600834494</v>
      </c>
    </row>
    <row r="329" spans="1:10" x14ac:dyDescent="0.2">
      <c r="B329">
        <v>102</v>
      </c>
      <c r="C329">
        <v>7</v>
      </c>
      <c r="D329" s="2">
        <v>2.4300000000000002</v>
      </c>
      <c r="E329" s="2">
        <f>1.38+0.418</f>
        <v>1.7979999999999998</v>
      </c>
      <c r="F329" s="2">
        <f>100*E329/D329</f>
        <v>73.991769547325092</v>
      </c>
      <c r="G329" s="7">
        <v>1</v>
      </c>
      <c r="I329" s="2">
        <f>(0.5/0.719)*D329</f>
        <v>1.6898470097357443</v>
      </c>
      <c r="J329" s="2">
        <f>(0.5/0.719)*E329</f>
        <v>1.2503477051460361</v>
      </c>
    </row>
    <row r="330" spans="1:10" x14ac:dyDescent="0.2">
      <c r="B330">
        <v>103</v>
      </c>
      <c r="C330">
        <v>8</v>
      </c>
      <c r="D330" s="2">
        <v>1.7470000000000001</v>
      </c>
      <c r="E330" s="2">
        <f>0.474+0.213</f>
        <v>0.68699999999999994</v>
      </c>
      <c r="F330" s="2">
        <f>100*E330/D330</f>
        <v>39.324556382369771</v>
      </c>
      <c r="G330" s="7">
        <v>1</v>
      </c>
      <c r="I330" s="2">
        <f>(0.5/0.719)*D330</f>
        <v>1.214881780250348</v>
      </c>
      <c r="J330" s="2">
        <f>(0.5/0.719)*E330</f>
        <v>0.47774687065368571</v>
      </c>
    </row>
    <row r="331" spans="1:10" x14ac:dyDescent="0.2">
      <c r="A331" t="s">
        <v>114</v>
      </c>
      <c r="B331">
        <v>104</v>
      </c>
      <c r="C331">
        <v>1</v>
      </c>
      <c r="D331" s="2">
        <v>5.0620000000000003</v>
      </c>
      <c r="E331" s="2">
        <f>0.867+0.224+0.813+0.428</f>
        <v>2.3319999999999999</v>
      </c>
      <c r="F331" s="2">
        <f>100*E331/D331</f>
        <v>46.068747530620307</v>
      </c>
      <c r="G331" s="7">
        <v>1</v>
      </c>
      <c r="H331" s="2">
        <v>1</v>
      </c>
      <c r="I331" s="2">
        <f>(0.5/0.719)*D331</f>
        <v>3.520166898470098</v>
      </c>
      <c r="J331" s="2">
        <f>(0.5/0.719)*E331</f>
        <v>1.6216968011126565</v>
      </c>
    </row>
    <row r="332" spans="1:10" x14ac:dyDescent="0.2">
      <c r="B332">
        <v>105</v>
      </c>
      <c r="C332">
        <v>2</v>
      </c>
      <c r="D332" s="2">
        <v>2.3260000000000001</v>
      </c>
      <c r="E332" s="2">
        <f>0.197+0.23</f>
        <v>0.42700000000000005</v>
      </c>
      <c r="F332" s="2">
        <f>100*E332/D332</f>
        <v>18.357695614789339</v>
      </c>
      <c r="G332" s="7">
        <v>1</v>
      </c>
      <c r="I332" s="2">
        <f>(0.5/0.719)*D332</f>
        <v>1.6175243393602228</v>
      </c>
      <c r="J332" s="2">
        <f>(0.5/0.719)*E332</f>
        <v>0.29694019471488187</v>
      </c>
    </row>
    <row r="334" spans="1:10" x14ac:dyDescent="0.2">
      <c r="C334" t="s">
        <v>1</v>
      </c>
      <c r="D334" s="2">
        <f>AVERAGE(D228:D332)</f>
        <v>2.8559428571428578</v>
      </c>
      <c r="E334" s="2">
        <f>AVERAGE(E228:E332)</f>
        <v>0.82481904761904778</v>
      </c>
      <c r="F334" s="2">
        <f>AVERAGE(F228:F332)</f>
        <v>31.199276518232008</v>
      </c>
      <c r="G334" s="2"/>
      <c r="H334" s="2">
        <f>AVERAGE(H228:H332)</f>
        <v>0.98047138047138049</v>
      </c>
      <c r="I334" s="2">
        <f>AVERAGE(I228:I332)</f>
        <v>1.9860520564275792</v>
      </c>
      <c r="J334" s="2">
        <f>AVERAGE(J228:J332)</f>
        <v>0.57358765481157681</v>
      </c>
    </row>
    <row r="335" spans="1:10" x14ac:dyDescent="0.2">
      <c r="C335" t="s">
        <v>0</v>
      </c>
      <c r="D335" s="2">
        <f>STDEV(D228:D332)</f>
        <v>1.67857662818928</v>
      </c>
      <c r="E335" s="2">
        <f>STDEV(E228:E332)</f>
        <v>0.58074941274436964</v>
      </c>
      <c r="F335" s="2">
        <f>STDEV(F228:F332)</f>
        <v>17.925674633491855</v>
      </c>
      <c r="G335" s="2"/>
      <c r="H335" s="2">
        <f>STDEV(H228:H332)</f>
        <v>5.3240039673170911E-2</v>
      </c>
      <c r="I335" s="2">
        <f>STDEV(I228:I332)</f>
        <v>1.1672994632748821</v>
      </c>
      <c r="J335" s="2">
        <f>STDEV(J228:J332)</f>
        <v>0.40385911873739216</v>
      </c>
    </row>
    <row r="337" spans="1:10" x14ac:dyDescent="0.2">
      <c r="A337" t="s">
        <v>174</v>
      </c>
    </row>
    <row r="338" spans="1:10" x14ac:dyDescent="0.2">
      <c r="A338" s="5" t="s">
        <v>95</v>
      </c>
      <c r="B338" s="5" t="s">
        <v>23</v>
      </c>
      <c r="C338" s="5" t="s">
        <v>22</v>
      </c>
      <c r="D338" s="4" t="s">
        <v>94</v>
      </c>
      <c r="E338" s="4" t="s">
        <v>93</v>
      </c>
      <c r="F338" s="4" t="s">
        <v>91</v>
      </c>
      <c r="G338" s="8" t="s">
        <v>173</v>
      </c>
      <c r="H338" s="4" t="s">
        <v>172</v>
      </c>
      <c r="I338" s="4" t="s">
        <v>92</v>
      </c>
      <c r="J338" s="4" t="s">
        <v>171</v>
      </c>
    </row>
    <row r="339" spans="1:10" x14ac:dyDescent="0.2">
      <c r="A339" t="s">
        <v>63</v>
      </c>
      <c r="B339">
        <v>1</v>
      </c>
      <c r="C339">
        <v>1</v>
      </c>
      <c r="D339" s="2">
        <v>2.6139999999999999</v>
      </c>
      <c r="E339" s="2">
        <v>1.087</v>
      </c>
      <c r="F339" s="2">
        <f>100*E339/D339</f>
        <v>41.583779648048967</v>
      </c>
      <c r="G339" s="7">
        <v>1</v>
      </c>
      <c r="H339" s="2">
        <v>1</v>
      </c>
      <c r="I339" s="2">
        <f>(0.5/0.719)*D339</f>
        <v>1.8178025034770515</v>
      </c>
      <c r="J339" s="2">
        <f>(0.5/0.719)*E339</f>
        <v>0.75591098748261476</v>
      </c>
    </row>
    <row r="340" spans="1:10" x14ac:dyDescent="0.2">
      <c r="B340">
        <v>2</v>
      </c>
      <c r="C340">
        <v>2</v>
      </c>
      <c r="D340" s="2">
        <v>3.2890000000000001</v>
      </c>
      <c r="E340" s="2">
        <f>0.254+0.577</f>
        <v>0.83099999999999996</v>
      </c>
      <c r="F340" s="2">
        <f>100*E340/D340</f>
        <v>25.266038309516567</v>
      </c>
      <c r="G340" s="7">
        <v>1</v>
      </c>
      <c r="I340" s="2">
        <f>(0.5/0.719)*D340</f>
        <v>2.2872044506258695</v>
      </c>
      <c r="J340" s="2">
        <f>(0.5/0.719)*E340</f>
        <v>0.57788595271210019</v>
      </c>
    </row>
    <row r="341" spans="1:10" x14ac:dyDescent="0.2">
      <c r="A341" t="s">
        <v>62</v>
      </c>
      <c r="B341">
        <v>3</v>
      </c>
      <c r="C341">
        <v>1</v>
      </c>
      <c r="D341" s="2">
        <v>3.4049999999999998</v>
      </c>
      <c r="E341" s="2">
        <v>0.94099999999999995</v>
      </c>
      <c r="F341" s="2">
        <f>100*E341/D341</f>
        <v>27.635829662261379</v>
      </c>
      <c r="G341" s="7">
        <v>1</v>
      </c>
      <c r="H341" s="2">
        <v>1</v>
      </c>
      <c r="I341" s="2">
        <f>(0.5/0.719)*D341</f>
        <v>2.3678720445062589</v>
      </c>
      <c r="J341" s="2">
        <f>(0.5/0.719)*E341</f>
        <v>0.65438108484005564</v>
      </c>
    </row>
    <row r="342" spans="1:10" x14ac:dyDescent="0.2">
      <c r="B342">
        <v>4</v>
      </c>
      <c r="C342">
        <v>2</v>
      </c>
      <c r="D342" s="2">
        <v>2.52</v>
      </c>
      <c r="E342" s="2">
        <v>0.188</v>
      </c>
      <c r="F342" s="2">
        <f>100*E342/D342</f>
        <v>7.4603174603174605</v>
      </c>
      <c r="G342" s="7">
        <v>1</v>
      </c>
      <c r="I342" s="2">
        <f>(0.5/0.719)*D342</f>
        <v>1.7524339360222534</v>
      </c>
      <c r="J342" s="2">
        <f>(0.5/0.719)*E342</f>
        <v>0.13073713490959668</v>
      </c>
    </row>
    <row r="343" spans="1:10" x14ac:dyDescent="0.2">
      <c r="B343">
        <v>5</v>
      </c>
      <c r="C343">
        <v>3</v>
      </c>
      <c r="D343" s="2">
        <v>2.2690000000000001</v>
      </c>
      <c r="E343" s="2">
        <v>0.17100000000000001</v>
      </c>
      <c r="F343" s="2">
        <f>100*E343/D343</f>
        <v>7.5363596297928606</v>
      </c>
      <c r="G343" s="7">
        <v>1</v>
      </c>
      <c r="I343" s="2">
        <f>(0.5/0.719)*D343</f>
        <v>1.5778859527121003</v>
      </c>
      <c r="J343" s="2">
        <f>(0.5/0.719)*E343</f>
        <v>0.1189151599443672</v>
      </c>
    </row>
    <row r="344" spans="1:10" x14ac:dyDescent="0.2">
      <c r="B344">
        <v>6</v>
      </c>
      <c r="C344">
        <v>4</v>
      </c>
      <c r="D344" s="2">
        <v>3.1320000000000001</v>
      </c>
      <c r="E344" s="2">
        <f>0.245+0.791+0.09</f>
        <v>1.1260000000000001</v>
      </c>
      <c r="F344" s="2">
        <f>100*E344/D344</f>
        <v>35.951468710089401</v>
      </c>
      <c r="G344" s="7">
        <v>1</v>
      </c>
      <c r="I344" s="2">
        <f>(0.5/0.719)*D344</f>
        <v>2.1780250347705148</v>
      </c>
      <c r="J344" s="2">
        <f>(0.5/0.719)*E344</f>
        <v>0.7830319888734355</v>
      </c>
    </row>
    <row r="345" spans="1:10" x14ac:dyDescent="0.2">
      <c r="A345" t="s">
        <v>61</v>
      </c>
      <c r="B345">
        <v>7</v>
      </c>
      <c r="C345">
        <v>1</v>
      </c>
      <c r="D345" s="2">
        <v>1.4750000000000001</v>
      </c>
      <c r="E345" s="2">
        <v>0</v>
      </c>
      <c r="F345" s="2">
        <f>100*E345/D345</f>
        <v>0</v>
      </c>
      <c r="G345" s="7">
        <v>0</v>
      </c>
      <c r="H345" s="2">
        <f>9/10</f>
        <v>0.9</v>
      </c>
      <c r="I345" s="2">
        <f>(0.5/0.719)*D345</f>
        <v>1.0257301808066761</v>
      </c>
      <c r="J345" s="2">
        <f>(0.5/0.719)*E345</f>
        <v>0</v>
      </c>
    </row>
    <row r="346" spans="1:10" x14ac:dyDescent="0.2">
      <c r="B346">
        <v>8</v>
      </c>
      <c r="C346">
        <v>2</v>
      </c>
      <c r="D346" s="2">
        <v>1.3640000000000001</v>
      </c>
      <c r="E346" s="2">
        <v>0.29699999999999999</v>
      </c>
      <c r="F346" s="2">
        <f>100*E346/D346</f>
        <v>21.774193548387096</v>
      </c>
      <c r="G346" s="7">
        <v>1</v>
      </c>
      <c r="I346" s="2">
        <f>(0.5/0.719)*D346</f>
        <v>0.94853963838664834</v>
      </c>
      <c r="J346" s="2">
        <f>(0.5/0.719)*E346</f>
        <v>0.20653685674547984</v>
      </c>
    </row>
    <row r="347" spans="1:10" x14ac:dyDescent="0.2">
      <c r="B347">
        <v>9</v>
      </c>
      <c r="C347">
        <v>3</v>
      </c>
      <c r="D347" s="2">
        <v>1.6970000000000001</v>
      </c>
      <c r="E347" s="2">
        <v>0.16700000000000001</v>
      </c>
      <c r="F347" s="2">
        <f>100*E347/D347</f>
        <v>9.8408956982911011</v>
      </c>
      <c r="G347" s="7">
        <v>1</v>
      </c>
      <c r="I347" s="2">
        <f>(0.5/0.719)*D347</f>
        <v>1.1801112656467316</v>
      </c>
      <c r="J347" s="2">
        <f>(0.5/0.719)*E347</f>
        <v>0.1161335187760779</v>
      </c>
    </row>
    <row r="348" spans="1:10" x14ac:dyDescent="0.2">
      <c r="B348">
        <v>10</v>
      </c>
      <c r="C348">
        <v>4</v>
      </c>
      <c r="D348" s="2">
        <v>1.6890000000000001</v>
      </c>
      <c r="E348" s="2">
        <f>0.305+0.163</f>
        <v>0.46799999999999997</v>
      </c>
      <c r="F348" s="2">
        <f>100*E348/D348</f>
        <v>27.708703374777972</v>
      </c>
      <c r="G348" s="7">
        <v>1</v>
      </c>
      <c r="I348" s="2">
        <f>(0.5/0.719)*D348</f>
        <v>1.1745479833101531</v>
      </c>
      <c r="J348" s="2">
        <f>(0.5/0.719)*E348</f>
        <v>0.32545201668984702</v>
      </c>
    </row>
    <row r="349" spans="1:10" x14ac:dyDescent="0.2">
      <c r="B349">
        <v>11</v>
      </c>
      <c r="C349">
        <v>5</v>
      </c>
      <c r="D349" s="2">
        <v>1.1830000000000001</v>
      </c>
      <c r="E349" s="2">
        <v>0.11799999999999999</v>
      </c>
      <c r="F349" s="2">
        <f>100*E349/D349</f>
        <v>9.974640743871511</v>
      </c>
      <c r="G349" s="7">
        <v>1</v>
      </c>
      <c r="I349" s="2">
        <f>(0.5/0.719)*D349</f>
        <v>0.82267037552155786</v>
      </c>
      <c r="J349" s="2">
        <f>(0.5/0.719)*E349</f>
        <v>8.2058414464534074E-2</v>
      </c>
    </row>
    <row r="350" spans="1:10" x14ac:dyDescent="0.2">
      <c r="B350">
        <v>12</v>
      </c>
      <c r="C350">
        <v>6</v>
      </c>
      <c r="D350" s="2">
        <v>2.4260000000000002</v>
      </c>
      <c r="E350" s="2">
        <f>0.111+0.252</f>
        <v>0.36299999999999999</v>
      </c>
      <c r="F350" s="2">
        <f>100*E350/D350</f>
        <v>14.962901896125308</v>
      </c>
      <c r="G350" s="7">
        <v>1</v>
      </c>
      <c r="I350" s="2">
        <f>(0.5/0.719)*D350</f>
        <v>1.687065368567455</v>
      </c>
      <c r="J350" s="2">
        <f>(0.5/0.719)*E350</f>
        <v>0.25243393602225317</v>
      </c>
    </row>
    <row r="351" spans="1:10" x14ac:dyDescent="0.2">
      <c r="B351">
        <v>13</v>
      </c>
      <c r="C351">
        <v>7</v>
      </c>
      <c r="D351" s="2">
        <v>1.738</v>
      </c>
      <c r="E351" s="2">
        <v>0.754</v>
      </c>
      <c r="F351" s="2">
        <f>100*E351/D351</f>
        <v>43.383199079401614</v>
      </c>
      <c r="G351" s="7">
        <v>1</v>
      </c>
      <c r="I351" s="2">
        <f>(0.5/0.719)*D351</f>
        <v>1.208623087621697</v>
      </c>
      <c r="J351" s="2">
        <f>(0.5/0.719)*E351</f>
        <v>0.52433936022253136</v>
      </c>
    </row>
    <row r="352" spans="1:10" x14ac:dyDescent="0.2">
      <c r="B352">
        <v>14</v>
      </c>
      <c r="C352">
        <v>8</v>
      </c>
      <c r="D352" s="2">
        <v>2.0819999999999999</v>
      </c>
      <c r="E352" s="2">
        <f>0.145+0.169</f>
        <v>0.314</v>
      </c>
      <c r="F352" s="2">
        <f>100*E352/D352</f>
        <v>15.081652257444764</v>
      </c>
      <c r="G352" s="7">
        <v>1</v>
      </c>
      <c r="I352" s="2">
        <f>(0.5/0.719)*D352</f>
        <v>1.4478442280945758</v>
      </c>
      <c r="J352" s="2">
        <f>(0.5/0.719)*E352</f>
        <v>0.21835883171070936</v>
      </c>
    </row>
    <row r="353" spans="1:10" x14ac:dyDescent="0.2">
      <c r="B353">
        <v>15</v>
      </c>
      <c r="C353">
        <v>9</v>
      </c>
      <c r="D353" s="2">
        <v>2.2000000000000002</v>
      </c>
      <c r="E353" s="2">
        <v>0.189</v>
      </c>
      <c r="F353" s="2">
        <f>100*E353/D353</f>
        <v>8.5909090909090899</v>
      </c>
      <c r="G353" s="7">
        <v>1</v>
      </c>
      <c r="I353" s="2">
        <f>(0.5/0.719)*D353</f>
        <v>1.5299026425591102</v>
      </c>
      <c r="J353" s="2">
        <f>(0.5/0.719)*E353</f>
        <v>0.131432545201669</v>
      </c>
    </row>
    <row r="354" spans="1:10" x14ac:dyDescent="0.2">
      <c r="B354">
        <v>16</v>
      </c>
      <c r="C354">
        <v>10</v>
      </c>
      <c r="D354" s="2">
        <v>3.5760000000000001</v>
      </c>
      <c r="E354" s="2">
        <v>0.191</v>
      </c>
      <c r="F354" s="2">
        <f>100*E354/D354</f>
        <v>5.3411633109619689</v>
      </c>
      <c r="G354" s="7">
        <v>1</v>
      </c>
      <c r="I354" s="2">
        <f>(0.5/0.719)*D354</f>
        <v>2.4867872044506263</v>
      </c>
      <c r="J354" s="2">
        <f>(0.5/0.719)*E354</f>
        <v>0.13282336578581364</v>
      </c>
    </row>
    <row r="355" spans="1:10" x14ac:dyDescent="0.2">
      <c r="A355" t="s">
        <v>60</v>
      </c>
      <c r="B355">
        <v>17</v>
      </c>
      <c r="C355">
        <v>1</v>
      </c>
      <c r="D355" s="2">
        <v>5.0629999999999997</v>
      </c>
      <c r="E355" s="2">
        <f>0.235+0.22+0.353+0.175</f>
        <v>0.98299999999999987</v>
      </c>
      <c r="F355" s="2">
        <f>100*E355/D355</f>
        <v>19.415366383567054</v>
      </c>
      <c r="G355" s="7">
        <v>1</v>
      </c>
      <c r="H355" s="2">
        <f>9/10</f>
        <v>0.9</v>
      </c>
      <c r="I355" s="2">
        <f>(0.5/0.719)*D355</f>
        <v>3.5208623087621698</v>
      </c>
      <c r="J355" s="2">
        <f>(0.5/0.719)*E355</f>
        <v>0.68358831710709322</v>
      </c>
    </row>
    <row r="356" spans="1:10" x14ac:dyDescent="0.2">
      <c r="B356">
        <v>18</v>
      </c>
      <c r="C356">
        <v>2</v>
      </c>
      <c r="D356" s="2">
        <v>2.0510000000000002</v>
      </c>
      <c r="E356" s="2">
        <f>0.13+0.092</f>
        <v>0.222</v>
      </c>
      <c r="F356" s="2">
        <f>100*E356/D356</f>
        <v>10.823988298391027</v>
      </c>
      <c r="G356" s="7">
        <v>1</v>
      </c>
      <c r="I356" s="2">
        <f>(0.5/0.719)*D356</f>
        <v>1.426286509040334</v>
      </c>
      <c r="J356" s="2">
        <f>(0.5/0.719)*E356</f>
        <v>0.15438108484005564</v>
      </c>
    </row>
    <row r="357" spans="1:10" x14ac:dyDescent="0.2">
      <c r="B357">
        <v>19</v>
      </c>
      <c r="C357">
        <v>3</v>
      </c>
      <c r="D357" s="2">
        <v>3.7730000000000001</v>
      </c>
      <c r="E357" s="2">
        <f>0.148+0.129+0.534+0.187</f>
        <v>0.998</v>
      </c>
      <c r="F357" s="2">
        <f>100*E357/D357</f>
        <v>26.451099920487675</v>
      </c>
      <c r="G357" s="7">
        <v>1</v>
      </c>
      <c r="I357" s="2">
        <f>(0.5/0.719)*D357</f>
        <v>2.6237830319888737</v>
      </c>
      <c r="J357" s="2">
        <f>(0.5/0.719)*E357</f>
        <v>0.69401947148817811</v>
      </c>
    </row>
    <row r="358" spans="1:10" x14ac:dyDescent="0.2">
      <c r="B358">
        <v>20</v>
      </c>
      <c r="C358">
        <v>4</v>
      </c>
      <c r="D358" s="2">
        <v>2.3980000000000001</v>
      </c>
      <c r="E358" s="2">
        <v>0.754</v>
      </c>
      <c r="F358" s="2">
        <f>100*E358/D358</f>
        <v>31.442869057547956</v>
      </c>
      <c r="G358" s="7">
        <v>1</v>
      </c>
      <c r="I358" s="2">
        <f>(0.5/0.719)*D358</f>
        <v>1.6675938803894301</v>
      </c>
      <c r="J358" s="2">
        <f>(0.5/0.719)*E358</f>
        <v>0.52433936022253136</v>
      </c>
    </row>
    <row r="359" spans="1:10" x14ac:dyDescent="0.2">
      <c r="B359">
        <v>21</v>
      </c>
      <c r="C359">
        <v>5</v>
      </c>
      <c r="D359" s="2">
        <v>2.5089999999999999</v>
      </c>
      <c r="E359" s="2">
        <v>6.4000000000000001E-2</v>
      </c>
      <c r="F359" s="2">
        <f>100*E359/D359</f>
        <v>2.5508170585890797</v>
      </c>
      <c r="G359" s="7">
        <v>1</v>
      </c>
      <c r="I359" s="2">
        <f>(0.5/0.719)*D359</f>
        <v>1.7447844228094578</v>
      </c>
      <c r="J359" s="2">
        <f>(0.5/0.719)*E359</f>
        <v>4.4506258692628656E-2</v>
      </c>
    </row>
    <row r="360" spans="1:10" x14ac:dyDescent="0.2">
      <c r="B360">
        <v>22</v>
      </c>
      <c r="C360">
        <v>6</v>
      </c>
      <c r="D360" s="2">
        <v>1.8759999999999999</v>
      </c>
      <c r="E360" s="2">
        <v>0</v>
      </c>
      <c r="F360" s="2">
        <f>100*E360/D360</f>
        <v>0</v>
      </c>
      <c r="G360" s="7">
        <v>0</v>
      </c>
      <c r="I360" s="2">
        <f>(0.5/0.719)*D360</f>
        <v>1.3045897079276774</v>
      </c>
      <c r="J360" s="2">
        <f>(0.5/0.719)*E360</f>
        <v>0</v>
      </c>
    </row>
    <row r="361" spans="1:10" x14ac:dyDescent="0.2">
      <c r="B361">
        <v>23</v>
      </c>
      <c r="C361">
        <v>7</v>
      </c>
      <c r="D361" s="2">
        <v>2.8769999999999998</v>
      </c>
      <c r="E361" s="2">
        <f>0.121+0.079</f>
        <v>0.2</v>
      </c>
      <c r="F361" s="2">
        <f>100*E361/D361</f>
        <v>6.9516857838025725</v>
      </c>
      <c r="G361" s="7">
        <v>1</v>
      </c>
      <c r="I361" s="2">
        <f>(0.5/0.719)*D361</f>
        <v>2.0006954102920722</v>
      </c>
      <c r="J361" s="2">
        <f>(0.5/0.719)*E361</f>
        <v>0.13908205841446455</v>
      </c>
    </row>
    <row r="362" spans="1:10" x14ac:dyDescent="0.2">
      <c r="B362">
        <v>24</v>
      </c>
      <c r="C362">
        <v>8</v>
      </c>
      <c r="D362" s="2">
        <v>5.0010000000000003</v>
      </c>
      <c r="E362" s="2">
        <v>0.09</v>
      </c>
      <c r="F362" s="2">
        <f>100*E362/D362</f>
        <v>1.7996400719856027</v>
      </c>
      <c r="G362" s="7">
        <v>1</v>
      </c>
      <c r="I362" s="2">
        <f>(0.5/0.719)*D362</f>
        <v>3.4777468706536863</v>
      </c>
      <c r="J362" s="2">
        <f>(0.5/0.719)*E362</f>
        <v>6.258692628650904E-2</v>
      </c>
    </row>
    <row r="363" spans="1:10" x14ac:dyDescent="0.2">
      <c r="B363">
        <v>25</v>
      </c>
      <c r="C363">
        <v>9</v>
      </c>
      <c r="D363" s="2">
        <v>2.0529999999999999</v>
      </c>
      <c r="E363" s="2">
        <f>0.138+0.1</f>
        <v>0.23800000000000002</v>
      </c>
      <c r="F363" s="2">
        <f>100*E363/D363</f>
        <v>11.592791037506089</v>
      </c>
      <c r="G363" s="7">
        <v>1</v>
      </c>
      <c r="I363" s="2">
        <f>(0.5/0.719)*D363</f>
        <v>1.4276773296244785</v>
      </c>
      <c r="J363" s="2">
        <f>(0.5/0.719)*E363</f>
        <v>0.16550764951321281</v>
      </c>
    </row>
    <row r="364" spans="1:10" x14ac:dyDescent="0.2">
      <c r="B364">
        <v>26</v>
      </c>
      <c r="C364">
        <v>10</v>
      </c>
      <c r="D364" s="2">
        <v>1.7749999999999999</v>
      </c>
      <c r="E364" s="2">
        <f>0.319+0.076</f>
        <v>0.39500000000000002</v>
      </c>
      <c r="F364" s="2">
        <f>100*E364/D364</f>
        <v>22.253521126760564</v>
      </c>
      <c r="G364" s="7">
        <v>1</v>
      </c>
      <c r="I364" s="2">
        <f>(0.5/0.719)*D364</f>
        <v>1.2343532684283729</v>
      </c>
      <c r="J364" s="2">
        <f>(0.5/0.719)*E364</f>
        <v>0.27468706536856752</v>
      </c>
    </row>
    <row r="365" spans="1:10" x14ac:dyDescent="0.2">
      <c r="A365" t="s">
        <v>59</v>
      </c>
      <c r="B365">
        <v>27</v>
      </c>
      <c r="C365">
        <v>1</v>
      </c>
      <c r="D365" s="2">
        <v>3.8220000000000001</v>
      </c>
      <c r="E365" s="2">
        <f>0.548+0.142</f>
        <v>0.69000000000000006</v>
      </c>
      <c r="F365" s="2">
        <f>100*E365/D365</f>
        <v>18.053375196232338</v>
      </c>
      <c r="G365" s="7">
        <v>1</v>
      </c>
      <c r="H365" s="2">
        <v>1</v>
      </c>
      <c r="I365" s="2">
        <f>(0.5/0.719)*D365</f>
        <v>2.6578581363004177</v>
      </c>
      <c r="J365" s="2">
        <f>(0.5/0.719)*E365</f>
        <v>0.47983310152990272</v>
      </c>
    </row>
    <row r="366" spans="1:10" x14ac:dyDescent="0.2">
      <c r="B366">
        <v>28</v>
      </c>
      <c r="C366">
        <v>2</v>
      </c>
      <c r="D366" s="2">
        <v>2.1749999999999998</v>
      </c>
      <c r="E366" s="2">
        <f>0.337+0.235</f>
        <v>0.57200000000000006</v>
      </c>
      <c r="F366" s="2">
        <f>100*E366/D366</f>
        <v>26.298850574712649</v>
      </c>
      <c r="G366" s="7">
        <v>1</v>
      </c>
      <c r="I366" s="2">
        <f>(0.5/0.719)*D366</f>
        <v>1.5125173852573019</v>
      </c>
      <c r="J366" s="2">
        <f>(0.5/0.719)*E366</f>
        <v>0.39777468706536867</v>
      </c>
    </row>
    <row r="367" spans="1:10" x14ac:dyDescent="0.2">
      <c r="B367">
        <v>29</v>
      </c>
      <c r="C367">
        <v>3</v>
      </c>
      <c r="D367" s="2">
        <v>1.3260000000000001</v>
      </c>
      <c r="E367" s="2">
        <v>0.24</v>
      </c>
      <c r="F367" s="2">
        <f>100*E367/D367</f>
        <v>18.099547511312217</v>
      </c>
      <c r="G367" s="7">
        <v>1</v>
      </c>
      <c r="I367" s="2">
        <f>(0.5/0.719)*D367</f>
        <v>0.92211404728790003</v>
      </c>
      <c r="J367" s="2">
        <f>(0.5/0.719)*E367</f>
        <v>0.16689847009735745</v>
      </c>
    </row>
    <row r="368" spans="1:10" x14ac:dyDescent="0.2">
      <c r="B368">
        <v>30</v>
      </c>
      <c r="C368">
        <v>4</v>
      </c>
      <c r="D368" s="2">
        <v>3.335</v>
      </c>
      <c r="E368" s="2">
        <f>0.201+0.258+0.21</f>
        <v>0.66900000000000004</v>
      </c>
      <c r="F368" s="2">
        <f>100*E368/D368</f>
        <v>20.059970014992505</v>
      </c>
      <c r="G368" s="7">
        <v>1</v>
      </c>
      <c r="I368" s="2">
        <f>(0.5/0.719)*D368</f>
        <v>2.3191933240611964</v>
      </c>
      <c r="J368" s="2">
        <f>(0.5/0.719)*E368</f>
        <v>0.46522948539638392</v>
      </c>
    </row>
    <row r="369" spans="1:10" x14ac:dyDescent="0.2">
      <c r="B369">
        <v>31</v>
      </c>
      <c r="C369">
        <v>5</v>
      </c>
      <c r="D369" s="2">
        <v>1.661</v>
      </c>
      <c r="E369" s="2">
        <v>8.4000000000000005E-2</v>
      </c>
      <c r="F369" s="2">
        <f>100*E369/D369</f>
        <v>5.0571944611679713</v>
      </c>
      <c r="G369" s="7">
        <v>1</v>
      </c>
      <c r="I369" s="2">
        <f>(0.5/0.719)*D369</f>
        <v>1.1550764951321282</v>
      </c>
      <c r="J369" s="2">
        <f>(0.5/0.719)*E369</f>
        <v>5.8414464534075117E-2</v>
      </c>
    </row>
    <row r="370" spans="1:10" x14ac:dyDescent="0.2">
      <c r="B370">
        <v>32</v>
      </c>
      <c r="C370">
        <v>6</v>
      </c>
      <c r="D370" s="2">
        <v>3.3530000000000002</v>
      </c>
      <c r="E370" s="2">
        <f>1.043+0.191</f>
        <v>1.234</v>
      </c>
      <c r="F370" s="2">
        <f>100*E370/D370</f>
        <v>36.802863107664777</v>
      </c>
      <c r="G370" s="7">
        <v>1</v>
      </c>
      <c r="I370" s="2">
        <f>(0.5/0.719)*D370</f>
        <v>2.3317107093184983</v>
      </c>
      <c r="J370" s="2">
        <f>(0.5/0.719)*E370</f>
        <v>0.85813630041724631</v>
      </c>
    </row>
    <row r="371" spans="1:10" x14ac:dyDescent="0.2">
      <c r="B371">
        <v>33</v>
      </c>
      <c r="C371">
        <v>7</v>
      </c>
      <c r="D371" s="2">
        <v>2.3130000000000002</v>
      </c>
      <c r="E371" s="2">
        <v>0.39300000000000002</v>
      </c>
      <c r="F371" s="2">
        <f>100*E371/D371</f>
        <v>16.990920881971466</v>
      </c>
      <c r="G371" s="7">
        <v>1</v>
      </c>
      <c r="I371" s="2">
        <f>(0.5/0.719)*D371</f>
        <v>1.6084840055632825</v>
      </c>
      <c r="J371" s="2">
        <f>(0.5/0.719)*E371</f>
        <v>0.27329624478442283</v>
      </c>
    </row>
    <row r="372" spans="1:10" x14ac:dyDescent="0.2">
      <c r="B372">
        <v>34</v>
      </c>
      <c r="C372">
        <v>8</v>
      </c>
      <c r="D372" s="2">
        <v>1.893</v>
      </c>
      <c r="E372" s="2">
        <v>0.31</v>
      </c>
      <c r="F372" s="2">
        <f>100*E372/D372</f>
        <v>16.376122556788168</v>
      </c>
      <c r="G372" s="7">
        <v>1</v>
      </c>
      <c r="I372" s="2">
        <f>(0.5/0.719)*D372</f>
        <v>1.3164116828929069</v>
      </c>
      <c r="J372" s="2">
        <f>(0.5/0.719)*E372</f>
        <v>0.21557719054242006</v>
      </c>
    </row>
    <row r="373" spans="1:10" x14ac:dyDescent="0.2">
      <c r="B373">
        <v>35</v>
      </c>
      <c r="C373">
        <v>9</v>
      </c>
      <c r="D373" s="2">
        <v>1.194</v>
      </c>
      <c r="E373" s="2">
        <v>0.14299999999999999</v>
      </c>
      <c r="F373" s="2">
        <f>100*E373/D373</f>
        <v>11.976549413735343</v>
      </c>
      <c r="G373" s="7">
        <v>1</v>
      </c>
      <c r="I373" s="2">
        <f>(0.5/0.719)*D373</f>
        <v>0.83031988873435336</v>
      </c>
      <c r="J373" s="2">
        <f>(0.5/0.719)*E373</f>
        <v>9.944367176634214E-2</v>
      </c>
    </row>
    <row r="374" spans="1:10" x14ac:dyDescent="0.2">
      <c r="A374" t="s">
        <v>58</v>
      </c>
      <c r="B374">
        <v>36</v>
      </c>
      <c r="C374">
        <v>1</v>
      </c>
      <c r="D374" s="2">
        <v>1.456</v>
      </c>
      <c r="E374" s="2">
        <v>0</v>
      </c>
      <c r="F374" s="2">
        <f>100*E374/D374</f>
        <v>0</v>
      </c>
      <c r="G374" s="7">
        <v>0</v>
      </c>
      <c r="H374" s="2">
        <f>7/8</f>
        <v>0.875</v>
      </c>
      <c r="I374" s="2">
        <f>(0.5/0.719)*D374</f>
        <v>1.0125173852573019</v>
      </c>
      <c r="J374" s="2">
        <f>(0.5/0.719)*E374</f>
        <v>0</v>
      </c>
    </row>
    <row r="375" spans="1:10" x14ac:dyDescent="0.2">
      <c r="B375">
        <v>37</v>
      </c>
      <c r="C375">
        <v>2</v>
      </c>
      <c r="D375" s="2">
        <v>1.3759999999999999</v>
      </c>
      <c r="E375" s="2">
        <v>0.14199999999999999</v>
      </c>
      <c r="F375" s="2">
        <f>100*E375/D375</f>
        <v>10.319767441860465</v>
      </c>
      <c r="G375" s="7">
        <v>1</v>
      </c>
      <c r="I375" s="2">
        <f>(0.5/0.719)*D375</f>
        <v>0.95688456189151605</v>
      </c>
      <c r="J375" s="2">
        <f>(0.5/0.719)*E375</f>
        <v>9.8748261474269822E-2</v>
      </c>
    </row>
    <row r="376" spans="1:10" x14ac:dyDescent="0.2">
      <c r="B376">
        <v>38</v>
      </c>
      <c r="C376">
        <v>3</v>
      </c>
      <c r="D376" s="2">
        <v>2.9390000000000001</v>
      </c>
      <c r="E376" s="2">
        <f>0.291+0.252+0.202</f>
        <v>0.74499999999999988</v>
      </c>
      <c r="F376" s="2">
        <f>100*E376/D376</f>
        <v>25.34875808097992</v>
      </c>
      <c r="G376" s="7">
        <v>1</v>
      </c>
      <c r="I376" s="2">
        <f>(0.5/0.719)*D376</f>
        <v>2.0438108484005566</v>
      </c>
      <c r="J376" s="2">
        <f>(0.5/0.719)*E376</f>
        <v>0.51808066759388038</v>
      </c>
    </row>
    <row r="377" spans="1:10" x14ac:dyDescent="0.2">
      <c r="B377">
        <v>39</v>
      </c>
      <c r="C377">
        <v>4</v>
      </c>
      <c r="D377" s="2">
        <v>1.5289999999999999</v>
      </c>
      <c r="E377" s="2">
        <v>0.375</v>
      </c>
      <c r="F377" s="2">
        <f>100*E377/D377</f>
        <v>24.525833878351865</v>
      </c>
      <c r="G377" s="7">
        <v>1</v>
      </c>
      <c r="I377" s="2">
        <f>(0.5/0.719)*D377</f>
        <v>1.0632823365785815</v>
      </c>
      <c r="J377" s="2">
        <f>(0.5/0.719)*E377</f>
        <v>0.26077885952712104</v>
      </c>
    </row>
    <row r="378" spans="1:10" x14ac:dyDescent="0.2">
      <c r="B378">
        <v>40</v>
      </c>
      <c r="C378">
        <v>5</v>
      </c>
      <c r="D378" s="2">
        <v>2.4470000000000001</v>
      </c>
      <c r="E378" s="2">
        <v>0.16700000000000001</v>
      </c>
      <c r="F378" s="2">
        <f>100*E378/D378</f>
        <v>6.8246832856559045</v>
      </c>
      <c r="G378" s="7">
        <v>1</v>
      </c>
      <c r="I378" s="2">
        <f>(0.5/0.719)*D378</f>
        <v>1.7016689847009738</v>
      </c>
      <c r="J378" s="2">
        <f>(0.5/0.719)*E378</f>
        <v>0.1161335187760779</v>
      </c>
    </row>
    <row r="379" spans="1:10" x14ac:dyDescent="0.2">
      <c r="B379">
        <v>41</v>
      </c>
      <c r="C379">
        <v>6</v>
      </c>
      <c r="D379" s="2">
        <v>1.79</v>
      </c>
      <c r="E379" s="2">
        <f>0.39+0.098</f>
        <v>0.48799999999999999</v>
      </c>
      <c r="F379" s="2">
        <f>100*E379/D379</f>
        <v>27.262569832402232</v>
      </c>
      <c r="G379" s="7">
        <v>1</v>
      </c>
      <c r="I379" s="2">
        <f>(0.5/0.719)*D379</f>
        <v>1.2447844228094578</v>
      </c>
      <c r="J379" s="2">
        <f>(0.5/0.719)*E379</f>
        <v>0.3393602225312935</v>
      </c>
    </row>
    <row r="380" spans="1:10" x14ac:dyDescent="0.2">
      <c r="B380">
        <v>42</v>
      </c>
      <c r="C380">
        <v>7</v>
      </c>
      <c r="D380" s="2">
        <v>3.0209999999999999</v>
      </c>
      <c r="E380" s="2">
        <f>0.219+0.232</f>
        <v>0.45100000000000001</v>
      </c>
      <c r="F380" s="2">
        <f>100*E380/D380</f>
        <v>14.928831512744125</v>
      </c>
      <c r="G380" s="7">
        <v>1</v>
      </c>
      <c r="I380" s="2">
        <f>(0.5/0.719)*D380</f>
        <v>2.1008344923504869</v>
      </c>
      <c r="J380" s="2">
        <f>(0.5/0.719)*E380</f>
        <v>0.31363004172461756</v>
      </c>
    </row>
    <row r="381" spans="1:10" x14ac:dyDescent="0.2">
      <c r="B381">
        <v>43</v>
      </c>
      <c r="C381">
        <v>8</v>
      </c>
      <c r="D381" s="2">
        <v>1.1559999999999999</v>
      </c>
      <c r="E381" s="2">
        <v>0.104</v>
      </c>
      <c r="F381" s="2">
        <f>100*E381/D381</f>
        <v>8.9965397923875443</v>
      </c>
      <c r="G381" s="7">
        <v>1</v>
      </c>
      <c r="I381" s="2">
        <f>(0.5/0.719)*D381</f>
        <v>0.80389429763560505</v>
      </c>
      <c r="J381" s="2">
        <f>(0.5/0.719)*E381</f>
        <v>7.2322670375521564E-2</v>
      </c>
    </row>
    <row r="382" spans="1:10" x14ac:dyDescent="0.2">
      <c r="A382" t="s">
        <v>57</v>
      </c>
      <c r="B382">
        <v>44</v>
      </c>
      <c r="C382">
        <v>1</v>
      </c>
      <c r="D382" s="2">
        <v>4.5620000000000003</v>
      </c>
      <c r="E382" s="2">
        <v>0.129</v>
      </c>
      <c r="F382" s="2">
        <f>100*E382/D382</f>
        <v>2.8277071459886014</v>
      </c>
      <c r="G382" s="7">
        <v>1</v>
      </c>
      <c r="H382" s="2">
        <f>3/5</f>
        <v>0.6</v>
      </c>
      <c r="I382" s="2">
        <f>(0.5/0.719)*D382</f>
        <v>3.1724617524339367</v>
      </c>
      <c r="J382" s="2">
        <f>(0.5/0.719)*E382</f>
        <v>8.970792767732963E-2</v>
      </c>
    </row>
    <row r="383" spans="1:10" x14ac:dyDescent="0.2">
      <c r="B383">
        <v>45</v>
      </c>
      <c r="C383">
        <v>2</v>
      </c>
      <c r="D383" s="2">
        <v>4.1029999999999998</v>
      </c>
      <c r="E383" s="2">
        <f>0.397+0.408</f>
        <v>0.80499999999999994</v>
      </c>
      <c r="F383" s="2">
        <f>100*E383/D383</f>
        <v>19.61979039727029</v>
      </c>
      <c r="G383" s="7">
        <v>1</v>
      </c>
      <c r="I383" s="2">
        <f>(0.5/0.719)*D383</f>
        <v>2.8532684283727399</v>
      </c>
      <c r="J383" s="2">
        <f>(0.5/0.719)*E383</f>
        <v>0.55980528511821981</v>
      </c>
    </row>
    <row r="384" spans="1:10" x14ac:dyDescent="0.2">
      <c r="B384">
        <v>46</v>
      </c>
      <c r="C384">
        <v>3</v>
      </c>
      <c r="D384" s="2">
        <v>2.956</v>
      </c>
      <c r="E384" s="2">
        <v>0.161</v>
      </c>
      <c r="F384" s="2">
        <f>100*E384/D384</f>
        <v>5.4465493910690128</v>
      </c>
      <c r="G384" s="7">
        <v>1</v>
      </c>
      <c r="I384" s="2">
        <f>(0.5/0.719)*D384</f>
        <v>2.0556328233657859</v>
      </c>
      <c r="J384" s="2">
        <f>(0.5/0.719)*E384</f>
        <v>0.11196105702364396</v>
      </c>
    </row>
    <row r="385" spans="1:10" x14ac:dyDescent="0.2">
      <c r="B385">
        <v>47</v>
      </c>
      <c r="C385">
        <v>4</v>
      </c>
      <c r="D385" s="2">
        <v>3.177</v>
      </c>
      <c r="E385" s="2">
        <v>0</v>
      </c>
      <c r="F385" s="2">
        <f>100*E385/D385</f>
        <v>0</v>
      </c>
      <c r="G385" s="7">
        <v>0</v>
      </c>
      <c r="I385" s="2">
        <f>(0.5/0.719)*D385</f>
        <v>2.2093184979137694</v>
      </c>
      <c r="J385" s="2">
        <f>(0.5/0.719)*E385</f>
        <v>0</v>
      </c>
    </row>
    <row r="386" spans="1:10" x14ac:dyDescent="0.2">
      <c r="B386">
        <v>48</v>
      </c>
      <c r="C386">
        <v>5</v>
      </c>
      <c r="D386" s="2">
        <v>3.1110000000000002</v>
      </c>
      <c r="E386" s="2">
        <v>0</v>
      </c>
      <c r="F386" s="2">
        <f>100*E386/D386</f>
        <v>0</v>
      </c>
      <c r="G386" s="7">
        <v>0</v>
      </c>
      <c r="I386" s="2">
        <f>(0.5/0.719)*D386</f>
        <v>2.1634214186369962</v>
      </c>
      <c r="J386" s="2">
        <f>(0.5/0.719)*E386</f>
        <v>0</v>
      </c>
    </row>
    <row r="387" spans="1:10" x14ac:dyDescent="0.2">
      <c r="A387" t="s">
        <v>56</v>
      </c>
      <c r="B387">
        <v>49</v>
      </c>
      <c r="C387">
        <v>1</v>
      </c>
      <c r="D387" s="2">
        <v>3.7240000000000002</v>
      </c>
      <c r="E387" s="2">
        <f>0.131+0.205+0.296</f>
        <v>0.6319999999999999</v>
      </c>
      <c r="F387" s="2">
        <f>100*E387/D387</f>
        <v>16.970998925886139</v>
      </c>
      <c r="G387" s="7">
        <v>1</v>
      </c>
      <c r="H387" s="2">
        <f>11/15</f>
        <v>0.73333333333333328</v>
      </c>
      <c r="I387" s="2">
        <f>(0.5/0.719)*D387</f>
        <v>2.5897079276773298</v>
      </c>
      <c r="J387" s="2">
        <f>(0.5/0.719)*E387</f>
        <v>0.43949930458970793</v>
      </c>
    </row>
    <row r="388" spans="1:10" x14ac:dyDescent="0.2">
      <c r="B388">
        <v>50</v>
      </c>
      <c r="C388">
        <v>2</v>
      </c>
      <c r="D388" s="2">
        <v>3.008</v>
      </c>
      <c r="E388" s="2">
        <v>0.314</v>
      </c>
      <c r="F388" s="2">
        <f>100*E388/D388</f>
        <v>10.438829787234042</v>
      </c>
      <c r="G388" s="7">
        <v>1</v>
      </c>
      <c r="I388" s="2">
        <f>(0.5/0.719)*D388</f>
        <v>2.0917941585535469</v>
      </c>
      <c r="J388" s="2">
        <f>(0.5/0.719)*E388</f>
        <v>0.21835883171070936</v>
      </c>
    </row>
    <row r="389" spans="1:10" x14ac:dyDescent="0.2">
      <c r="B389">
        <v>51</v>
      </c>
      <c r="C389">
        <v>3</v>
      </c>
      <c r="D389" s="2">
        <v>1.9610000000000001</v>
      </c>
      <c r="E389" s="2">
        <v>0</v>
      </c>
      <c r="F389" s="2">
        <f>100*E389/D389</f>
        <v>0</v>
      </c>
      <c r="G389" s="7">
        <v>0</v>
      </c>
      <c r="I389" s="2">
        <f>(0.5/0.719)*D389</f>
        <v>1.363699582753825</v>
      </c>
      <c r="J389" s="2">
        <f>(0.5/0.719)*E389</f>
        <v>0</v>
      </c>
    </row>
    <row r="390" spans="1:10" x14ac:dyDescent="0.2">
      <c r="B390">
        <v>52</v>
      </c>
      <c r="C390">
        <v>4</v>
      </c>
      <c r="D390" s="2">
        <v>1.825</v>
      </c>
      <c r="E390" s="2">
        <v>0</v>
      </c>
      <c r="F390" s="2">
        <f>100*E390/D390</f>
        <v>0</v>
      </c>
      <c r="G390" s="7">
        <v>0</v>
      </c>
      <c r="I390" s="2">
        <f>(0.5/0.719)*D390</f>
        <v>1.269123783031989</v>
      </c>
      <c r="J390" s="2">
        <f>(0.5/0.719)*E390</f>
        <v>0</v>
      </c>
    </row>
    <row r="391" spans="1:10" x14ac:dyDescent="0.2">
      <c r="B391">
        <v>53</v>
      </c>
      <c r="C391">
        <v>5</v>
      </c>
      <c r="D391" s="2">
        <v>4.2850000000000001</v>
      </c>
      <c r="E391" s="2">
        <f>0.114+0.383+0.23+0.255</f>
        <v>0.98199999999999998</v>
      </c>
      <c r="F391" s="2">
        <f>100*E391/D391</f>
        <v>22.9171528588098</v>
      </c>
      <c r="G391" s="7">
        <v>1</v>
      </c>
      <c r="I391" s="2">
        <f>(0.5/0.719)*D391</f>
        <v>2.9798331015299029</v>
      </c>
      <c r="J391" s="2">
        <f>(0.5/0.719)*E391</f>
        <v>0.68289290681502091</v>
      </c>
    </row>
    <row r="392" spans="1:10" x14ac:dyDescent="0.2">
      <c r="B392">
        <v>54</v>
      </c>
      <c r="C392">
        <v>6</v>
      </c>
      <c r="D392" s="2">
        <v>2.0470000000000002</v>
      </c>
      <c r="E392" s="2">
        <v>0</v>
      </c>
      <c r="F392" s="2">
        <f>100*E392/D392</f>
        <v>0</v>
      </c>
      <c r="G392" s="7">
        <v>0</v>
      </c>
      <c r="I392" s="2">
        <f>(0.5/0.719)*D392</f>
        <v>1.4235048678720448</v>
      </c>
      <c r="J392" s="2">
        <f>(0.5/0.719)*E392</f>
        <v>0</v>
      </c>
    </row>
    <row r="393" spans="1:10" x14ac:dyDescent="0.2">
      <c r="B393">
        <v>55</v>
      </c>
      <c r="C393">
        <v>7</v>
      </c>
      <c r="D393" s="2">
        <v>1.31</v>
      </c>
      <c r="E393" s="2">
        <v>0.16300000000000001</v>
      </c>
      <c r="F393" s="2">
        <f>100*E393/D393</f>
        <v>12.442748091603054</v>
      </c>
      <c r="G393" s="7">
        <v>1</v>
      </c>
      <c r="I393" s="2">
        <f>(0.5/0.719)*D393</f>
        <v>0.91098748261474283</v>
      </c>
      <c r="J393" s="2">
        <f>(0.5/0.719)*E393</f>
        <v>0.11335187760778861</v>
      </c>
    </row>
    <row r="394" spans="1:10" x14ac:dyDescent="0.2">
      <c r="B394">
        <v>56</v>
      </c>
      <c r="C394">
        <v>8</v>
      </c>
      <c r="D394" s="2">
        <v>4.7140000000000004</v>
      </c>
      <c r="E394" s="2">
        <v>0.50900000000000001</v>
      </c>
      <c r="F394" s="2">
        <f>100*E394/D394</f>
        <v>10.797624098430207</v>
      </c>
      <c r="G394" s="7">
        <v>1</v>
      </c>
      <c r="I394" s="2">
        <f>(0.5/0.719)*D394</f>
        <v>3.2781641168289295</v>
      </c>
      <c r="J394" s="2">
        <f>(0.5/0.719)*E394</f>
        <v>0.35396383866481229</v>
      </c>
    </row>
    <row r="395" spans="1:10" x14ac:dyDescent="0.2">
      <c r="B395">
        <v>57</v>
      </c>
      <c r="C395">
        <v>9</v>
      </c>
      <c r="D395" s="2">
        <v>1.504</v>
      </c>
      <c r="E395" s="2">
        <v>0.26700000000000002</v>
      </c>
      <c r="F395" s="2">
        <f>100*E395/D395</f>
        <v>17.752659574468087</v>
      </c>
      <c r="G395" s="7">
        <v>1</v>
      </c>
      <c r="I395" s="2">
        <f>(0.5/0.719)*D395</f>
        <v>1.0458970792767734</v>
      </c>
      <c r="J395" s="2">
        <f>(0.5/0.719)*E395</f>
        <v>0.18567454798331018</v>
      </c>
    </row>
    <row r="396" spans="1:10" x14ac:dyDescent="0.2">
      <c r="B396">
        <v>58</v>
      </c>
      <c r="C396">
        <v>10</v>
      </c>
      <c r="D396" s="2">
        <v>1.454</v>
      </c>
      <c r="E396" s="2">
        <v>6.8000000000000005E-2</v>
      </c>
      <c r="F396" s="2">
        <f>100*E396/D396</f>
        <v>4.6767537826685013</v>
      </c>
      <c r="G396" s="7">
        <v>1</v>
      </c>
      <c r="I396" s="2">
        <f>(0.5/0.719)*D396</f>
        <v>1.0111265646731573</v>
      </c>
      <c r="J396" s="2">
        <f>(0.5/0.719)*E396</f>
        <v>4.7287899860917949E-2</v>
      </c>
    </row>
    <row r="397" spans="1:10" x14ac:dyDescent="0.2">
      <c r="B397">
        <v>59</v>
      </c>
      <c r="C397">
        <v>11</v>
      </c>
      <c r="D397" s="2">
        <v>2.399</v>
      </c>
      <c r="E397" s="2">
        <f>0.694+0.314</f>
        <v>1.008</v>
      </c>
      <c r="F397" s="2">
        <f>100*E397/D397</f>
        <v>42.017507294706128</v>
      </c>
      <c r="G397" s="7">
        <v>1</v>
      </c>
      <c r="I397" s="2">
        <f>(0.5/0.719)*D397</f>
        <v>1.6682892906815023</v>
      </c>
      <c r="J397" s="2">
        <f>(0.5/0.719)*E397</f>
        <v>0.70097357440890129</v>
      </c>
    </row>
    <row r="398" spans="1:10" x14ac:dyDescent="0.2">
      <c r="B398">
        <v>60</v>
      </c>
      <c r="C398">
        <v>12</v>
      </c>
      <c r="D398" s="2">
        <v>3.2389999999999999</v>
      </c>
      <c r="E398" s="2">
        <f>0.162+0.108+0.162</f>
        <v>0.43200000000000005</v>
      </c>
      <c r="F398" s="2">
        <f>100*E398/D398</f>
        <v>13.337449830194506</v>
      </c>
      <c r="G398" s="7">
        <v>1</v>
      </c>
      <c r="I398" s="2">
        <f>(0.5/0.719)*D398</f>
        <v>2.2524339360222534</v>
      </c>
      <c r="J398" s="2">
        <f>(0.5/0.719)*E398</f>
        <v>0.30041724617524346</v>
      </c>
    </row>
    <row r="399" spans="1:10" x14ac:dyDescent="0.2">
      <c r="B399">
        <v>61</v>
      </c>
      <c r="C399">
        <v>13</v>
      </c>
      <c r="D399" s="2">
        <v>1.7170000000000001</v>
      </c>
      <c r="E399" s="2">
        <v>0</v>
      </c>
      <c r="F399" s="2">
        <f>100*E399/D399</f>
        <v>0</v>
      </c>
      <c r="G399" s="7">
        <v>0</v>
      </c>
      <c r="I399" s="2">
        <f>(0.5/0.719)*D399</f>
        <v>1.1940194714881782</v>
      </c>
      <c r="J399" s="2">
        <f>(0.5/0.719)*E399</f>
        <v>0</v>
      </c>
    </row>
    <row r="400" spans="1:10" x14ac:dyDescent="0.2">
      <c r="B400">
        <v>62</v>
      </c>
      <c r="C400">
        <v>14</v>
      </c>
      <c r="D400" s="2">
        <v>2.0030000000000001</v>
      </c>
      <c r="E400" s="2">
        <v>0.127</v>
      </c>
      <c r="F400" s="2">
        <f>100*E400/D400</f>
        <v>6.3404892661008478</v>
      </c>
      <c r="G400" s="7">
        <v>1</v>
      </c>
      <c r="I400" s="2">
        <f>(0.5/0.719)*D400</f>
        <v>1.3929068150208626</v>
      </c>
      <c r="J400" s="2">
        <f>(0.5/0.719)*E400</f>
        <v>8.8317107093184993E-2</v>
      </c>
    </row>
    <row r="401" spans="1:10" x14ac:dyDescent="0.2">
      <c r="B401">
        <v>63</v>
      </c>
      <c r="C401">
        <v>15</v>
      </c>
      <c r="D401" s="2">
        <v>3.5430000000000001</v>
      </c>
      <c r="E401" s="2">
        <f>0.134+0.186</f>
        <v>0.32</v>
      </c>
      <c r="F401" s="2">
        <f>100*E401/D401</f>
        <v>9.0318938752469649</v>
      </c>
      <c r="G401" s="7">
        <v>1</v>
      </c>
      <c r="I401" s="2">
        <f>(0.5/0.719)*D401</f>
        <v>2.4638386648122395</v>
      </c>
      <c r="J401" s="2">
        <f>(0.5/0.719)*E401</f>
        <v>0.22253129346314329</v>
      </c>
    </row>
    <row r="402" spans="1:10" x14ac:dyDescent="0.2">
      <c r="A402" t="s">
        <v>55</v>
      </c>
      <c r="B402">
        <v>64</v>
      </c>
      <c r="C402">
        <v>1</v>
      </c>
      <c r="D402" s="2">
        <v>1.899</v>
      </c>
      <c r="E402" s="2">
        <f>0.128+0.074</f>
        <v>0.20200000000000001</v>
      </c>
      <c r="F402" s="2">
        <f>100*E402/D402</f>
        <v>10.637177461822013</v>
      </c>
      <c r="G402" s="7">
        <v>1</v>
      </c>
      <c r="H402" s="2">
        <f>5/6</f>
        <v>0.83333333333333337</v>
      </c>
      <c r="I402" s="2">
        <f>(0.5/0.719)*D402</f>
        <v>1.3205841446453408</v>
      </c>
      <c r="J402" s="2">
        <f>(0.5/0.719)*E402</f>
        <v>0.14047287899860919</v>
      </c>
    </row>
    <row r="403" spans="1:10" x14ac:dyDescent="0.2">
      <c r="B403">
        <v>65</v>
      </c>
      <c r="C403">
        <v>2</v>
      </c>
      <c r="D403" s="2">
        <v>5.8570000000000002</v>
      </c>
      <c r="E403" s="2">
        <v>0.46200000000000002</v>
      </c>
      <c r="F403" s="2">
        <f>100*E403/D403</f>
        <v>7.8879972682260542</v>
      </c>
      <c r="G403" s="7">
        <v>1</v>
      </c>
      <c r="I403" s="2">
        <f>(0.5/0.719)*D403</f>
        <v>4.0730180806675946</v>
      </c>
      <c r="J403" s="2">
        <f>(0.5/0.719)*E403</f>
        <v>0.32127955493741311</v>
      </c>
    </row>
    <row r="404" spans="1:10" x14ac:dyDescent="0.2">
      <c r="B404">
        <v>66</v>
      </c>
      <c r="C404">
        <v>3</v>
      </c>
      <c r="D404" s="2">
        <v>2.5209999999999999</v>
      </c>
      <c r="E404" s="2">
        <f>0.087+0.177</f>
        <v>0.26400000000000001</v>
      </c>
      <c r="F404" s="2">
        <f>100*E404/D404</f>
        <v>10.472034906783025</v>
      </c>
      <c r="G404" s="7">
        <v>1</v>
      </c>
      <c r="I404" s="2">
        <f>(0.5/0.719)*D404</f>
        <v>1.7531293463143256</v>
      </c>
      <c r="J404" s="2">
        <f>(0.5/0.719)*E404</f>
        <v>0.18358831710709322</v>
      </c>
    </row>
    <row r="405" spans="1:10" x14ac:dyDescent="0.2">
      <c r="B405">
        <v>67</v>
      </c>
      <c r="C405">
        <v>4</v>
      </c>
      <c r="D405" s="2">
        <v>1.9350000000000001</v>
      </c>
      <c r="E405" s="2">
        <f>0.125+0.38</f>
        <v>0.505</v>
      </c>
      <c r="F405" s="2">
        <f>100*E405/D405</f>
        <v>26.098191214470283</v>
      </c>
      <c r="G405" s="7">
        <v>1</v>
      </c>
      <c r="I405" s="2">
        <f>(0.5/0.719)*D405</f>
        <v>1.3456189151599445</v>
      </c>
      <c r="J405" s="2">
        <f>(0.5/0.719)*E405</f>
        <v>0.35118219749652296</v>
      </c>
    </row>
    <row r="406" spans="1:10" x14ac:dyDescent="0.2">
      <c r="B406">
        <v>68</v>
      </c>
      <c r="C406">
        <v>5</v>
      </c>
      <c r="D406" s="2">
        <v>1.6859999999999999</v>
      </c>
      <c r="E406" s="2">
        <v>0</v>
      </c>
      <c r="F406" s="2">
        <f>100*E406/D406</f>
        <v>0</v>
      </c>
      <c r="G406" s="7">
        <v>0</v>
      </c>
      <c r="I406" s="2">
        <f>(0.5/0.719)*D406</f>
        <v>1.172461752433936</v>
      </c>
      <c r="J406" s="2">
        <f>(0.5/0.719)*E406</f>
        <v>0</v>
      </c>
    </row>
    <row r="407" spans="1:10" x14ac:dyDescent="0.2">
      <c r="B407">
        <v>69</v>
      </c>
      <c r="C407">
        <v>6</v>
      </c>
      <c r="D407" s="2">
        <v>5.3650000000000002</v>
      </c>
      <c r="E407" s="2">
        <f>0.242+0.129</f>
        <v>0.371</v>
      </c>
      <c r="F407" s="2">
        <f>100*E407/D407</f>
        <v>6.9151910531220873</v>
      </c>
      <c r="G407" s="7">
        <v>1</v>
      </c>
      <c r="I407" s="2">
        <f>(0.5/0.719)*D407</f>
        <v>3.7308762169680119</v>
      </c>
      <c r="J407" s="2">
        <f>(0.5/0.719)*E407</f>
        <v>0.25799721835883171</v>
      </c>
    </row>
    <row r="408" spans="1:10" x14ac:dyDescent="0.2">
      <c r="A408" t="s">
        <v>54</v>
      </c>
      <c r="B408">
        <v>70</v>
      </c>
      <c r="C408">
        <v>1</v>
      </c>
      <c r="D408" s="2">
        <v>4.532</v>
      </c>
      <c r="E408" s="2">
        <f>0.313+0.259</f>
        <v>0.57200000000000006</v>
      </c>
      <c r="F408" s="2">
        <f>100*E408/D408</f>
        <v>12.621359223300971</v>
      </c>
      <c r="G408" s="7">
        <v>1</v>
      </c>
      <c r="H408" s="2">
        <f>10/11</f>
        <v>0.90909090909090906</v>
      </c>
      <c r="I408" s="2">
        <f>(0.5/0.719)*D408</f>
        <v>3.1515994436717665</v>
      </c>
      <c r="J408" s="2">
        <f>(0.5/0.719)*E408</f>
        <v>0.39777468706536867</v>
      </c>
    </row>
    <row r="409" spans="1:10" x14ac:dyDescent="0.2">
      <c r="B409">
        <v>71</v>
      </c>
      <c r="C409">
        <v>2</v>
      </c>
      <c r="D409" s="2">
        <v>1.5129999999999999</v>
      </c>
      <c r="E409" s="2">
        <f>0.399+0.155</f>
        <v>0.55400000000000005</v>
      </c>
      <c r="F409" s="2">
        <f>100*E409/D409</f>
        <v>36.615994712491748</v>
      </c>
      <c r="G409" s="7">
        <v>1</v>
      </c>
      <c r="I409" s="2">
        <f>(0.5/0.719)*D409</f>
        <v>1.0521557719054242</v>
      </c>
      <c r="J409" s="2">
        <f>(0.5/0.719)*E409</f>
        <v>0.38525730180806683</v>
      </c>
    </row>
    <row r="410" spans="1:10" x14ac:dyDescent="0.2">
      <c r="B410">
        <v>72</v>
      </c>
      <c r="C410">
        <v>3</v>
      </c>
      <c r="D410" s="2">
        <v>1.7649999999999999</v>
      </c>
      <c r="E410" s="2">
        <f>0.073+0.093</f>
        <v>0.16599999999999998</v>
      </c>
      <c r="F410" s="2">
        <f>100*E410/D410</f>
        <v>9.405099150141643</v>
      </c>
      <c r="G410" s="7">
        <v>1</v>
      </c>
      <c r="I410" s="2">
        <f>(0.5/0.719)*D410</f>
        <v>1.2273991655076495</v>
      </c>
      <c r="J410" s="2">
        <f>(0.5/0.719)*E410</f>
        <v>0.11543810848400556</v>
      </c>
    </row>
    <row r="411" spans="1:10" x14ac:dyDescent="0.2">
      <c r="B411">
        <v>73</v>
      </c>
      <c r="C411">
        <v>4</v>
      </c>
      <c r="D411" s="2">
        <v>2.5619999999999998</v>
      </c>
      <c r="E411" s="2">
        <v>0</v>
      </c>
      <c r="F411" s="2">
        <f>100*E411/D411</f>
        <v>0</v>
      </c>
      <c r="G411" s="7">
        <v>0</v>
      </c>
      <c r="I411" s="2">
        <f>(0.5/0.719)*D411</f>
        <v>1.7816411682892908</v>
      </c>
      <c r="J411" s="2">
        <f>(0.5/0.719)*E411</f>
        <v>0</v>
      </c>
    </row>
    <row r="412" spans="1:10" x14ac:dyDescent="0.2">
      <c r="B412">
        <v>74</v>
      </c>
      <c r="C412">
        <v>5</v>
      </c>
      <c r="D412" s="2">
        <v>2.2280000000000002</v>
      </c>
      <c r="E412" s="2">
        <v>0.35699999999999998</v>
      </c>
      <c r="F412" s="2">
        <f>100*E412/D412</f>
        <v>16.023339317773786</v>
      </c>
      <c r="G412" s="7">
        <v>1</v>
      </c>
      <c r="I412" s="2">
        <f>(0.5/0.719)*D412</f>
        <v>1.5493741307371351</v>
      </c>
      <c r="J412" s="2">
        <f>(0.5/0.719)*E412</f>
        <v>0.2482614742698192</v>
      </c>
    </row>
    <row r="413" spans="1:10" x14ac:dyDescent="0.2">
      <c r="B413">
        <v>75</v>
      </c>
      <c r="C413">
        <v>6</v>
      </c>
      <c r="D413" s="2">
        <v>2.0289999999999999</v>
      </c>
      <c r="E413" s="2">
        <f>0.224+0.048</f>
        <v>0.27200000000000002</v>
      </c>
      <c r="F413" s="2">
        <f>100*E413/D413</f>
        <v>13.405618531296208</v>
      </c>
      <c r="G413" s="7">
        <v>1</v>
      </c>
      <c r="I413" s="2">
        <f>(0.5/0.719)*D413</f>
        <v>1.4109874826147428</v>
      </c>
      <c r="J413" s="2">
        <f>(0.5/0.719)*E413</f>
        <v>0.1891515994436718</v>
      </c>
    </row>
    <row r="414" spans="1:10" x14ac:dyDescent="0.2">
      <c r="B414">
        <v>76</v>
      </c>
      <c r="C414">
        <v>7</v>
      </c>
      <c r="D414" s="2">
        <v>1.833</v>
      </c>
      <c r="E414" s="2">
        <f>0.249+0.109</f>
        <v>0.35799999999999998</v>
      </c>
      <c r="F414" s="2">
        <f>100*E414/D414</f>
        <v>19.530823786142935</v>
      </c>
      <c r="G414" s="7">
        <v>1</v>
      </c>
      <c r="I414" s="2">
        <f>(0.5/0.719)*D414</f>
        <v>1.2746870653685676</v>
      </c>
      <c r="J414" s="2">
        <f>(0.5/0.719)*E414</f>
        <v>0.24895688456189152</v>
      </c>
    </row>
    <row r="415" spans="1:10" x14ac:dyDescent="0.2">
      <c r="B415">
        <v>77</v>
      </c>
      <c r="C415">
        <v>8</v>
      </c>
      <c r="D415" s="2">
        <v>4.3929999999999998</v>
      </c>
      <c r="E415" s="2">
        <f>0.201+0.364+0.138</f>
        <v>0.70299999999999996</v>
      </c>
      <c r="F415" s="2">
        <f>100*E415/D415</f>
        <v>16.002731618483953</v>
      </c>
      <c r="G415" s="7">
        <v>1</v>
      </c>
      <c r="I415" s="2">
        <f>(0.5/0.719)*D415</f>
        <v>3.0549374130737137</v>
      </c>
      <c r="J415" s="2">
        <f>(0.5/0.719)*E415</f>
        <v>0.48887343532684285</v>
      </c>
    </row>
    <row r="416" spans="1:10" x14ac:dyDescent="0.2">
      <c r="B416">
        <v>78</v>
      </c>
      <c r="C416">
        <v>9</v>
      </c>
      <c r="D416" s="2">
        <v>1.956</v>
      </c>
      <c r="E416" s="2">
        <v>0.20699999999999999</v>
      </c>
      <c r="F416" s="2">
        <f>100*E416/D416</f>
        <v>10.582822085889571</v>
      </c>
      <c r="G416" s="7">
        <v>1</v>
      </c>
      <c r="I416" s="2">
        <f>(0.5/0.719)*D416</f>
        <v>1.3602225312934633</v>
      </c>
      <c r="J416" s="2">
        <f>(0.5/0.719)*E416</f>
        <v>0.14394993045897081</v>
      </c>
    </row>
    <row r="417" spans="1:10" x14ac:dyDescent="0.2">
      <c r="B417">
        <v>79</v>
      </c>
      <c r="C417">
        <v>10</v>
      </c>
      <c r="D417" s="2">
        <v>2.13</v>
      </c>
      <c r="E417" s="2">
        <v>0.10199999999999999</v>
      </c>
      <c r="F417" s="2">
        <f>100*E417/D417</f>
        <v>4.788732394366197</v>
      </c>
      <c r="G417" s="7">
        <v>1</v>
      </c>
      <c r="I417" s="2">
        <f>(0.5/0.719)*D417</f>
        <v>1.4812239221140473</v>
      </c>
      <c r="J417" s="2">
        <f>(0.5/0.719)*E417</f>
        <v>7.0931849791376914E-2</v>
      </c>
    </row>
    <row r="418" spans="1:10" x14ac:dyDescent="0.2">
      <c r="B418">
        <v>80</v>
      </c>
      <c r="C418">
        <v>11</v>
      </c>
      <c r="D418" s="2">
        <v>1.752</v>
      </c>
      <c r="E418" s="2">
        <v>0.113</v>
      </c>
      <c r="F418" s="2">
        <f>100*E418/D418</f>
        <v>6.4497716894977177</v>
      </c>
      <c r="G418" s="7">
        <v>1</v>
      </c>
      <c r="I418" s="2">
        <f>(0.5/0.719)*D418</f>
        <v>1.2183588317107095</v>
      </c>
      <c r="J418" s="2">
        <f>(0.5/0.719)*E418</f>
        <v>7.8581363004172469E-2</v>
      </c>
    </row>
    <row r="419" spans="1:10" x14ac:dyDescent="0.2">
      <c r="A419" t="s">
        <v>53</v>
      </c>
      <c r="B419">
        <v>81</v>
      </c>
      <c r="C419">
        <v>1</v>
      </c>
      <c r="D419" s="2">
        <v>1.7989999999999999</v>
      </c>
      <c r="E419" s="2">
        <v>0.29099999999999998</v>
      </c>
      <c r="F419" s="2">
        <f>100*E419/D419</f>
        <v>16.175653140633685</v>
      </c>
      <c r="G419" s="7">
        <v>1</v>
      </c>
      <c r="H419" s="2">
        <v>1</v>
      </c>
      <c r="I419" s="2">
        <f>(0.5/0.719)*D419</f>
        <v>1.2510431154381085</v>
      </c>
      <c r="J419" s="2">
        <f>(0.5/0.719)*E419</f>
        <v>0.2023643949930459</v>
      </c>
    </row>
    <row r="420" spans="1:10" x14ac:dyDescent="0.2">
      <c r="B420">
        <v>82</v>
      </c>
      <c r="C420">
        <v>2</v>
      </c>
      <c r="D420" s="2">
        <v>1.4610000000000001</v>
      </c>
      <c r="E420" s="2">
        <f>0.132+0.103</f>
        <v>0.23499999999999999</v>
      </c>
      <c r="F420" s="2">
        <f>100*E420/D420</f>
        <v>16.084873374401095</v>
      </c>
      <c r="G420" s="7">
        <v>1</v>
      </c>
      <c r="I420" s="2">
        <f>(0.5/0.719)*D420</f>
        <v>1.0159944367176637</v>
      </c>
      <c r="J420" s="2">
        <f>(0.5/0.719)*E420</f>
        <v>0.16342141863699583</v>
      </c>
    </row>
    <row r="421" spans="1:10" x14ac:dyDescent="0.2">
      <c r="B421">
        <v>83</v>
      </c>
      <c r="C421">
        <v>3</v>
      </c>
      <c r="D421" s="2">
        <v>1.83</v>
      </c>
      <c r="E421" s="2">
        <f>0.195+0.173</f>
        <v>0.36799999999999999</v>
      </c>
      <c r="F421" s="2">
        <f>100*E421/D421</f>
        <v>20.109289617486336</v>
      </c>
      <c r="G421" s="7">
        <v>1</v>
      </c>
      <c r="I421" s="2">
        <f>(0.5/0.719)*D421</f>
        <v>1.2726008344923507</v>
      </c>
      <c r="J421" s="2">
        <f>(0.5/0.719)*E421</f>
        <v>0.25591098748261476</v>
      </c>
    </row>
    <row r="422" spans="1:10" x14ac:dyDescent="0.2">
      <c r="B422">
        <v>84</v>
      </c>
      <c r="C422">
        <v>4</v>
      </c>
      <c r="D422" s="2">
        <v>2.1469999999999998</v>
      </c>
      <c r="E422" s="2">
        <v>0.113</v>
      </c>
      <c r="F422" s="2">
        <f>100*E422/D422</f>
        <v>5.2631578947368434</v>
      </c>
      <c r="G422" s="7">
        <v>1</v>
      </c>
      <c r="I422" s="2">
        <f>(0.5/0.719)*D422</f>
        <v>1.4930458970792768</v>
      </c>
      <c r="J422" s="2">
        <f>(0.5/0.719)*E422</f>
        <v>7.8581363004172469E-2</v>
      </c>
    </row>
    <row r="423" spans="1:10" x14ac:dyDescent="0.2">
      <c r="B423">
        <v>85</v>
      </c>
      <c r="C423">
        <v>5</v>
      </c>
      <c r="D423" s="2">
        <v>4.5860000000000003</v>
      </c>
      <c r="E423" s="2">
        <v>0.38100000000000001</v>
      </c>
      <c r="F423" s="2">
        <f>100*E423/D423</f>
        <v>8.3078935891844736</v>
      </c>
      <c r="G423" s="7">
        <v>1</v>
      </c>
      <c r="I423" s="2">
        <f>(0.5/0.719)*D423</f>
        <v>3.1891515994436723</v>
      </c>
      <c r="J423" s="2">
        <f>(0.5/0.719)*E423</f>
        <v>0.26495132127955495</v>
      </c>
    </row>
    <row r="424" spans="1:10" x14ac:dyDescent="0.2">
      <c r="B424">
        <v>86</v>
      </c>
      <c r="C424">
        <v>6</v>
      </c>
      <c r="D424" s="2">
        <v>4.4729999999999999</v>
      </c>
      <c r="E424" s="2">
        <f>0.155+0.363</f>
        <v>0.51800000000000002</v>
      </c>
      <c r="F424" s="2">
        <f>100*E424/D424</f>
        <v>11.58059467918623</v>
      </c>
      <c r="G424" s="7">
        <v>1</v>
      </c>
      <c r="I424" s="2">
        <f>(0.5/0.719)*D424</f>
        <v>3.1105702364394996</v>
      </c>
      <c r="J424" s="2">
        <f>(0.5/0.719)*E424</f>
        <v>0.36022253129346321</v>
      </c>
    </row>
    <row r="425" spans="1:10" x14ac:dyDescent="0.2">
      <c r="B425">
        <v>87</v>
      </c>
      <c r="C425">
        <v>7</v>
      </c>
      <c r="D425" s="2">
        <v>1.7290000000000001</v>
      </c>
      <c r="E425" s="2">
        <v>0.19900000000000001</v>
      </c>
      <c r="F425" s="2">
        <f>100*E425/D425</f>
        <v>11.509543088490458</v>
      </c>
      <c r="G425" s="7">
        <v>1</v>
      </c>
      <c r="I425" s="2">
        <f>(0.5/0.719)*D425</f>
        <v>1.202364394993046</v>
      </c>
      <c r="J425" s="2">
        <f>(0.5/0.719)*E425</f>
        <v>0.13838664812239224</v>
      </c>
    </row>
    <row r="426" spans="1:10" x14ac:dyDescent="0.2">
      <c r="B426">
        <v>88</v>
      </c>
      <c r="C426">
        <v>8</v>
      </c>
      <c r="D426" s="2">
        <v>1.657</v>
      </c>
      <c r="E426" s="2">
        <f>0.158+0.099</f>
        <v>0.25700000000000001</v>
      </c>
      <c r="F426" s="2">
        <f>100*E426/D426</f>
        <v>15.509957754978878</v>
      </c>
      <c r="G426" s="7">
        <v>1</v>
      </c>
      <c r="I426" s="2">
        <f>(0.5/0.719)*D426</f>
        <v>1.1522948539638389</v>
      </c>
      <c r="J426" s="2">
        <f>(0.5/0.719)*E426</f>
        <v>0.17872044506258694</v>
      </c>
    </row>
    <row r="427" spans="1:10" x14ac:dyDescent="0.2">
      <c r="B427">
        <v>89</v>
      </c>
      <c r="C427">
        <v>9</v>
      </c>
      <c r="D427" s="2">
        <v>2.415</v>
      </c>
      <c r="E427" s="2">
        <f>0.194</f>
        <v>0.19400000000000001</v>
      </c>
      <c r="F427" s="2">
        <f>100*E427/D427</f>
        <v>8.0331262939958599</v>
      </c>
      <c r="G427" s="7">
        <v>1</v>
      </c>
      <c r="I427" s="2">
        <f>(0.5/0.719)*D427</f>
        <v>1.6794158553546594</v>
      </c>
      <c r="J427" s="2">
        <f>(0.5/0.719)*E427</f>
        <v>0.13490959666203062</v>
      </c>
    </row>
    <row r="428" spans="1:10" x14ac:dyDescent="0.2">
      <c r="B428">
        <v>90</v>
      </c>
      <c r="C428">
        <v>10</v>
      </c>
      <c r="D428" s="2">
        <v>2.839</v>
      </c>
      <c r="E428" s="2">
        <v>9.9000000000000005E-2</v>
      </c>
      <c r="F428" s="2">
        <f>100*E428/D428</f>
        <v>3.4871433603381474</v>
      </c>
      <c r="G428" s="7">
        <v>1</v>
      </c>
      <c r="I428" s="2">
        <f>(0.5/0.719)*D428</f>
        <v>1.9742698191933243</v>
      </c>
      <c r="J428" s="2">
        <f>(0.5/0.719)*E428</f>
        <v>6.8845618915159959E-2</v>
      </c>
    </row>
    <row r="429" spans="1:10" x14ac:dyDescent="0.2">
      <c r="B429">
        <v>91</v>
      </c>
      <c r="C429">
        <v>11</v>
      </c>
      <c r="D429" s="2">
        <v>4.4390000000000001</v>
      </c>
      <c r="E429" s="2">
        <f>0.165+0.148+0.153</f>
        <v>0.46599999999999997</v>
      </c>
      <c r="F429" s="2">
        <f>100*E429/D429</f>
        <v>10.497859878350978</v>
      </c>
      <c r="G429" s="7">
        <v>1</v>
      </c>
      <c r="I429" s="2">
        <f>(0.5/0.719)*D429</f>
        <v>3.0869262865090406</v>
      </c>
      <c r="J429" s="2">
        <f>(0.5/0.719)*E429</f>
        <v>0.32406119610570239</v>
      </c>
    </row>
    <row r="430" spans="1:10" x14ac:dyDescent="0.2">
      <c r="A430" t="s">
        <v>52</v>
      </c>
      <c r="B430">
        <v>92</v>
      </c>
      <c r="C430">
        <v>1</v>
      </c>
      <c r="D430" s="2">
        <v>2.7730000000000001</v>
      </c>
      <c r="E430" s="2">
        <v>0.30499999999999999</v>
      </c>
      <c r="F430" s="2">
        <f>100*E430/D430</f>
        <v>10.998918139199423</v>
      </c>
      <c r="G430" s="7">
        <v>1</v>
      </c>
      <c r="H430" s="2">
        <f>10/13</f>
        <v>0.76923076923076927</v>
      </c>
      <c r="I430" s="2">
        <f>(0.5/0.719)*D430</f>
        <v>1.9283727399165511</v>
      </c>
      <c r="J430" s="2">
        <f>(0.5/0.719)*E430</f>
        <v>0.21210013908205844</v>
      </c>
    </row>
    <row r="431" spans="1:10" x14ac:dyDescent="0.2">
      <c r="B431">
        <v>93</v>
      </c>
      <c r="C431">
        <v>2</v>
      </c>
      <c r="D431" s="2">
        <v>2.0880000000000001</v>
      </c>
      <c r="E431" s="2">
        <v>0</v>
      </c>
      <c r="F431" s="2">
        <f>100*E431/D431</f>
        <v>0</v>
      </c>
      <c r="G431" s="7">
        <v>0</v>
      </c>
      <c r="I431" s="2">
        <f>(0.5/0.719)*D431</f>
        <v>1.4520166898470099</v>
      </c>
      <c r="J431" s="2">
        <f>(0.5/0.719)*E431</f>
        <v>0</v>
      </c>
    </row>
    <row r="432" spans="1:10" x14ac:dyDescent="0.2">
      <c r="B432">
        <v>94</v>
      </c>
      <c r="C432">
        <v>3</v>
      </c>
      <c r="D432" s="2">
        <v>3.3679999999999999</v>
      </c>
      <c r="E432" s="2">
        <v>0.437</v>
      </c>
      <c r="F432" s="2">
        <f>100*E432/D432</f>
        <v>12.975059382422804</v>
      </c>
      <c r="G432" s="7">
        <v>1</v>
      </c>
      <c r="I432" s="2">
        <f>(0.5/0.719)*D432</f>
        <v>2.3421418636995828</v>
      </c>
      <c r="J432" s="2">
        <f>(0.5/0.719)*E432</f>
        <v>0.30389429763560505</v>
      </c>
    </row>
    <row r="433" spans="1:10" x14ac:dyDescent="0.2">
      <c r="B433">
        <v>95</v>
      </c>
      <c r="C433">
        <v>4</v>
      </c>
      <c r="D433" s="2">
        <v>2.6960000000000002</v>
      </c>
      <c r="E433" s="2">
        <v>0.27400000000000002</v>
      </c>
      <c r="F433" s="2">
        <f>100*E433/D433</f>
        <v>10.163204747774481</v>
      </c>
      <c r="G433" s="7">
        <v>1</v>
      </c>
      <c r="I433" s="2">
        <f>(0.5/0.719)*D433</f>
        <v>1.8748261474269823</v>
      </c>
      <c r="J433" s="2">
        <f>(0.5/0.719)*E433</f>
        <v>0.19054242002781643</v>
      </c>
    </row>
    <row r="434" spans="1:10" x14ac:dyDescent="0.2">
      <c r="B434">
        <v>96</v>
      </c>
      <c r="C434">
        <v>5</v>
      </c>
      <c r="D434" s="2">
        <v>3.0110000000000001</v>
      </c>
      <c r="E434" s="2">
        <v>0.96499999999999997</v>
      </c>
      <c r="F434" s="2">
        <f>100*E434/D434</f>
        <v>32.049153105280638</v>
      </c>
      <c r="G434" s="7">
        <v>1</v>
      </c>
      <c r="I434" s="2">
        <f>(0.5/0.719)*D434</f>
        <v>2.093880389429764</v>
      </c>
      <c r="J434" s="2">
        <f>(0.5/0.719)*E434</f>
        <v>0.67107093184979139</v>
      </c>
    </row>
    <row r="435" spans="1:10" x14ac:dyDescent="0.2">
      <c r="B435">
        <v>97</v>
      </c>
      <c r="C435">
        <v>6</v>
      </c>
      <c r="D435" s="2">
        <v>1.53</v>
      </c>
      <c r="E435" s="2">
        <v>9.4E-2</v>
      </c>
      <c r="F435" s="2">
        <f>100*E435/D435</f>
        <v>6.143790849673203</v>
      </c>
      <c r="G435" s="7">
        <v>1</v>
      </c>
      <c r="I435" s="2">
        <f>(0.5/0.719)*D435</f>
        <v>1.0639777468706537</v>
      </c>
      <c r="J435" s="2">
        <f>(0.5/0.719)*E435</f>
        <v>6.536856745479834E-2</v>
      </c>
    </row>
    <row r="436" spans="1:10" x14ac:dyDescent="0.2">
      <c r="B436">
        <v>98</v>
      </c>
      <c r="C436">
        <v>7</v>
      </c>
      <c r="D436" s="2">
        <v>2.6150000000000002</v>
      </c>
      <c r="E436" s="2">
        <v>0.20799999999999999</v>
      </c>
      <c r="F436" s="2">
        <f>100*E436/D436</f>
        <v>7.9541108986615674</v>
      </c>
      <c r="G436" s="7">
        <v>1</v>
      </c>
      <c r="I436" s="2">
        <f>(0.5/0.719)*D436</f>
        <v>1.8184979137691242</v>
      </c>
      <c r="J436" s="2">
        <f>(0.5/0.719)*E436</f>
        <v>0.14464534075104313</v>
      </c>
    </row>
    <row r="437" spans="1:10" x14ac:dyDescent="0.2">
      <c r="B437">
        <v>99</v>
      </c>
      <c r="C437">
        <v>8</v>
      </c>
      <c r="D437" s="2">
        <v>1.9410000000000001</v>
      </c>
      <c r="E437" s="2">
        <v>6.9000000000000006E-2</v>
      </c>
      <c r="F437" s="2">
        <f>100*E437/D437</f>
        <v>3.554868624420402</v>
      </c>
      <c r="G437" s="7">
        <v>1</v>
      </c>
      <c r="I437" s="2">
        <f>(0.5/0.719)*D437</f>
        <v>1.3497913769123784</v>
      </c>
      <c r="J437" s="2">
        <f>(0.5/0.719)*E437</f>
        <v>4.7983310152990274E-2</v>
      </c>
    </row>
    <row r="438" spans="1:10" x14ac:dyDescent="0.2">
      <c r="B438">
        <v>100</v>
      </c>
      <c r="C438">
        <v>9</v>
      </c>
      <c r="D438" s="2">
        <v>2.1240000000000001</v>
      </c>
      <c r="E438" s="2">
        <v>0</v>
      </c>
      <c r="F438" s="2">
        <f>100*E438/D438</f>
        <v>0</v>
      </c>
      <c r="G438" s="7">
        <v>0</v>
      </c>
      <c r="I438" s="2">
        <f>(0.5/0.719)*D438</f>
        <v>1.4770514603616136</v>
      </c>
      <c r="J438" s="2">
        <f>(0.5/0.719)*E438</f>
        <v>0</v>
      </c>
    </row>
    <row r="439" spans="1:10" x14ac:dyDescent="0.2">
      <c r="B439">
        <v>101</v>
      </c>
      <c r="C439">
        <v>10</v>
      </c>
      <c r="D439" s="2">
        <v>1.613</v>
      </c>
      <c r="E439" s="2">
        <v>0.14399999999999999</v>
      </c>
      <c r="F439" s="2">
        <f>100*E439/D439</f>
        <v>8.9274643521388715</v>
      </c>
      <c r="G439" s="7">
        <v>1</v>
      </c>
      <c r="I439" s="2">
        <f>(0.5/0.719)*D439</f>
        <v>1.1216968011126567</v>
      </c>
      <c r="J439" s="2">
        <f>(0.5/0.719)*E439</f>
        <v>0.10013908205841447</v>
      </c>
    </row>
    <row r="440" spans="1:10" x14ac:dyDescent="0.2">
      <c r="B440">
        <v>102</v>
      </c>
      <c r="C440">
        <v>11</v>
      </c>
      <c r="D440" s="2">
        <v>2.327</v>
      </c>
      <c r="E440" s="2">
        <v>0.69099999999999995</v>
      </c>
      <c r="F440" s="2">
        <f>100*E440/D440</f>
        <v>29.694886119467125</v>
      </c>
      <c r="G440" s="7">
        <v>1</v>
      </c>
      <c r="I440" s="2">
        <f>(0.5/0.719)*D440</f>
        <v>1.618219749652295</v>
      </c>
      <c r="J440" s="2">
        <f>(0.5/0.719)*E440</f>
        <v>0.48052851182197498</v>
      </c>
    </row>
    <row r="441" spans="1:10" x14ac:dyDescent="0.2">
      <c r="B441">
        <v>103</v>
      </c>
      <c r="C441">
        <v>12</v>
      </c>
      <c r="D441" s="2">
        <v>1.899</v>
      </c>
      <c r="E441" s="2">
        <v>0</v>
      </c>
      <c r="F441" s="2">
        <f>100*E441/D441</f>
        <v>0</v>
      </c>
      <c r="G441" s="7">
        <v>0</v>
      </c>
      <c r="I441" s="2">
        <f>(0.5/0.719)*D441</f>
        <v>1.3205841446453408</v>
      </c>
      <c r="J441" s="2">
        <f>(0.5/0.719)*E441</f>
        <v>0</v>
      </c>
    </row>
    <row r="442" spans="1:10" x14ac:dyDescent="0.2">
      <c r="B442">
        <v>104</v>
      </c>
      <c r="C442">
        <v>13</v>
      </c>
      <c r="D442" s="2">
        <v>4.9109999999999996</v>
      </c>
      <c r="E442" s="2">
        <f>0.529+0.878+0.19</f>
        <v>1.597</v>
      </c>
      <c r="F442" s="2">
        <f>100*E442/D442</f>
        <v>32.518835267766242</v>
      </c>
      <c r="G442" s="7">
        <v>1</v>
      </c>
      <c r="I442" s="2">
        <f>(0.5/0.719)*D442</f>
        <v>3.4151599443671765</v>
      </c>
      <c r="J442" s="2">
        <f>(0.5/0.719)*E442</f>
        <v>1.1105702364394994</v>
      </c>
    </row>
    <row r="443" spans="1:10" x14ac:dyDescent="0.2">
      <c r="A443" t="s">
        <v>51</v>
      </c>
      <c r="B443">
        <v>105</v>
      </c>
      <c r="C443">
        <v>1</v>
      </c>
      <c r="D443" s="2">
        <v>2.319</v>
      </c>
      <c r="E443" s="2">
        <v>0.32700000000000001</v>
      </c>
      <c r="F443" s="2">
        <f>100*E443/D443</f>
        <v>14.100905562742563</v>
      </c>
      <c r="G443" s="7">
        <v>1</v>
      </c>
      <c r="H443" s="2">
        <v>1</v>
      </c>
      <c r="I443" s="2">
        <f>(0.5/0.719)*D443</f>
        <v>1.6126564673157164</v>
      </c>
      <c r="J443" s="2">
        <f>(0.5/0.719)*E443</f>
        <v>0.22739916550764955</v>
      </c>
    </row>
    <row r="444" spans="1:10" x14ac:dyDescent="0.2">
      <c r="B444">
        <v>106</v>
      </c>
      <c r="C444">
        <v>2</v>
      </c>
      <c r="D444" s="2">
        <v>1.341</v>
      </c>
      <c r="E444" s="2">
        <v>0.16400000000000001</v>
      </c>
      <c r="F444" s="2">
        <f>100*E444/D444</f>
        <v>12.229679343773306</v>
      </c>
      <c r="G444" s="7">
        <v>1</v>
      </c>
      <c r="I444" s="2">
        <f>(0.5/0.719)*D444</f>
        <v>0.9325452016689848</v>
      </c>
      <c r="J444" s="2">
        <f>(0.5/0.719)*E444</f>
        <v>0.11404728789986093</v>
      </c>
    </row>
    <row r="445" spans="1:10" x14ac:dyDescent="0.2">
      <c r="B445">
        <v>107</v>
      </c>
      <c r="C445">
        <v>3</v>
      </c>
      <c r="D445" s="2">
        <v>4.1929999999999996</v>
      </c>
      <c r="E445" s="2">
        <v>0.27600000000000002</v>
      </c>
      <c r="F445" s="2">
        <f>100*E445/D445</f>
        <v>6.582399236823278</v>
      </c>
      <c r="G445" s="7">
        <v>1</v>
      </c>
      <c r="I445" s="2">
        <f>(0.5/0.719)*D445</f>
        <v>2.9158553546592492</v>
      </c>
      <c r="J445" s="2">
        <f>(0.5/0.719)*E445</f>
        <v>0.1919332406119611</v>
      </c>
    </row>
    <row r="446" spans="1:10" x14ac:dyDescent="0.2">
      <c r="B446">
        <v>108</v>
      </c>
      <c r="C446">
        <v>4</v>
      </c>
      <c r="D446" s="2">
        <v>1.5660000000000001</v>
      </c>
      <c r="E446" s="2">
        <v>0.106</v>
      </c>
      <c r="F446" s="2">
        <f>100*E446/D446</f>
        <v>6.7688378033205616</v>
      </c>
      <c r="G446" s="7">
        <v>1</v>
      </c>
      <c r="I446" s="2">
        <f>(0.5/0.719)*D446</f>
        <v>1.0890125173852574</v>
      </c>
      <c r="J446" s="2">
        <f>(0.5/0.719)*E446</f>
        <v>7.3713490959666214E-2</v>
      </c>
    </row>
    <row r="447" spans="1:10" x14ac:dyDescent="0.2">
      <c r="B447">
        <v>109</v>
      </c>
      <c r="C447">
        <v>5</v>
      </c>
      <c r="D447" s="2">
        <v>1.921</v>
      </c>
      <c r="E447" s="2">
        <v>0.20399999999999999</v>
      </c>
      <c r="F447" s="2">
        <f>100*E447/D447</f>
        <v>10.619469026548671</v>
      </c>
      <c r="G447" s="7">
        <v>1</v>
      </c>
      <c r="I447" s="2">
        <f>(0.5/0.719)*D447</f>
        <v>1.335883171070932</v>
      </c>
      <c r="J447" s="2">
        <f>(0.5/0.719)*E447</f>
        <v>0.14186369958275383</v>
      </c>
    </row>
    <row r="448" spans="1:10" x14ac:dyDescent="0.2">
      <c r="B448">
        <v>110</v>
      </c>
      <c r="C448">
        <v>6</v>
      </c>
      <c r="D448" s="2">
        <v>2.0369999999999999</v>
      </c>
      <c r="E448" s="2">
        <v>0.17299999999999999</v>
      </c>
      <c r="F448" s="2">
        <f>100*E448/D448</f>
        <v>8.4928816887579757</v>
      </c>
      <c r="G448" s="7">
        <v>1</v>
      </c>
      <c r="I448" s="2">
        <f>(0.5/0.719)*D448</f>
        <v>1.4165507649513214</v>
      </c>
      <c r="J448" s="2">
        <f>(0.5/0.719)*E448</f>
        <v>0.12030598052851182</v>
      </c>
    </row>
    <row r="449" spans="1:10" x14ac:dyDescent="0.2">
      <c r="B449">
        <v>111</v>
      </c>
      <c r="C449">
        <v>7</v>
      </c>
      <c r="D449" s="2">
        <v>2.37</v>
      </c>
      <c r="E449" s="2">
        <f>0.121+0.317</f>
        <v>0.438</v>
      </c>
      <c r="F449" s="2">
        <f>100*E449/D449</f>
        <v>18.481012658227847</v>
      </c>
      <c r="G449" s="7">
        <v>1</v>
      </c>
      <c r="I449" s="2">
        <f>(0.5/0.719)*D449</f>
        <v>1.648122392211405</v>
      </c>
      <c r="J449" s="2">
        <f>(0.5/0.719)*E449</f>
        <v>0.30458970792767737</v>
      </c>
    </row>
    <row r="450" spans="1:10" x14ac:dyDescent="0.2">
      <c r="B450">
        <v>112</v>
      </c>
      <c r="C450">
        <v>8</v>
      </c>
      <c r="D450" s="2">
        <v>1.661</v>
      </c>
      <c r="E450" s="2">
        <v>0.14099999999999999</v>
      </c>
      <c r="F450" s="2">
        <f>100*E450/D450</f>
        <v>8.4888621312462362</v>
      </c>
      <c r="G450" s="7">
        <v>1</v>
      </c>
      <c r="I450" s="2">
        <f>(0.5/0.719)*D450</f>
        <v>1.1550764951321282</v>
      </c>
      <c r="J450" s="2">
        <f>(0.5/0.719)*E450</f>
        <v>9.8052851182197504E-2</v>
      </c>
    </row>
    <row r="451" spans="1:10" x14ac:dyDescent="0.2">
      <c r="B451">
        <v>113</v>
      </c>
      <c r="C451">
        <v>9</v>
      </c>
      <c r="D451" s="2">
        <v>2.6829999999999998</v>
      </c>
      <c r="E451" s="2">
        <v>0.182</v>
      </c>
      <c r="F451" s="2">
        <f>100*E451/D451</f>
        <v>6.7834513604174429</v>
      </c>
      <c r="G451" s="7">
        <v>1</v>
      </c>
      <c r="I451" s="2">
        <f>(0.5/0.719)*D451</f>
        <v>1.8657858136300418</v>
      </c>
      <c r="J451" s="2">
        <f>(0.5/0.719)*E451</f>
        <v>0.12656467315716274</v>
      </c>
    </row>
    <row r="452" spans="1:10" x14ac:dyDescent="0.2">
      <c r="B452">
        <v>114</v>
      </c>
      <c r="C452">
        <v>10</v>
      </c>
      <c r="D452" s="2">
        <v>1.1379999999999999</v>
      </c>
      <c r="E452" s="2">
        <v>0.09</v>
      </c>
      <c r="F452" s="2">
        <f>100*E452/D452</f>
        <v>7.9086115992970134</v>
      </c>
      <c r="G452" s="7">
        <v>1</v>
      </c>
      <c r="I452" s="2">
        <f>(0.5/0.719)*D452</f>
        <v>0.79137691237830321</v>
      </c>
      <c r="J452" s="2">
        <f>(0.5/0.719)*E452</f>
        <v>6.258692628650904E-2</v>
      </c>
    </row>
    <row r="453" spans="1:10" x14ac:dyDescent="0.2">
      <c r="B453">
        <v>115</v>
      </c>
      <c r="C453">
        <v>11</v>
      </c>
      <c r="D453" s="2">
        <v>2.1880000000000002</v>
      </c>
      <c r="E453" s="2">
        <f>0.083+0.089</f>
        <v>0.17199999999999999</v>
      </c>
      <c r="F453" s="2">
        <f>100*E453/D453</f>
        <v>7.8610603290676409</v>
      </c>
      <c r="G453" s="7">
        <v>1</v>
      </c>
      <c r="I453" s="2">
        <f>(0.5/0.719)*D453</f>
        <v>1.5215577190542422</v>
      </c>
      <c r="J453" s="2">
        <f>(0.5/0.719)*E453</f>
        <v>0.11961057023643951</v>
      </c>
    </row>
    <row r="454" spans="1:10" x14ac:dyDescent="0.2">
      <c r="B454">
        <v>116</v>
      </c>
      <c r="C454">
        <v>12</v>
      </c>
      <c r="D454" s="2">
        <v>2.1989999999999998</v>
      </c>
      <c r="E454" s="2">
        <v>0.16700000000000001</v>
      </c>
      <c r="F454" s="2">
        <f>100*E454/D454</f>
        <v>7.5943610732150981</v>
      </c>
      <c r="G454" s="7">
        <v>1</v>
      </c>
      <c r="I454" s="2">
        <f>(0.5/0.719)*D454</f>
        <v>1.5292072322670376</v>
      </c>
      <c r="J454" s="2">
        <f>(0.5/0.719)*E454</f>
        <v>0.1161335187760779</v>
      </c>
    </row>
    <row r="455" spans="1:10" x14ac:dyDescent="0.2">
      <c r="B455">
        <v>117</v>
      </c>
      <c r="C455">
        <v>13</v>
      </c>
      <c r="D455" s="2">
        <v>1.9159999999999999</v>
      </c>
      <c r="E455" s="2">
        <v>0.72899999999999998</v>
      </c>
      <c r="F455" s="2">
        <f>100*E455/D455</f>
        <v>38.048016701461378</v>
      </c>
      <c r="G455" s="7">
        <v>1</v>
      </c>
      <c r="I455" s="2">
        <f>(0.5/0.719)*D455</f>
        <v>1.3324061196105703</v>
      </c>
      <c r="J455" s="2">
        <f>(0.5/0.719)*E455</f>
        <v>0.50695410292072329</v>
      </c>
    </row>
    <row r="456" spans="1:10" x14ac:dyDescent="0.2">
      <c r="B456">
        <v>118</v>
      </c>
      <c r="C456">
        <v>14</v>
      </c>
      <c r="D456" s="2">
        <v>1.85</v>
      </c>
      <c r="E456" s="2">
        <v>0.124</v>
      </c>
      <c r="F456" s="2">
        <f>100*E456/D456</f>
        <v>6.7027027027027026</v>
      </c>
      <c r="G456" s="7">
        <v>1</v>
      </c>
      <c r="I456" s="2">
        <f>(0.5/0.719)*D456</f>
        <v>1.2865090403337971</v>
      </c>
      <c r="J456" s="2">
        <f>(0.5/0.719)*E456</f>
        <v>8.6230876216968025E-2</v>
      </c>
    </row>
    <row r="457" spans="1:10" x14ac:dyDescent="0.2">
      <c r="B457">
        <v>119</v>
      </c>
      <c r="C457">
        <v>15</v>
      </c>
      <c r="D457" s="2">
        <v>1.397</v>
      </c>
      <c r="E457" s="2">
        <v>0.32800000000000001</v>
      </c>
      <c r="F457" s="2">
        <f>100*E457/D457</f>
        <v>23.478883321403011</v>
      </c>
      <c r="G457" s="7">
        <v>1</v>
      </c>
      <c r="I457" s="2">
        <f>(0.5/0.719)*D457</f>
        <v>0.97148817802503484</v>
      </c>
      <c r="J457" s="2">
        <f>(0.5/0.719)*E457</f>
        <v>0.22809457579972187</v>
      </c>
    </row>
    <row r="458" spans="1:10" x14ac:dyDescent="0.2">
      <c r="B458">
        <v>120</v>
      </c>
      <c r="C458">
        <v>16</v>
      </c>
      <c r="D458" s="2">
        <v>2.2360000000000002</v>
      </c>
      <c r="E458" s="2">
        <f>0.103+0.212</f>
        <v>0.315</v>
      </c>
      <c r="F458" s="2">
        <f>100*E458/D458</f>
        <v>14.087656529516993</v>
      </c>
      <c r="G458" s="7">
        <v>1</v>
      </c>
      <c r="I458" s="2">
        <f>(0.5/0.719)*D458</f>
        <v>1.5549374130737137</v>
      </c>
      <c r="J458" s="2">
        <f>(0.5/0.719)*E458</f>
        <v>0.21905424200278167</v>
      </c>
    </row>
    <row r="459" spans="1:10" x14ac:dyDescent="0.2">
      <c r="B459">
        <v>121</v>
      </c>
      <c r="C459">
        <v>17</v>
      </c>
      <c r="D459" s="2">
        <v>1.536</v>
      </c>
      <c r="E459" s="2">
        <v>0.30099999999999999</v>
      </c>
      <c r="F459" s="2">
        <f>100*E459/D459</f>
        <v>19.596354166666664</v>
      </c>
      <c r="G459" s="7">
        <v>1</v>
      </c>
      <c r="I459" s="2">
        <f>(0.5/0.719)*D459</f>
        <v>1.0681502086230878</v>
      </c>
      <c r="J459" s="2">
        <f>(0.5/0.719)*E459</f>
        <v>0.20931849791376914</v>
      </c>
    </row>
    <row r="460" spans="1:10" x14ac:dyDescent="0.2">
      <c r="A460" t="s">
        <v>48</v>
      </c>
      <c r="B460">
        <v>122</v>
      </c>
      <c r="C460">
        <v>1</v>
      </c>
      <c r="D460" s="2">
        <v>2.6030000000000002</v>
      </c>
      <c r="E460" s="2">
        <v>0</v>
      </c>
      <c r="F460" s="2">
        <f>100*E460/D460</f>
        <v>0</v>
      </c>
      <c r="G460" s="7">
        <v>0</v>
      </c>
      <c r="H460" s="2">
        <f>8/10</f>
        <v>0.8</v>
      </c>
      <c r="I460" s="2">
        <f>(0.5/0.719)*D460</f>
        <v>1.8101529902642561</v>
      </c>
      <c r="J460" s="2">
        <f>(0.5/0.719)*E460</f>
        <v>0</v>
      </c>
    </row>
    <row r="461" spans="1:10" x14ac:dyDescent="0.2">
      <c r="B461">
        <v>123</v>
      </c>
      <c r="C461">
        <v>2</v>
      </c>
      <c r="D461" s="2">
        <v>2.577</v>
      </c>
      <c r="E461" s="2">
        <f>0.347+0.546+0.1</f>
        <v>0.99299999999999999</v>
      </c>
      <c r="F461" s="2">
        <f>100*E461/D461</f>
        <v>38.533178114086148</v>
      </c>
      <c r="G461" s="7">
        <v>1</v>
      </c>
      <c r="I461" s="2">
        <f>(0.5/0.719)*D461</f>
        <v>1.7920723226703756</v>
      </c>
      <c r="J461" s="2">
        <f>(0.5/0.719)*E461</f>
        <v>0.69054242002781652</v>
      </c>
    </row>
    <row r="462" spans="1:10" x14ac:dyDescent="0.2">
      <c r="B462">
        <v>124</v>
      </c>
      <c r="C462">
        <v>3</v>
      </c>
      <c r="D462" s="2">
        <v>3.06</v>
      </c>
      <c r="E462" s="2">
        <f>0.138+0.145</f>
        <v>0.28300000000000003</v>
      </c>
      <c r="F462" s="2">
        <f>100*E462/D462</f>
        <v>9.2483660130718963</v>
      </c>
      <c r="G462" s="7">
        <v>1</v>
      </c>
      <c r="I462" s="2">
        <f>(0.5/0.719)*D462</f>
        <v>2.1279554937413074</v>
      </c>
      <c r="J462" s="2">
        <f>(0.5/0.719)*E462</f>
        <v>0.19680111265646735</v>
      </c>
    </row>
    <row r="463" spans="1:10" x14ac:dyDescent="0.2">
      <c r="B463">
        <v>125</v>
      </c>
      <c r="C463">
        <v>4</v>
      </c>
      <c r="D463" s="2">
        <v>3.0129999999999999</v>
      </c>
      <c r="E463" s="2">
        <f>0.225+0.458</f>
        <v>0.68300000000000005</v>
      </c>
      <c r="F463" s="2">
        <f>100*E463/D463</f>
        <v>22.668436773979426</v>
      </c>
      <c r="G463" s="7">
        <v>1</v>
      </c>
      <c r="I463" s="2">
        <f>(0.5/0.719)*D463</f>
        <v>2.0952712100139084</v>
      </c>
      <c r="J463" s="2">
        <f>(0.5/0.719)*E463</f>
        <v>0.47496522948539649</v>
      </c>
    </row>
    <row r="464" spans="1:10" x14ac:dyDescent="0.2">
      <c r="B464">
        <v>126</v>
      </c>
      <c r="C464">
        <v>5</v>
      </c>
      <c r="D464" s="2">
        <v>1.6839999999999999</v>
      </c>
      <c r="E464" s="2">
        <v>0.11799999999999999</v>
      </c>
      <c r="F464" s="2">
        <f>100*E464/D464</f>
        <v>7.0071258907363418</v>
      </c>
      <c r="G464" s="7">
        <v>1</v>
      </c>
      <c r="I464" s="2">
        <f>(0.5/0.719)*D464</f>
        <v>1.1710709318497914</v>
      </c>
      <c r="J464" s="2">
        <f>(0.5/0.719)*E464</f>
        <v>8.2058414464534074E-2</v>
      </c>
    </row>
    <row r="465" spans="1:10" x14ac:dyDescent="0.2">
      <c r="B465">
        <v>127</v>
      </c>
      <c r="C465">
        <v>6</v>
      </c>
      <c r="D465" s="2">
        <v>2.6829999999999998</v>
      </c>
      <c r="E465" s="2">
        <v>0.35699999999999998</v>
      </c>
      <c r="F465" s="2">
        <f>100*E465/D465</f>
        <v>13.306000745434215</v>
      </c>
      <c r="G465" s="7">
        <v>1</v>
      </c>
      <c r="I465" s="2">
        <f>(0.5/0.719)*D465</f>
        <v>1.8657858136300418</v>
      </c>
      <c r="J465" s="2">
        <f>(0.5/0.719)*E465</f>
        <v>0.2482614742698192</v>
      </c>
    </row>
    <row r="466" spans="1:10" x14ac:dyDescent="0.2">
      <c r="B466">
        <v>128</v>
      </c>
      <c r="C466">
        <v>7</v>
      </c>
      <c r="D466" s="2">
        <v>2.617</v>
      </c>
      <c r="E466" s="2">
        <v>0.28699999999999998</v>
      </c>
      <c r="F466" s="2">
        <f>100*E466/D466</f>
        <v>10.966755827283148</v>
      </c>
      <c r="G466" s="7">
        <v>1</v>
      </c>
      <c r="I466" s="2">
        <f>(0.5/0.719)*D466</f>
        <v>1.8198887343532686</v>
      </c>
      <c r="J466" s="2">
        <f>(0.5/0.719)*E466</f>
        <v>0.19958275382475663</v>
      </c>
    </row>
    <row r="467" spans="1:10" x14ac:dyDescent="0.2">
      <c r="B467">
        <v>129</v>
      </c>
      <c r="C467">
        <v>8</v>
      </c>
      <c r="D467" s="2">
        <v>1.3160000000000001</v>
      </c>
      <c r="E467" s="2">
        <v>8.3000000000000004E-2</v>
      </c>
      <c r="F467" s="2">
        <f>100*E467/D467</f>
        <v>6.306990881458967</v>
      </c>
      <c r="G467" s="7">
        <v>1</v>
      </c>
      <c r="I467" s="2">
        <f>(0.5/0.719)*D467</f>
        <v>0.91515994436717674</v>
      </c>
      <c r="J467" s="2">
        <f>(0.5/0.719)*E467</f>
        <v>5.7719054242002792E-2</v>
      </c>
    </row>
    <row r="468" spans="1:10" x14ac:dyDescent="0.2">
      <c r="B468">
        <v>130</v>
      </c>
      <c r="C468">
        <v>9</v>
      </c>
      <c r="D468" s="2">
        <v>2.3180000000000001</v>
      </c>
      <c r="E468" s="2">
        <v>0</v>
      </c>
      <c r="F468" s="2">
        <f>100*E468/D468</f>
        <v>0</v>
      </c>
      <c r="G468" s="7">
        <v>0</v>
      </c>
      <c r="I468" s="2">
        <f>(0.5/0.719)*D468</f>
        <v>1.6119610570236442</v>
      </c>
      <c r="J468" s="2">
        <f>(0.5/0.719)*E468</f>
        <v>0</v>
      </c>
    </row>
    <row r="469" spans="1:10" x14ac:dyDescent="0.2">
      <c r="B469">
        <v>131</v>
      </c>
      <c r="C469">
        <v>10</v>
      </c>
      <c r="D469" s="2">
        <v>3.5019999999999998</v>
      </c>
      <c r="E469" s="2">
        <f>0.196+0.167</f>
        <v>0.36299999999999999</v>
      </c>
      <c r="F469" s="2">
        <f>100*E469/D469</f>
        <v>10.365505425471159</v>
      </c>
      <c r="G469" s="7">
        <v>1</v>
      </c>
      <c r="I469" s="2">
        <f>(0.5/0.719)*D469</f>
        <v>2.4353268428372741</v>
      </c>
      <c r="J469" s="2">
        <f>(0.5/0.719)*E469</f>
        <v>0.25243393602225317</v>
      </c>
    </row>
    <row r="471" spans="1:10" x14ac:dyDescent="0.2">
      <c r="C471" t="s">
        <v>1</v>
      </c>
      <c r="D471" s="2">
        <f>AVERAGE(D339:D469)</f>
        <v>2.5008702290076337</v>
      </c>
      <c r="E471" s="2">
        <f>AVERAGE(E339:E469)</f>
        <v>0.33885496183206121</v>
      </c>
      <c r="F471" s="2">
        <f>AVERAGE(F339:F469)</f>
        <v>13.306245316798291</v>
      </c>
      <c r="G471" s="2"/>
      <c r="H471" s="2">
        <f>AVERAGE(H339:H469)</f>
        <v>0.87999916749916751</v>
      </c>
      <c r="I471" s="2">
        <f>AVERAGE(I339:I469)</f>
        <v>1.7391308963891747</v>
      </c>
      <c r="J471" s="2">
        <f>AVERAGE(J339:J469)</f>
        <v>0.23564322797778933</v>
      </c>
    </row>
    <row r="472" spans="1:10" x14ac:dyDescent="0.2">
      <c r="C472" t="s">
        <v>0</v>
      </c>
      <c r="D472" s="2">
        <f>STDEV(D339:D469)</f>
        <v>1.0215241658871721</v>
      </c>
      <c r="E472" s="2">
        <f>STDEV(E339:E469)</f>
        <v>0.30800322481172415</v>
      </c>
      <c r="F472" s="2">
        <f>STDEV(F339:F469)</f>
        <v>10.364732132561898</v>
      </c>
      <c r="G472" s="2"/>
      <c r="H472" s="2">
        <f>STDEV(H339:H469)</f>
        <v>0.12229535256159077</v>
      </c>
      <c r="I472" s="2">
        <f>STDEV(I339:I469)</f>
        <v>0.71037841855853667</v>
      </c>
      <c r="J472" s="2">
        <f>STDEV(J339:J469)</f>
        <v>0.2141886125255385</v>
      </c>
    </row>
    <row r="474" spans="1:10" x14ac:dyDescent="0.2">
      <c r="A474" t="s">
        <v>113</v>
      </c>
    </row>
    <row r="475" spans="1:10" x14ac:dyDescent="0.2">
      <c r="A475" s="5" t="s">
        <v>95</v>
      </c>
      <c r="B475" s="5" t="s">
        <v>23</v>
      </c>
      <c r="C475" s="5" t="s">
        <v>22</v>
      </c>
      <c r="D475" s="4" t="s">
        <v>94</v>
      </c>
      <c r="E475" s="4" t="s">
        <v>93</v>
      </c>
      <c r="F475" s="4" t="s">
        <v>91</v>
      </c>
      <c r="G475" s="8" t="s">
        <v>173</v>
      </c>
      <c r="H475" s="4" t="s">
        <v>172</v>
      </c>
      <c r="I475" s="4" t="s">
        <v>92</v>
      </c>
      <c r="J475" s="4" t="s">
        <v>171</v>
      </c>
    </row>
    <row r="476" spans="1:10" x14ac:dyDescent="0.2">
      <c r="A476" t="s">
        <v>112</v>
      </c>
      <c r="B476">
        <v>1</v>
      </c>
      <c r="C476">
        <v>1</v>
      </c>
      <c r="D476" s="2">
        <v>2.1459999999999999</v>
      </c>
      <c r="E476" s="2">
        <v>0.151</v>
      </c>
      <c r="F476" s="2">
        <f>100*E476/D476</f>
        <v>7.0363466915191051</v>
      </c>
      <c r="G476" s="7">
        <v>1</v>
      </c>
      <c r="H476" s="2">
        <v>1</v>
      </c>
      <c r="I476" s="2">
        <f>(0.5/0.719)*D476</f>
        <v>1.4923504867872046</v>
      </c>
      <c r="J476" s="2">
        <f>(0.5/0.719)*E476</f>
        <v>0.10500695410292073</v>
      </c>
    </row>
    <row r="477" spans="1:10" x14ac:dyDescent="0.2">
      <c r="B477">
        <v>2</v>
      </c>
      <c r="C477">
        <v>2</v>
      </c>
      <c r="D477" s="2">
        <v>2.5990000000000002</v>
      </c>
      <c r="E477" s="2">
        <f>0.843+0.076</f>
        <v>0.91899999999999993</v>
      </c>
      <c r="F477" s="2">
        <f>100*E477/D477</f>
        <v>35.359753751442859</v>
      </c>
      <c r="G477" s="7">
        <v>1</v>
      </c>
      <c r="I477" s="2">
        <f>(0.5/0.719)*D477</f>
        <v>1.8073713490959669</v>
      </c>
      <c r="J477" s="2">
        <f>(0.5/0.719)*E477</f>
        <v>0.63908205841446453</v>
      </c>
    </row>
    <row r="478" spans="1:10" x14ac:dyDescent="0.2">
      <c r="B478">
        <v>3</v>
      </c>
      <c r="C478">
        <v>3</v>
      </c>
      <c r="D478" s="2">
        <v>2.5390000000000001</v>
      </c>
      <c r="E478" s="2">
        <v>0.13300000000000001</v>
      </c>
      <c r="F478" s="2">
        <f>100*E478/D478</f>
        <v>5.2382827884994088</v>
      </c>
      <c r="G478" s="7">
        <v>1</v>
      </c>
      <c r="I478" s="2">
        <f>(0.5/0.719)*D478</f>
        <v>1.7656467315716275</v>
      </c>
      <c r="J478" s="2">
        <f>(0.5/0.719)*E478</f>
        <v>9.248956884561893E-2</v>
      </c>
    </row>
    <row r="479" spans="1:10" x14ac:dyDescent="0.2">
      <c r="B479">
        <v>4</v>
      </c>
      <c r="C479">
        <v>4</v>
      </c>
      <c r="D479" s="2">
        <v>2.7909999999999999</v>
      </c>
      <c r="E479" s="2">
        <v>0.20699999999999999</v>
      </c>
      <c r="F479" s="2">
        <f>100*E479/D479</f>
        <v>7.4166965245431742</v>
      </c>
      <c r="G479" s="7">
        <v>1</v>
      </c>
      <c r="I479" s="2">
        <f>(0.5/0.719)*D479</f>
        <v>1.9408901251738526</v>
      </c>
      <c r="J479" s="2">
        <f>(0.5/0.719)*E479</f>
        <v>0.14394993045897081</v>
      </c>
    </row>
    <row r="480" spans="1:10" x14ac:dyDescent="0.2">
      <c r="B480">
        <v>5</v>
      </c>
      <c r="C480">
        <v>5</v>
      </c>
      <c r="D480" s="2">
        <v>1.8839999999999999</v>
      </c>
      <c r="E480" s="2">
        <f>0.1076+0.16</f>
        <v>0.2676</v>
      </c>
      <c r="F480" s="2">
        <f>100*E480/D480</f>
        <v>14.203821656050957</v>
      </c>
      <c r="G480" s="7">
        <v>1</v>
      </c>
      <c r="I480" s="2">
        <f>(0.5/0.719)*D480</f>
        <v>1.3101529902642559</v>
      </c>
      <c r="J480" s="2">
        <f>(0.5/0.719)*E480</f>
        <v>0.18609179415855356</v>
      </c>
    </row>
    <row r="481" spans="1:10" x14ac:dyDescent="0.2">
      <c r="B481">
        <v>6</v>
      </c>
      <c r="C481">
        <v>6</v>
      </c>
      <c r="D481" s="2">
        <v>6.3140000000000001</v>
      </c>
      <c r="E481" s="2">
        <f>0.409+0.259+0.462+0.58+0.193</f>
        <v>1.903</v>
      </c>
      <c r="F481" s="2">
        <f>100*E481/D481</f>
        <v>30.139372822299652</v>
      </c>
      <c r="G481" s="7">
        <v>1</v>
      </c>
      <c r="I481" s="2">
        <f>(0.5/0.719)*D481</f>
        <v>4.3908205841446462</v>
      </c>
      <c r="J481" s="2">
        <f>(0.5/0.719)*E481</f>
        <v>1.3233657858136303</v>
      </c>
    </row>
    <row r="482" spans="1:10" x14ac:dyDescent="0.2">
      <c r="A482" t="s">
        <v>104</v>
      </c>
      <c r="B482">
        <v>7</v>
      </c>
      <c r="C482">
        <v>1</v>
      </c>
      <c r="D482" s="2">
        <v>1.6020000000000001</v>
      </c>
      <c r="E482" s="2">
        <f>0.075+0.228</f>
        <v>0.30299999999999999</v>
      </c>
      <c r="F482" s="2">
        <f>100*E482/D482</f>
        <v>18.91385767790262</v>
      </c>
      <c r="G482" s="7">
        <v>1</v>
      </c>
      <c r="H482" s="2">
        <f>3/6</f>
        <v>0.5</v>
      </c>
      <c r="I482" s="2">
        <f>(0.5/0.719)*D482</f>
        <v>1.1140472878998611</v>
      </c>
      <c r="J482" s="2">
        <f>(0.5/0.719)*E482</f>
        <v>0.21070931849791377</v>
      </c>
    </row>
    <row r="483" spans="1:10" x14ac:dyDescent="0.2">
      <c r="B483">
        <v>8</v>
      </c>
      <c r="C483">
        <v>2</v>
      </c>
      <c r="D483" s="2">
        <v>2.1000000000000001E-2</v>
      </c>
      <c r="E483" s="2">
        <v>0</v>
      </c>
      <c r="F483" s="2">
        <f>100*E483/D483</f>
        <v>0</v>
      </c>
      <c r="G483" s="7">
        <v>0</v>
      </c>
      <c r="I483" s="2">
        <f>(0.5/0.719)*D483</f>
        <v>1.4603616133518779E-2</v>
      </c>
      <c r="J483" s="2">
        <f>(0.5/0.719)*E483</f>
        <v>0</v>
      </c>
    </row>
    <row r="484" spans="1:10" x14ac:dyDescent="0.2">
      <c r="B484">
        <v>9</v>
      </c>
      <c r="C484">
        <v>3</v>
      </c>
      <c r="D484" s="2">
        <v>1.63</v>
      </c>
      <c r="E484" s="2">
        <v>0.125</v>
      </c>
      <c r="F484" s="2">
        <f>100*E484/D484</f>
        <v>7.6687116564417179</v>
      </c>
      <c r="G484" s="7">
        <v>1</v>
      </c>
      <c r="I484" s="2">
        <f>(0.5/0.719)*D484</f>
        <v>1.133518776077886</v>
      </c>
      <c r="J484" s="2">
        <f>(0.5/0.719)*E484</f>
        <v>8.6926286509040343E-2</v>
      </c>
    </row>
    <row r="485" spans="1:10" x14ac:dyDescent="0.2">
      <c r="B485">
        <v>10</v>
      </c>
      <c r="C485">
        <v>4</v>
      </c>
      <c r="D485" s="2">
        <v>1.6539999999999999</v>
      </c>
      <c r="E485" s="2">
        <v>0</v>
      </c>
      <c r="F485" s="2">
        <f>100*E485/D485</f>
        <v>0</v>
      </c>
      <c r="G485" s="7">
        <v>0</v>
      </c>
      <c r="I485" s="2">
        <f>(0.5/0.719)*D485</f>
        <v>1.1502086230876218</v>
      </c>
      <c r="J485" s="2">
        <f>(0.5/0.719)*E485</f>
        <v>0</v>
      </c>
    </row>
    <row r="486" spans="1:10" x14ac:dyDescent="0.2">
      <c r="B486">
        <v>11</v>
      </c>
      <c r="C486">
        <v>5</v>
      </c>
      <c r="D486" s="2">
        <v>1.103</v>
      </c>
      <c r="E486" s="2">
        <v>0</v>
      </c>
      <c r="F486" s="2">
        <f>100*E486/D486</f>
        <v>0</v>
      </c>
      <c r="G486" s="7">
        <v>0</v>
      </c>
      <c r="I486" s="2">
        <f>(0.5/0.719)*D486</f>
        <v>0.76703755215577196</v>
      </c>
      <c r="J486" s="2">
        <f>(0.5/0.719)*E486</f>
        <v>0</v>
      </c>
    </row>
    <row r="487" spans="1:10" x14ac:dyDescent="0.2">
      <c r="B487">
        <v>12</v>
      </c>
      <c r="C487">
        <v>6</v>
      </c>
      <c r="D487" s="2">
        <v>3.8210000000000002</v>
      </c>
      <c r="E487" s="2">
        <f>0.284+0.276+0.71</f>
        <v>1.27</v>
      </c>
      <c r="F487" s="2">
        <f>100*E487/D487</f>
        <v>33.23737241559801</v>
      </c>
      <c r="G487" s="7">
        <v>1</v>
      </c>
      <c r="I487" s="2">
        <f>(0.5/0.719)*D487</f>
        <v>2.6571627260083455</v>
      </c>
      <c r="J487" s="2">
        <f>(0.5/0.719)*E487</f>
        <v>0.88317107093184988</v>
      </c>
    </row>
    <row r="488" spans="1:10" x14ac:dyDescent="0.2">
      <c r="A488" t="s">
        <v>103</v>
      </c>
      <c r="B488">
        <v>13</v>
      </c>
      <c r="C488">
        <v>1</v>
      </c>
      <c r="D488" s="2">
        <v>2.661</v>
      </c>
      <c r="E488" s="2">
        <f>0.283+0.242+0.118</f>
        <v>0.6429999999999999</v>
      </c>
      <c r="F488" s="2">
        <f>100*E488/D488</f>
        <v>24.163848177376924</v>
      </c>
      <c r="G488" s="7">
        <v>1</v>
      </c>
      <c r="H488" s="2">
        <v>1</v>
      </c>
      <c r="I488" s="2">
        <f>(0.5/0.719)*D488</f>
        <v>1.8504867872044508</v>
      </c>
      <c r="J488" s="2">
        <f>(0.5/0.719)*E488</f>
        <v>0.44714881780250348</v>
      </c>
    </row>
    <row r="489" spans="1:10" x14ac:dyDescent="0.2">
      <c r="B489">
        <v>14</v>
      </c>
      <c r="C489">
        <v>2</v>
      </c>
      <c r="D489" s="2">
        <v>4.5549999999999997</v>
      </c>
      <c r="E489" s="2">
        <f>0.435+0.43+0.091+0.15+0.285</f>
        <v>1.3909999999999998</v>
      </c>
      <c r="F489" s="2">
        <f>100*E489/D489</f>
        <v>30.537870472008777</v>
      </c>
      <c r="G489" s="7">
        <v>1</v>
      </c>
      <c r="I489" s="2">
        <f>(0.5/0.719)*D489</f>
        <v>3.1675938803894299</v>
      </c>
      <c r="J489" s="2">
        <f>(0.5/0.719)*E489</f>
        <v>0.96731571627260082</v>
      </c>
    </row>
    <row r="490" spans="1:10" x14ac:dyDescent="0.2">
      <c r="B490">
        <v>15</v>
      </c>
      <c r="C490">
        <v>3</v>
      </c>
      <c r="D490" s="2">
        <v>1.726</v>
      </c>
      <c r="E490" s="2">
        <v>0.28000000000000003</v>
      </c>
      <c r="F490" s="2">
        <f>100*E490/D490</f>
        <v>16.222479721900349</v>
      </c>
      <c r="G490" s="7">
        <v>1</v>
      </c>
      <c r="I490" s="2">
        <f>(0.5/0.719)*D490</f>
        <v>1.200278164116829</v>
      </c>
      <c r="J490" s="2">
        <f>(0.5/0.719)*E490</f>
        <v>0.1947148817802504</v>
      </c>
    </row>
    <row r="491" spans="1:10" x14ac:dyDescent="0.2">
      <c r="B491">
        <v>16</v>
      </c>
      <c r="C491">
        <v>4</v>
      </c>
      <c r="D491" s="2">
        <v>1.9039999999999999</v>
      </c>
      <c r="E491" s="2">
        <f>0.299+0.515</f>
        <v>0.81400000000000006</v>
      </c>
      <c r="F491" s="2">
        <f>100*E491/D491</f>
        <v>42.752100840336141</v>
      </c>
      <c r="G491" s="7">
        <v>1</v>
      </c>
      <c r="I491" s="2">
        <f>(0.5/0.719)*D491</f>
        <v>1.3240611961057025</v>
      </c>
      <c r="J491" s="2">
        <f>(0.5/0.719)*E491</f>
        <v>0.56606397774687078</v>
      </c>
    </row>
    <row r="492" spans="1:10" x14ac:dyDescent="0.2">
      <c r="B492">
        <v>17</v>
      </c>
      <c r="C492">
        <v>5</v>
      </c>
      <c r="D492" s="2">
        <v>1.512</v>
      </c>
      <c r="E492" s="2">
        <f>0.46+0.243</f>
        <v>0.70300000000000007</v>
      </c>
      <c r="F492" s="2">
        <f>100*E492/D492</f>
        <v>46.494708994709001</v>
      </c>
      <c r="G492" s="7">
        <v>1</v>
      </c>
      <c r="I492" s="2">
        <f>(0.5/0.719)*D492</f>
        <v>1.051460361613352</v>
      </c>
      <c r="J492" s="2">
        <f>(0.5/0.719)*E492</f>
        <v>0.48887343532684296</v>
      </c>
    </row>
    <row r="493" spans="1:10" x14ac:dyDescent="0.2">
      <c r="B493">
        <v>18</v>
      </c>
      <c r="C493">
        <v>6</v>
      </c>
      <c r="D493" s="2">
        <v>3.875</v>
      </c>
      <c r="E493" s="2">
        <v>0.22500000000000001</v>
      </c>
      <c r="F493" s="2">
        <f>100*E493/D493</f>
        <v>5.806451612903226</v>
      </c>
      <c r="G493" s="7">
        <v>1</v>
      </c>
      <c r="I493" s="2">
        <f>(0.5/0.719)*D493</f>
        <v>2.6947148817802504</v>
      </c>
      <c r="J493" s="2">
        <f>(0.5/0.719)*E493</f>
        <v>0.15646731571627262</v>
      </c>
    </row>
    <row r="494" spans="1:10" x14ac:dyDescent="0.2">
      <c r="B494">
        <v>19</v>
      </c>
      <c r="C494">
        <v>7</v>
      </c>
      <c r="D494" s="2">
        <v>2.7120000000000002</v>
      </c>
      <c r="E494" s="2">
        <f>0.116+0.322+0.229+0.499</f>
        <v>1.1659999999999999</v>
      </c>
      <c r="F494" s="2">
        <f>100*E494/D494</f>
        <v>42.994100294985245</v>
      </c>
      <c r="G494" s="7">
        <v>1</v>
      </c>
      <c r="I494" s="2">
        <f>(0.5/0.719)*D494</f>
        <v>1.8859527121001394</v>
      </c>
      <c r="J494" s="2">
        <f>(0.5/0.719)*E494</f>
        <v>0.81084840055632823</v>
      </c>
    </row>
    <row r="495" spans="1:10" x14ac:dyDescent="0.2">
      <c r="B495">
        <v>20</v>
      </c>
      <c r="C495">
        <v>8</v>
      </c>
      <c r="D495" s="2">
        <v>2.6579999999999999</v>
      </c>
      <c r="E495" s="2">
        <f>0.545+0.113+0.337</f>
        <v>0.99500000000000011</v>
      </c>
      <c r="F495" s="2">
        <f>100*E495/D495</f>
        <v>37.434161023325814</v>
      </c>
      <c r="G495" s="7">
        <v>1</v>
      </c>
      <c r="I495" s="2">
        <f>(0.5/0.719)*D495</f>
        <v>1.8484005563282337</v>
      </c>
      <c r="J495" s="2">
        <f>(0.5/0.719)*E495</f>
        <v>0.69193324061196115</v>
      </c>
    </row>
    <row r="496" spans="1:10" x14ac:dyDescent="0.2">
      <c r="A496" t="s">
        <v>102</v>
      </c>
      <c r="B496">
        <v>21</v>
      </c>
      <c r="C496">
        <v>1</v>
      </c>
      <c r="D496" s="2">
        <v>4.7210000000000001</v>
      </c>
      <c r="E496" s="2">
        <f>0.286+0.215+0.287+0.152</f>
        <v>0.94000000000000006</v>
      </c>
      <c r="F496" s="2">
        <f>100*E496/D496</f>
        <v>19.911035797500528</v>
      </c>
      <c r="G496" s="7">
        <v>1</v>
      </c>
      <c r="H496" s="2">
        <v>1</v>
      </c>
      <c r="I496" s="2">
        <f>(0.5/0.719)*D496</f>
        <v>3.2830319888734358</v>
      </c>
      <c r="J496" s="2">
        <f>(0.5/0.719)*E496</f>
        <v>0.65368567454798343</v>
      </c>
    </row>
    <row r="497" spans="1:10" x14ac:dyDescent="0.2">
      <c r="B497">
        <v>22</v>
      </c>
      <c r="C497">
        <v>2</v>
      </c>
      <c r="D497" s="2">
        <v>1.536</v>
      </c>
      <c r="E497" s="2">
        <f>0.105+0.103</f>
        <v>0.20799999999999999</v>
      </c>
      <c r="F497" s="2">
        <f>100*E497/D497</f>
        <v>13.541666666666666</v>
      </c>
      <c r="G497" s="7">
        <v>1</v>
      </c>
      <c r="I497" s="2">
        <f>(0.5/0.719)*D497</f>
        <v>1.0681502086230878</v>
      </c>
      <c r="J497" s="2">
        <f>(0.5/0.719)*E497</f>
        <v>0.14464534075104313</v>
      </c>
    </row>
    <row r="498" spans="1:10" x14ac:dyDescent="0.2">
      <c r="B498">
        <v>23</v>
      </c>
      <c r="C498">
        <v>3</v>
      </c>
      <c r="D498" s="2">
        <v>1.355</v>
      </c>
      <c r="E498" s="2">
        <v>0.2</v>
      </c>
      <c r="F498" s="2">
        <f>100*E498/D498</f>
        <v>14.760147601476016</v>
      </c>
      <c r="G498" s="7">
        <v>1</v>
      </c>
      <c r="I498" s="2">
        <f>(0.5/0.719)*D498</f>
        <v>0.94228094575799726</v>
      </c>
      <c r="J498" s="2">
        <f>(0.5/0.719)*E498</f>
        <v>0.13908205841446455</v>
      </c>
    </row>
    <row r="499" spans="1:10" x14ac:dyDescent="0.2">
      <c r="B499">
        <v>24</v>
      </c>
      <c r="C499">
        <v>4</v>
      </c>
      <c r="D499" s="2">
        <v>1.3919999999999999</v>
      </c>
      <c r="E499" s="2">
        <f>0.055+0.266</f>
        <v>0.32100000000000001</v>
      </c>
      <c r="F499" s="2">
        <f>100*E499/D499</f>
        <v>23.06034482758621</v>
      </c>
      <c r="G499" s="7">
        <v>1</v>
      </c>
      <c r="I499" s="2">
        <f>(0.5/0.719)*D499</f>
        <v>0.96801112656467314</v>
      </c>
      <c r="J499" s="2">
        <f>(0.5/0.719)*E499</f>
        <v>0.22322670375521561</v>
      </c>
    </row>
    <row r="500" spans="1:10" x14ac:dyDescent="0.2">
      <c r="B500">
        <v>25</v>
      </c>
      <c r="C500">
        <v>5</v>
      </c>
      <c r="D500" s="2">
        <v>2.7120000000000002</v>
      </c>
      <c r="E500" s="2">
        <v>0.36499999999999999</v>
      </c>
      <c r="F500" s="2">
        <f>100*E500/D500</f>
        <v>13.458702064896753</v>
      </c>
      <c r="G500" s="7">
        <v>1</v>
      </c>
      <c r="I500" s="2">
        <f>(0.5/0.719)*D500</f>
        <v>1.8859527121001394</v>
      </c>
      <c r="J500" s="2">
        <f>(0.5/0.719)*E500</f>
        <v>0.25382475660639781</v>
      </c>
    </row>
    <row r="501" spans="1:10" x14ac:dyDescent="0.2">
      <c r="B501">
        <v>26</v>
      </c>
      <c r="C501">
        <v>6</v>
      </c>
      <c r="D501" s="2">
        <v>2.754</v>
      </c>
      <c r="E501" s="2">
        <f>0.669+0.636</f>
        <v>1.3050000000000002</v>
      </c>
      <c r="F501" s="2">
        <f>100*E501/D501</f>
        <v>47.385620915032689</v>
      </c>
      <c r="G501" s="7">
        <v>1</v>
      </c>
      <c r="I501" s="2">
        <f>(0.5/0.719)*D501</f>
        <v>1.9151599443671767</v>
      </c>
      <c r="J501" s="2">
        <f>(0.5/0.719)*E501</f>
        <v>0.90751043115438135</v>
      </c>
    </row>
    <row r="502" spans="1:10" x14ac:dyDescent="0.2">
      <c r="B502">
        <v>27</v>
      </c>
      <c r="C502">
        <v>7</v>
      </c>
      <c r="D502" s="2">
        <v>3.198</v>
      </c>
      <c r="E502" s="2">
        <f>0.353+0.315+0.194</f>
        <v>0.86199999999999988</v>
      </c>
      <c r="F502" s="2">
        <f>100*E502/D502</f>
        <v>26.954346466541587</v>
      </c>
      <c r="G502" s="7">
        <v>1</v>
      </c>
      <c r="I502" s="2">
        <f>(0.5/0.719)*D502</f>
        <v>2.223922114047288</v>
      </c>
      <c r="J502" s="2">
        <f>(0.5/0.719)*E502</f>
        <v>0.59944367176634217</v>
      </c>
    </row>
    <row r="503" spans="1:10" x14ac:dyDescent="0.2">
      <c r="B503">
        <v>28</v>
      </c>
      <c r="C503">
        <v>8</v>
      </c>
      <c r="D503" s="2">
        <v>3.9649999999999999</v>
      </c>
      <c r="E503" s="2">
        <f>0.443+0.141</f>
        <v>0.58399999999999996</v>
      </c>
      <c r="F503" s="2">
        <f>100*E503/D503</f>
        <v>14.728877679697352</v>
      </c>
      <c r="G503" s="7">
        <v>1</v>
      </c>
      <c r="I503" s="2">
        <f>(0.5/0.719)*D503</f>
        <v>2.7573018080667597</v>
      </c>
      <c r="J503" s="2">
        <f>(0.5/0.719)*E503</f>
        <v>0.40611961057023643</v>
      </c>
    </row>
    <row r="504" spans="1:10" x14ac:dyDescent="0.2">
      <c r="A504" t="s">
        <v>101</v>
      </c>
      <c r="B504">
        <v>29</v>
      </c>
      <c r="C504">
        <v>1</v>
      </c>
      <c r="D504" s="2">
        <v>3.1930000000000001</v>
      </c>
      <c r="E504" s="2">
        <f>0.117+0.28</f>
        <v>0.39700000000000002</v>
      </c>
      <c r="F504" s="2">
        <f>100*E504/D504</f>
        <v>12.43344816786721</v>
      </c>
      <c r="G504" s="7">
        <v>1</v>
      </c>
      <c r="H504" s="2">
        <v>1</v>
      </c>
      <c r="I504" s="2">
        <f>(0.5/0.719)*D504</f>
        <v>2.2204450625869265</v>
      </c>
      <c r="J504" s="2">
        <f>(0.5/0.719)*E504</f>
        <v>0.27607788595271215</v>
      </c>
    </row>
    <row r="505" spans="1:10" x14ac:dyDescent="0.2">
      <c r="B505">
        <v>30</v>
      </c>
      <c r="C505">
        <v>2</v>
      </c>
      <c r="D505" s="2">
        <v>2.9289999999999998</v>
      </c>
      <c r="E505" s="2">
        <v>0</v>
      </c>
      <c r="F505" s="2">
        <f>100*E505/D505</f>
        <v>0</v>
      </c>
      <c r="G505" s="7">
        <v>0</v>
      </c>
      <c r="I505" s="2">
        <f>(0.5/0.719)*D505</f>
        <v>2.0368567454798332</v>
      </c>
      <c r="J505" s="2">
        <f>(0.5/0.719)*E505</f>
        <v>0</v>
      </c>
    </row>
    <row r="506" spans="1:10" x14ac:dyDescent="0.2">
      <c r="B506">
        <v>31</v>
      </c>
      <c r="C506">
        <v>3</v>
      </c>
      <c r="D506" s="2">
        <v>1.585</v>
      </c>
      <c r="E506" s="2">
        <v>0.14299999999999999</v>
      </c>
      <c r="F506" s="2">
        <f>100*E506/D506</f>
        <v>9.0220820189274438</v>
      </c>
      <c r="G506" s="7">
        <v>1</v>
      </c>
      <c r="I506" s="2">
        <f>(0.5/0.719)*D506</f>
        <v>1.1022253129346316</v>
      </c>
      <c r="J506" s="2">
        <f>(0.5/0.719)*E506</f>
        <v>9.944367176634214E-2</v>
      </c>
    </row>
    <row r="507" spans="1:10" x14ac:dyDescent="0.2">
      <c r="B507">
        <v>32</v>
      </c>
      <c r="C507">
        <v>4</v>
      </c>
      <c r="D507" s="2">
        <v>3.6440000000000001</v>
      </c>
      <c r="E507" s="2">
        <f>0.459+0.231</f>
        <v>0.69000000000000006</v>
      </c>
      <c r="F507" s="2">
        <f>100*E507/D507</f>
        <v>18.935236004390777</v>
      </c>
      <c r="G507" s="7">
        <v>1</v>
      </c>
      <c r="I507" s="2">
        <f>(0.5/0.719)*D507</f>
        <v>2.5340751043115444</v>
      </c>
      <c r="J507" s="2">
        <f>(0.5/0.719)*E507</f>
        <v>0.47983310152990272</v>
      </c>
    </row>
    <row r="508" spans="1:10" x14ac:dyDescent="0.2">
      <c r="B508">
        <v>33</v>
      </c>
      <c r="C508">
        <v>5</v>
      </c>
      <c r="D508" s="2">
        <v>1.784</v>
      </c>
      <c r="E508" s="2">
        <v>0.26400000000000001</v>
      </c>
      <c r="F508" s="2">
        <f>100*E508/D508</f>
        <v>14.798206278026907</v>
      </c>
      <c r="G508" s="7">
        <v>1</v>
      </c>
      <c r="I508" s="2">
        <f>(0.5/0.719)*D508</f>
        <v>1.2406119610570239</v>
      </c>
      <c r="J508" s="2">
        <f>(0.5/0.719)*E508</f>
        <v>0.18358831710709322</v>
      </c>
    </row>
    <row r="509" spans="1:10" x14ac:dyDescent="0.2">
      <c r="A509" t="s">
        <v>100</v>
      </c>
      <c r="B509">
        <v>34</v>
      </c>
      <c r="C509">
        <v>1</v>
      </c>
      <c r="D509" s="2">
        <v>1.288</v>
      </c>
      <c r="E509" s="2">
        <f>0.213+0.496</f>
        <v>0.70899999999999996</v>
      </c>
      <c r="F509" s="2">
        <f>100*E509/D509</f>
        <v>55.046583850931668</v>
      </c>
      <c r="G509" s="7">
        <v>1</v>
      </c>
      <c r="H509" s="2">
        <v>1</v>
      </c>
      <c r="I509" s="2">
        <f>(0.5/0.719)*D509</f>
        <v>0.89568845618915172</v>
      </c>
      <c r="J509" s="2">
        <f>(0.5/0.719)*E509</f>
        <v>0.49304589707927682</v>
      </c>
    </row>
    <row r="510" spans="1:10" x14ac:dyDescent="0.2">
      <c r="B510">
        <v>35</v>
      </c>
      <c r="C510">
        <v>2</v>
      </c>
      <c r="D510" s="2">
        <v>1.5189999999999999</v>
      </c>
      <c r="E510" s="2">
        <v>1.0429999999999999</v>
      </c>
      <c r="F510" s="2">
        <f>100*E510/D510</f>
        <v>68.663594470046078</v>
      </c>
      <c r="G510" s="7">
        <v>1</v>
      </c>
      <c r="I510" s="2">
        <f>(0.5/0.719)*D510</f>
        <v>1.0563282336578581</v>
      </c>
      <c r="J510" s="2">
        <f>(0.5/0.719)*E510</f>
        <v>0.72531293463143254</v>
      </c>
    </row>
    <row r="511" spans="1:10" x14ac:dyDescent="0.2">
      <c r="B511">
        <v>36</v>
      </c>
      <c r="C511">
        <v>3</v>
      </c>
      <c r="D511" s="2">
        <v>1.6459999999999999</v>
      </c>
      <c r="E511" s="2">
        <f>0.33+0.235</f>
        <v>0.56499999999999995</v>
      </c>
      <c r="F511" s="2">
        <f>100*E511/D511</f>
        <v>34.325637910085049</v>
      </c>
      <c r="G511" s="7">
        <v>1</v>
      </c>
      <c r="I511" s="2">
        <f>(0.5/0.719)*D511</f>
        <v>1.1446453407510431</v>
      </c>
      <c r="J511" s="2">
        <f>(0.5/0.719)*E511</f>
        <v>0.39290681502086233</v>
      </c>
    </row>
    <row r="512" spans="1:10" x14ac:dyDescent="0.2">
      <c r="B512">
        <v>37</v>
      </c>
      <c r="C512">
        <v>4</v>
      </c>
      <c r="D512" s="2">
        <v>2.5659999999999998</v>
      </c>
      <c r="E512" s="2">
        <f>0.598+0.221+0.575</f>
        <v>1.3939999999999999</v>
      </c>
      <c r="F512" s="2">
        <f>100*E512/D512</f>
        <v>54.325798908807478</v>
      </c>
      <c r="G512" s="7">
        <v>1</v>
      </c>
      <c r="I512" s="2">
        <f>(0.5/0.719)*D512</f>
        <v>1.78442280945758</v>
      </c>
      <c r="J512" s="2">
        <f>(0.5/0.719)*E512</f>
        <v>0.96940194714881789</v>
      </c>
    </row>
    <row r="513" spans="1:10" x14ac:dyDescent="0.2">
      <c r="B513">
        <v>38</v>
      </c>
      <c r="C513">
        <v>5</v>
      </c>
      <c r="D513" s="2">
        <v>1.542</v>
      </c>
      <c r="E513" s="2">
        <v>0.44500000000000001</v>
      </c>
      <c r="F513" s="2">
        <f>100*E513/D513</f>
        <v>28.858625162127108</v>
      </c>
      <c r="G513" s="7">
        <v>1</v>
      </c>
      <c r="I513" s="2">
        <f>(0.5/0.719)*D513</f>
        <v>1.0723226703755218</v>
      </c>
      <c r="J513" s="2">
        <f>(0.5/0.719)*E513</f>
        <v>0.30945757997218365</v>
      </c>
    </row>
    <row r="514" spans="1:10" x14ac:dyDescent="0.2">
      <c r="B514">
        <v>39</v>
      </c>
      <c r="C514">
        <v>6</v>
      </c>
      <c r="D514" s="2">
        <v>0.98799999999999999</v>
      </c>
      <c r="E514" s="2">
        <f>0.148+0.201</f>
        <v>0.34899999999999998</v>
      </c>
      <c r="F514" s="2">
        <f>100*E514/D514</f>
        <v>35.323886639676111</v>
      </c>
      <c r="G514" s="7">
        <v>1</v>
      </c>
      <c r="I514" s="2">
        <f>(0.5/0.719)*D514</f>
        <v>0.68706536856745482</v>
      </c>
      <c r="J514" s="2">
        <f>(0.5/0.719)*E514</f>
        <v>0.24269819193324063</v>
      </c>
    </row>
    <row r="515" spans="1:10" x14ac:dyDescent="0.2">
      <c r="B515">
        <v>40</v>
      </c>
      <c r="C515">
        <v>7</v>
      </c>
      <c r="D515" s="2">
        <v>1.1080000000000001</v>
      </c>
      <c r="E515" s="2">
        <v>0.46300000000000002</v>
      </c>
      <c r="F515" s="2">
        <f>100*E515/D515</f>
        <v>41.7870036101083</v>
      </c>
      <c r="G515" s="7">
        <v>1</v>
      </c>
      <c r="I515" s="2">
        <f>(0.5/0.719)*D515</f>
        <v>0.77051460361613366</v>
      </c>
      <c r="J515" s="2">
        <f>(0.5/0.719)*E515</f>
        <v>0.32197496522948543</v>
      </c>
    </row>
    <row r="516" spans="1:10" x14ac:dyDescent="0.2">
      <c r="B516">
        <v>41</v>
      </c>
      <c r="C516">
        <v>8</v>
      </c>
      <c r="D516" s="2">
        <v>3.9249999999999998</v>
      </c>
      <c r="E516" s="2">
        <f>0.573+0.355+0.104+0.175</f>
        <v>1.2070000000000001</v>
      </c>
      <c r="F516" s="2">
        <f>100*E516/D516</f>
        <v>30.751592356687901</v>
      </c>
      <c r="G516" s="7">
        <v>1</v>
      </c>
      <c r="I516" s="2">
        <f>(0.5/0.719)*D516</f>
        <v>2.7294853963838666</v>
      </c>
      <c r="J516" s="2">
        <f>(0.5/0.719)*E516</f>
        <v>0.83936022253129361</v>
      </c>
    </row>
    <row r="517" spans="1:10" x14ac:dyDescent="0.2">
      <c r="A517" t="s">
        <v>97</v>
      </c>
      <c r="B517">
        <v>42</v>
      </c>
      <c r="C517">
        <v>1</v>
      </c>
      <c r="D517" s="2">
        <v>2.302</v>
      </c>
      <c r="E517" s="2">
        <f>0.745+0.3</f>
        <v>1.0449999999999999</v>
      </c>
      <c r="F517" s="2">
        <f>100*E517/D517</f>
        <v>45.395308427454388</v>
      </c>
      <c r="G517" s="7">
        <v>1</v>
      </c>
      <c r="H517" s="2">
        <v>1</v>
      </c>
      <c r="I517" s="2">
        <f>(0.5/0.719)*D517</f>
        <v>1.6008344923504869</v>
      </c>
      <c r="J517" s="2">
        <f>(0.5/0.719)*E517</f>
        <v>0.72670375521557717</v>
      </c>
    </row>
    <row r="518" spans="1:10" x14ac:dyDescent="0.2">
      <c r="B518">
        <v>43</v>
      </c>
      <c r="C518">
        <v>2</v>
      </c>
      <c r="D518" s="2">
        <v>1.351</v>
      </c>
      <c r="E518" s="2">
        <v>0.55400000000000005</v>
      </c>
      <c r="F518" s="2">
        <f>100*E518/D518</f>
        <v>41.00666173205034</v>
      </c>
      <c r="G518" s="7">
        <v>1</v>
      </c>
      <c r="I518" s="2">
        <f>(0.5/0.719)*D518</f>
        <v>0.93949930458970798</v>
      </c>
      <c r="J518" s="2">
        <f>(0.5/0.719)*E518</f>
        <v>0.38525730180806683</v>
      </c>
    </row>
    <row r="519" spans="1:10" x14ac:dyDescent="0.2">
      <c r="B519">
        <v>44</v>
      </c>
      <c r="C519">
        <v>3</v>
      </c>
      <c r="D519" s="2">
        <v>1.726</v>
      </c>
      <c r="E519" s="2">
        <f>0.517+0.305+0.112</f>
        <v>0.93400000000000005</v>
      </c>
      <c r="F519" s="2">
        <f>100*E519/D519</f>
        <v>54.113557358053306</v>
      </c>
      <c r="G519" s="7">
        <v>1</v>
      </c>
      <c r="I519" s="2">
        <f>(0.5/0.719)*D519</f>
        <v>1.200278164116829</v>
      </c>
      <c r="J519" s="2">
        <f>(0.5/0.719)*E519</f>
        <v>0.64951321279554952</v>
      </c>
    </row>
    <row r="520" spans="1:10" x14ac:dyDescent="0.2">
      <c r="B520">
        <v>45</v>
      </c>
      <c r="C520">
        <v>4</v>
      </c>
      <c r="D520" s="2">
        <v>2.016</v>
      </c>
      <c r="E520" s="2">
        <f>0.243+0.255</f>
        <v>0.498</v>
      </c>
      <c r="F520" s="2">
        <f>100*E520/D520</f>
        <v>24.702380952380953</v>
      </c>
      <c r="G520" s="7">
        <v>1</v>
      </c>
      <c r="I520" s="2">
        <f>(0.5/0.719)*D520</f>
        <v>1.4019471488178026</v>
      </c>
      <c r="J520" s="2">
        <f>(0.5/0.719)*E520</f>
        <v>0.34631432545201674</v>
      </c>
    </row>
    <row r="521" spans="1:10" x14ac:dyDescent="0.2">
      <c r="B521">
        <v>46</v>
      </c>
      <c r="C521">
        <v>5</v>
      </c>
      <c r="D521" s="2">
        <v>1.204</v>
      </c>
      <c r="E521" s="2">
        <f>0.129+0.103</f>
        <v>0.23199999999999998</v>
      </c>
      <c r="F521" s="2">
        <f>100*E521/D521</f>
        <v>19.269102990033222</v>
      </c>
      <c r="G521" s="7">
        <v>1</v>
      </c>
      <c r="I521" s="2">
        <f>(0.5/0.719)*D521</f>
        <v>0.83727399165507654</v>
      </c>
      <c r="J521" s="2">
        <f>(0.5/0.719)*E521</f>
        <v>0.16133518776077888</v>
      </c>
    </row>
    <row r="522" spans="1:10" x14ac:dyDescent="0.2">
      <c r="B522">
        <v>47</v>
      </c>
      <c r="C522">
        <v>6</v>
      </c>
      <c r="D522" s="2">
        <v>1.423</v>
      </c>
      <c r="E522" s="2">
        <f>0.18+0.118</f>
        <v>0.29799999999999999</v>
      </c>
      <c r="F522" s="2">
        <f>100*E522/D522</f>
        <v>20.94167252283907</v>
      </c>
      <c r="G522" s="7">
        <v>1</v>
      </c>
      <c r="I522" s="2">
        <f>(0.5/0.719)*D522</f>
        <v>0.98956884561891534</v>
      </c>
      <c r="J522" s="2">
        <f>(0.5/0.719)*E522</f>
        <v>0.20723226703755218</v>
      </c>
    </row>
    <row r="523" spans="1:10" x14ac:dyDescent="0.2">
      <c r="B523">
        <v>48</v>
      </c>
      <c r="C523">
        <v>7</v>
      </c>
      <c r="D523" s="2">
        <v>2.5209999999999999</v>
      </c>
      <c r="E523" s="2">
        <f>0.174+0.218+0.334</f>
        <v>0.72599999999999998</v>
      </c>
      <c r="F523" s="2">
        <f>100*E523/D523</f>
        <v>28.798095993653313</v>
      </c>
      <c r="G523" s="7">
        <v>1</v>
      </c>
      <c r="I523" s="2">
        <f>(0.5/0.719)*D523</f>
        <v>1.7531293463143256</v>
      </c>
      <c r="J523" s="2">
        <f>(0.5/0.719)*E523</f>
        <v>0.50486787204450634</v>
      </c>
    </row>
    <row r="524" spans="1:10" x14ac:dyDescent="0.2">
      <c r="A524" t="s">
        <v>99</v>
      </c>
      <c r="B524">
        <v>49</v>
      </c>
      <c r="C524">
        <v>1</v>
      </c>
      <c r="D524" s="2">
        <v>5.7679999999999998</v>
      </c>
      <c r="E524" s="2">
        <f>0.498+0.918+0.776+0.084+0.862</f>
        <v>3.1380000000000003</v>
      </c>
      <c r="F524" s="2">
        <f>100*E524/D524</f>
        <v>54.40360610263523</v>
      </c>
      <c r="G524" s="7">
        <v>1</v>
      </c>
      <c r="H524" s="2">
        <v>1</v>
      </c>
      <c r="I524" s="2">
        <f>(0.5/0.719)*D524</f>
        <v>4.0111265646731571</v>
      </c>
      <c r="J524" s="2">
        <f>(0.5/0.719)*E524</f>
        <v>2.1821974965229489</v>
      </c>
    </row>
    <row r="525" spans="1:10" x14ac:dyDescent="0.2">
      <c r="B525">
        <v>50</v>
      </c>
      <c r="C525">
        <v>2</v>
      </c>
      <c r="D525" s="2">
        <v>4.4589999999999996</v>
      </c>
      <c r="E525" s="2">
        <f>0.248+0.611+0.305+0.726+0.191</f>
        <v>2.081</v>
      </c>
      <c r="F525" s="2">
        <f>100*E525/D525</f>
        <v>46.669656873738511</v>
      </c>
      <c r="G525" s="7">
        <v>1</v>
      </c>
      <c r="I525" s="2">
        <f>(0.5/0.719)*D525</f>
        <v>3.1008344923504869</v>
      </c>
      <c r="J525" s="2">
        <f>(0.5/0.719)*E525</f>
        <v>1.4471488178025036</v>
      </c>
    </row>
    <row r="526" spans="1:10" x14ac:dyDescent="0.2">
      <c r="B526">
        <v>51</v>
      </c>
      <c r="C526">
        <v>3</v>
      </c>
      <c r="D526" s="2">
        <v>3.9409999999999998</v>
      </c>
      <c r="E526" s="2">
        <f>0.57+0.114+0.388+0.069+0.35</f>
        <v>1.4910000000000001</v>
      </c>
      <c r="F526" s="2">
        <f>100*E526/D526</f>
        <v>37.833037300177629</v>
      </c>
      <c r="G526" s="7">
        <v>1</v>
      </c>
      <c r="I526" s="2">
        <f>(0.5/0.719)*D526</f>
        <v>2.7406119610570236</v>
      </c>
      <c r="J526" s="2">
        <f>(0.5/0.719)*E526</f>
        <v>1.0368567454798332</v>
      </c>
    </row>
    <row r="527" spans="1:10" x14ac:dyDescent="0.2">
      <c r="B527">
        <v>52</v>
      </c>
      <c r="C527">
        <v>4</v>
      </c>
      <c r="D527" s="2">
        <v>1.397</v>
      </c>
      <c r="E527" s="2">
        <f>0.397+0.086</f>
        <v>0.48299999999999998</v>
      </c>
      <c r="F527" s="2">
        <f>100*E527/D527</f>
        <v>34.574087329992842</v>
      </c>
      <c r="G527" s="7">
        <v>1</v>
      </c>
      <c r="I527" s="2">
        <f>(0.5/0.719)*D527</f>
        <v>0.97148817802503484</v>
      </c>
      <c r="J527" s="2">
        <f>(0.5/0.719)*E527</f>
        <v>0.33588317107093185</v>
      </c>
    </row>
    <row r="528" spans="1:10" x14ac:dyDescent="0.2">
      <c r="B528">
        <v>53</v>
      </c>
      <c r="C528">
        <v>5</v>
      </c>
      <c r="D528" s="2">
        <v>1.921</v>
      </c>
      <c r="E528" s="2">
        <f>0.678+0.488+0.274</f>
        <v>1.44</v>
      </c>
      <c r="F528" s="2">
        <f>100*E528/D528</f>
        <v>74.960957834461212</v>
      </c>
      <c r="G528" s="7">
        <v>1</v>
      </c>
      <c r="I528" s="2">
        <f>(0.5/0.719)*D528</f>
        <v>1.335883171070932</v>
      </c>
      <c r="J528" s="2">
        <f>(0.5/0.719)*E528</f>
        <v>1.0013908205841446</v>
      </c>
    </row>
    <row r="529" spans="1:10" x14ac:dyDescent="0.2">
      <c r="A529" t="s">
        <v>98</v>
      </c>
      <c r="B529">
        <v>54</v>
      </c>
      <c r="C529">
        <v>1</v>
      </c>
      <c r="D529" s="2">
        <v>3.1749999999999998</v>
      </c>
      <c r="E529" s="2">
        <f>0.083+0.346+0.104+0.647</f>
        <v>1.1800000000000002</v>
      </c>
      <c r="F529" s="2">
        <f>100*E529/D529</f>
        <v>37.165354330708666</v>
      </c>
      <c r="G529" s="7">
        <v>1</v>
      </c>
      <c r="H529" s="2">
        <v>1</v>
      </c>
      <c r="I529" s="2">
        <f>(0.5/0.719)*D529</f>
        <v>2.2079276773296246</v>
      </c>
      <c r="J529" s="2">
        <f>(0.5/0.719)*E529</f>
        <v>0.82058414464534091</v>
      </c>
    </row>
    <row r="530" spans="1:10" x14ac:dyDescent="0.2">
      <c r="B530">
        <v>55</v>
      </c>
      <c r="C530">
        <v>2</v>
      </c>
      <c r="D530" s="2">
        <v>2.0859999999999999</v>
      </c>
      <c r="E530" s="2">
        <f>0.182+0.285+0.282</f>
        <v>0.74899999999999989</v>
      </c>
      <c r="F530" s="2">
        <f>100*E530/D530</f>
        <v>35.906040268456373</v>
      </c>
      <c r="G530" s="7">
        <v>1</v>
      </c>
      <c r="I530" s="2">
        <f>(0.5/0.719)*D530</f>
        <v>1.4506258692628651</v>
      </c>
      <c r="J530" s="2">
        <f>(0.5/0.719)*E530</f>
        <v>0.52086230876216966</v>
      </c>
    </row>
    <row r="531" spans="1:10" x14ac:dyDescent="0.2">
      <c r="B531">
        <v>56</v>
      </c>
      <c r="C531">
        <v>3</v>
      </c>
      <c r="D531" s="2">
        <v>3.7639999999999998</v>
      </c>
      <c r="E531" s="2">
        <f>0.652+0.133</f>
        <v>0.78500000000000003</v>
      </c>
      <c r="F531" s="2">
        <f>100*E531/D531</f>
        <v>20.855472901168969</v>
      </c>
      <c r="G531" s="7">
        <v>1</v>
      </c>
      <c r="I531" s="2">
        <f>(0.5/0.719)*D531</f>
        <v>2.6175243393602226</v>
      </c>
      <c r="J531" s="2">
        <f>(0.5/0.719)*E531</f>
        <v>0.54589707927677333</v>
      </c>
    </row>
    <row r="532" spans="1:10" x14ac:dyDescent="0.2">
      <c r="B532">
        <v>57</v>
      </c>
      <c r="C532">
        <v>4</v>
      </c>
      <c r="D532" s="2">
        <v>3.1680000000000001</v>
      </c>
      <c r="E532" s="2">
        <f>0.104+0.076+0.087</f>
        <v>0.26700000000000002</v>
      </c>
      <c r="F532" s="2">
        <f>100*E532/D532</f>
        <v>8.4280303030303028</v>
      </c>
      <c r="G532" s="7">
        <v>1</v>
      </c>
      <c r="I532" s="2">
        <f>(0.5/0.719)*D532</f>
        <v>2.2030598052851187</v>
      </c>
      <c r="J532" s="2">
        <f>(0.5/0.719)*E532</f>
        <v>0.18567454798331018</v>
      </c>
    </row>
    <row r="533" spans="1:10" x14ac:dyDescent="0.2">
      <c r="A533" t="s">
        <v>111</v>
      </c>
      <c r="B533">
        <v>58</v>
      </c>
      <c r="C533">
        <v>1</v>
      </c>
      <c r="D533" s="2">
        <v>2.67</v>
      </c>
      <c r="E533" s="2">
        <f>0.081+0.094</f>
        <v>0.17499999999999999</v>
      </c>
      <c r="F533" s="2">
        <f>100*E533/D533</f>
        <v>6.5543071161048694</v>
      </c>
      <c r="G533" s="7">
        <v>1</v>
      </c>
      <c r="H533" s="2">
        <v>1</v>
      </c>
      <c r="I533" s="2">
        <f>(0.5/0.719)*D533</f>
        <v>1.8567454798331018</v>
      </c>
      <c r="J533" s="2">
        <f>(0.5/0.719)*E533</f>
        <v>0.12169680111265647</v>
      </c>
    </row>
    <row r="534" spans="1:10" x14ac:dyDescent="0.2">
      <c r="B534">
        <v>59</v>
      </c>
      <c r="C534">
        <v>2</v>
      </c>
      <c r="D534" s="2">
        <v>1.2609999999999999</v>
      </c>
      <c r="E534" s="2">
        <v>0.753</v>
      </c>
      <c r="F534" s="2">
        <f>100*E534/D534</f>
        <v>59.71451229183188</v>
      </c>
      <c r="G534" s="7">
        <v>1</v>
      </c>
      <c r="I534" s="2">
        <f>(0.5/0.719)*D534</f>
        <v>0.8769123783031989</v>
      </c>
      <c r="J534" s="2">
        <f>(0.5/0.719)*E534</f>
        <v>0.52364394993045904</v>
      </c>
    </row>
    <row r="535" spans="1:10" x14ac:dyDescent="0.2">
      <c r="B535">
        <v>60</v>
      </c>
      <c r="C535">
        <v>3</v>
      </c>
      <c r="D535" s="2">
        <v>2.2400000000000002</v>
      </c>
      <c r="E535" s="2">
        <f>0.121+0.418+0.314</f>
        <v>0.85299999999999998</v>
      </c>
      <c r="F535" s="2">
        <f>100*E535/D535</f>
        <v>38.080357142857139</v>
      </c>
      <c r="G535" s="7">
        <v>1</v>
      </c>
      <c r="I535" s="2">
        <f>(0.5/0.719)*D535</f>
        <v>1.5577190542420032</v>
      </c>
      <c r="J535" s="2">
        <f>(0.5/0.719)*E535</f>
        <v>0.5931849791376913</v>
      </c>
    </row>
    <row r="536" spans="1:10" x14ac:dyDescent="0.2">
      <c r="B536">
        <v>61</v>
      </c>
      <c r="C536">
        <v>4</v>
      </c>
      <c r="D536" s="2">
        <v>2.6160000000000001</v>
      </c>
      <c r="E536" s="2">
        <f>0.733+0.296</f>
        <v>1.0289999999999999</v>
      </c>
      <c r="F536" s="2">
        <f>100*E536/D536</f>
        <v>39.334862385321095</v>
      </c>
      <c r="G536" s="7">
        <v>1</v>
      </c>
      <c r="I536" s="2">
        <f>(0.5/0.719)*D536</f>
        <v>1.8191933240611964</v>
      </c>
      <c r="J536" s="2">
        <f>(0.5/0.719)*E536</f>
        <v>0.71557719054242008</v>
      </c>
    </row>
    <row r="537" spans="1:10" x14ac:dyDescent="0.2">
      <c r="A537" t="s">
        <v>110</v>
      </c>
      <c r="B537">
        <v>62</v>
      </c>
      <c r="C537">
        <v>1</v>
      </c>
      <c r="D537" s="2">
        <v>4.048</v>
      </c>
      <c r="E537" s="2">
        <f>0.491+0.133+0.752</f>
        <v>1.3759999999999999</v>
      </c>
      <c r="F537" s="2">
        <f>100*E537/D537</f>
        <v>33.992094861660078</v>
      </c>
      <c r="G537" s="7">
        <v>1</v>
      </c>
      <c r="H537" s="2">
        <v>1</v>
      </c>
      <c r="I537" s="2">
        <f>(0.5/0.719)*D537</f>
        <v>2.8150208623087627</v>
      </c>
      <c r="J537" s="2">
        <f>(0.5/0.719)*E537</f>
        <v>0.95688456189151605</v>
      </c>
    </row>
    <row r="538" spans="1:10" x14ac:dyDescent="0.2">
      <c r="B538">
        <v>63</v>
      </c>
      <c r="C538">
        <v>2</v>
      </c>
      <c r="D538" s="2">
        <v>4.3739999999999997</v>
      </c>
      <c r="E538" s="2">
        <f>1.443+0.433+0.328</f>
        <v>2.2040000000000002</v>
      </c>
      <c r="F538" s="2">
        <f>100*E538/D538</f>
        <v>50.388660265203477</v>
      </c>
      <c r="G538" s="7">
        <v>1</v>
      </c>
      <c r="I538" s="2">
        <f>(0.5/0.719)*D538</f>
        <v>3.0417246175243395</v>
      </c>
      <c r="J538" s="2">
        <f>(0.5/0.719)*E538</f>
        <v>1.5326842837273995</v>
      </c>
    </row>
    <row r="539" spans="1:10" x14ac:dyDescent="0.2">
      <c r="B539">
        <v>64</v>
      </c>
      <c r="C539">
        <v>3</v>
      </c>
      <c r="D539" s="2">
        <v>1.7769999999999999</v>
      </c>
      <c r="E539" s="2">
        <v>0.59499999999999997</v>
      </c>
      <c r="F539" s="2">
        <f>100*E539/D539</f>
        <v>33.483398987056837</v>
      </c>
      <c r="G539" s="7">
        <v>1</v>
      </c>
      <c r="I539" s="2">
        <f>(0.5/0.719)*D539</f>
        <v>1.2357440890125175</v>
      </c>
      <c r="J539" s="2">
        <f>(0.5/0.719)*E539</f>
        <v>0.41376912378303199</v>
      </c>
    </row>
    <row r="540" spans="1:10" x14ac:dyDescent="0.2">
      <c r="A540" t="s">
        <v>109</v>
      </c>
      <c r="B540">
        <v>65</v>
      </c>
      <c r="C540">
        <v>1</v>
      </c>
      <c r="D540" s="2">
        <v>5.0259999999999998</v>
      </c>
      <c r="E540" s="2">
        <f>0.226+0.797</f>
        <v>1.0230000000000001</v>
      </c>
      <c r="F540" s="2">
        <f>100*E540/D540</f>
        <v>20.354158376442502</v>
      </c>
      <c r="G540" s="7">
        <v>1</v>
      </c>
      <c r="H540" s="2">
        <v>1</v>
      </c>
      <c r="I540" s="2">
        <f>(0.5/0.719)*D540</f>
        <v>3.4951321279554941</v>
      </c>
      <c r="J540" s="2">
        <f>(0.5/0.719)*E540</f>
        <v>0.71140472878998628</v>
      </c>
    </row>
    <row r="541" spans="1:10" x14ac:dyDescent="0.2">
      <c r="B541">
        <v>66</v>
      </c>
      <c r="C541">
        <v>2</v>
      </c>
      <c r="D541" s="2">
        <v>10.638</v>
      </c>
      <c r="E541" s="2">
        <f>0.269+2.576+0.322+0.821+0.625</f>
        <v>4.6130000000000004</v>
      </c>
      <c r="F541" s="2">
        <f>100*E541/D541</f>
        <v>43.363414175596922</v>
      </c>
      <c r="G541" s="7">
        <v>1</v>
      </c>
      <c r="I541" s="2">
        <f>(0.5/0.719)*D541</f>
        <v>7.3977746870653691</v>
      </c>
      <c r="J541" s="2">
        <f>(0.5/0.719)*E541</f>
        <v>3.207927677329625</v>
      </c>
    </row>
    <row r="542" spans="1:10" x14ac:dyDescent="0.2">
      <c r="B542">
        <v>67</v>
      </c>
      <c r="C542">
        <v>3</v>
      </c>
      <c r="D542" s="2">
        <v>8.8249999999999993</v>
      </c>
      <c r="E542" s="2">
        <f>0.812+1.302+0.334+0.301+0.372+0.276</f>
        <v>3.3970000000000002</v>
      </c>
      <c r="F542" s="2">
        <f>100*E542/D542</f>
        <v>38.492917847025502</v>
      </c>
      <c r="G542" s="7">
        <v>1</v>
      </c>
      <c r="I542" s="2">
        <f>(0.5/0.719)*D542</f>
        <v>6.1369958275382475</v>
      </c>
      <c r="J542" s="2">
        <f>(0.5/0.719)*E542</f>
        <v>2.3623087621696803</v>
      </c>
    </row>
    <row r="543" spans="1:10" x14ac:dyDescent="0.2">
      <c r="A543" t="s">
        <v>108</v>
      </c>
      <c r="B543">
        <v>68</v>
      </c>
      <c r="C543">
        <v>1</v>
      </c>
      <c r="D543" s="2">
        <v>4.1619999999999999</v>
      </c>
      <c r="E543" s="2">
        <f>0.277+0.281</f>
        <v>0.55800000000000005</v>
      </c>
      <c r="F543" s="2">
        <f>100*E543/D543</f>
        <v>13.407015857760694</v>
      </c>
      <c r="G543" s="7">
        <v>1</v>
      </c>
      <c r="H543" s="2">
        <v>1</v>
      </c>
      <c r="I543" s="2">
        <f>(0.5/0.719)*D543</f>
        <v>2.8942976356050072</v>
      </c>
      <c r="J543" s="2">
        <f>(0.5/0.719)*E543</f>
        <v>0.3880389429763561</v>
      </c>
    </row>
    <row r="544" spans="1:10" x14ac:dyDescent="0.2">
      <c r="B544">
        <v>69</v>
      </c>
      <c r="C544">
        <v>2</v>
      </c>
      <c r="D544" s="2">
        <v>12.673999999999999</v>
      </c>
      <c r="E544" s="2">
        <f>0.789+0.673+2.5+0.473+0.541+0.506</f>
        <v>5.4820000000000011</v>
      </c>
      <c r="F544" s="2">
        <f>100*E544/D544</f>
        <v>43.253905633580572</v>
      </c>
      <c r="G544" s="7">
        <v>1</v>
      </c>
      <c r="I544" s="2">
        <f>(0.5/0.719)*D544</f>
        <v>8.8136300417246183</v>
      </c>
      <c r="J544" s="2">
        <f>(0.5/0.719)*E544</f>
        <v>3.8122392211404739</v>
      </c>
    </row>
    <row r="545" spans="1:10" x14ac:dyDescent="0.2">
      <c r="B545">
        <v>70</v>
      </c>
      <c r="C545">
        <v>3</v>
      </c>
      <c r="D545" s="2">
        <v>2.226</v>
      </c>
      <c r="E545" s="2">
        <f>0.152+0.144</f>
        <v>0.29599999999999999</v>
      </c>
      <c r="F545" s="2">
        <f>100*E545/D545</f>
        <v>13.2973944294699</v>
      </c>
      <c r="G545" s="7">
        <v>1</v>
      </c>
      <c r="I545" s="2">
        <f>(0.5/0.719)*D545</f>
        <v>1.5479833101529905</v>
      </c>
      <c r="J545" s="2">
        <f>(0.5/0.719)*E545</f>
        <v>0.20584144645340752</v>
      </c>
    </row>
    <row r="546" spans="1:10" x14ac:dyDescent="0.2">
      <c r="B546">
        <v>71</v>
      </c>
      <c r="C546">
        <v>4</v>
      </c>
      <c r="D546" s="2">
        <v>5.6239999999999997</v>
      </c>
      <c r="E546" s="2">
        <f>1.551+0.146+0.195+0.487</f>
        <v>2.379</v>
      </c>
      <c r="F546" s="2">
        <f>100*E546/D546</f>
        <v>42.300853485064017</v>
      </c>
      <c r="G546" s="7">
        <v>1</v>
      </c>
      <c r="I546" s="2">
        <f>(0.5/0.719)*D546</f>
        <v>3.9109874826147428</v>
      </c>
      <c r="J546" s="2">
        <f>(0.5/0.719)*E546</f>
        <v>1.6543810848400557</v>
      </c>
    </row>
    <row r="547" spans="1:10" x14ac:dyDescent="0.2">
      <c r="A547" t="s">
        <v>107</v>
      </c>
      <c r="B547">
        <v>72</v>
      </c>
      <c r="C547">
        <v>1</v>
      </c>
      <c r="D547" s="2">
        <v>1.659</v>
      </c>
      <c r="E547" s="2">
        <f>0.275+0.335</f>
        <v>0.6100000000000001</v>
      </c>
      <c r="F547" s="2">
        <f>100*E547/D547</f>
        <v>36.769138034960825</v>
      </c>
      <c r="G547" s="7">
        <v>1</v>
      </c>
      <c r="H547" s="2">
        <v>1</v>
      </c>
      <c r="I547" s="2">
        <f>(0.5/0.719)*D547</f>
        <v>1.1536856745479835</v>
      </c>
      <c r="J547" s="2">
        <f>(0.5/0.719)*E547</f>
        <v>0.42420027816411693</v>
      </c>
    </row>
    <row r="548" spans="1:10" x14ac:dyDescent="0.2">
      <c r="B548">
        <v>73</v>
      </c>
      <c r="C548">
        <v>2</v>
      </c>
      <c r="D548" s="2">
        <v>4.2539999999999996</v>
      </c>
      <c r="E548" s="2">
        <f>0.472+0.221</f>
        <v>0.69299999999999995</v>
      </c>
      <c r="F548" s="2">
        <f>100*E548/D548</f>
        <v>16.290550070521864</v>
      </c>
      <c r="G548" s="7">
        <v>1</v>
      </c>
      <c r="I548" s="2">
        <f>(0.5/0.719)*D548</f>
        <v>2.9582753824756605</v>
      </c>
      <c r="J548" s="2">
        <f>(0.5/0.719)*E548</f>
        <v>0.48191933240611962</v>
      </c>
    </row>
    <row r="549" spans="1:10" x14ac:dyDescent="0.2">
      <c r="B549">
        <v>74</v>
      </c>
      <c r="C549">
        <v>3</v>
      </c>
      <c r="D549" s="2">
        <v>2.3250000000000002</v>
      </c>
      <c r="E549" s="2">
        <v>0.35799999999999998</v>
      </c>
      <c r="F549" s="2">
        <f>100*E549/D549</f>
        <v>15.397849462365588</v>
      </c>
      <c r="G549" s="7">
        <v>1</v>
      </c>
      <c r="I549" s="2">
        <f>(0.5/0.719)*D549</f>
        <v>1.6168289290681506</v>
      </c>
      <c r="J549" s="2">
        <f>(0.5/0.719)*E549</f>
        <v>0.24895688456189152</v>
      </c>
    </row>
    <row r="550" spans="1:10" x14ac:dyDescent="0.2">
      <c r="B550">
        <v>75</v>
      </c>
      <c r="C550">
        <v>4</v>
      </c>
      <c r="D550" s="2">
        <v>4.4240000000000004</v>
      </c>
      <c r="E550" s="2">
        <f>0.607+0.726</f>
        <v>1.333</v>
      </c>
      <c r="F550" s="2">
        <f>100*E550/D550</f>
        <v>30.131103074141041</v>
      </c>
      <c r="G550" s="7">
        <v>1</v>
      </c>
      <c r="I550" s="2">
        <f>(0.5/0.719)*D550</f>
        <v>3.0764951321279561</v>
      </c>
      <c r="J550" s="2">
        <f>(0.5/0.719)*E550</f>
        <v>0.92698191933240615</v>
      </c>
    </row>
    <row r="551" spans="1:10" x14ac:dyDescent="0.2">
      <c r="A551" t="s">
        <v>106</v>
      </c>
      <c r="B551">
        <v>76</v>
      </c>
      <c r="C551">
        <v>1</v>
      </c>
      <c r="D551" s="2">
        <v>2.6309999999999998</v>
      </c>
      <c r="E551" s="2">
        <f>0.175+0.54+0.285</f>
        <v>1</v>
      </c>
      <c r="F551" s="2">
        <f>100*E551/D551</f>
        <v>38.008361839604717</v>
      </c>
      <c r="G551" s="7">
        <v>1</v>
      </c>
      <c r="H551" s="2">
        <v>1</v>
      </c>
      <c r="I551" s="2">
        <f>(0.5/0.719)*D551</f>
        <v>1.829624478442281</v>
      </c>
      <c r="J551" s="2">
        <f>(0.5/0.719)*E551</f>
        <v>0.69541029207232274</v>
      </c>
    </row>
    <row r="552" spans="1:10" x14ac:dyDescent="0.2">
      <c r="B552">
        <v>77</v>
      </c>
      <c r="C552">
        <v>2</v>
      </c>
      <c r="D552" s="2">
        <v>2.383</v>
      </c>
      <c r="E552" s="2">
        <f>1.045+0.949</f>
        <v>1.9939999999999998</v>
      </c>
      <c r="F552" s="2">
        <f>100*E552/D552</f>
        <v>83.676038606798144</v>
      </c>
      <c r="G552" s="7">
        <v>1</v>
      </c>
      <c r="I552" s="2">
        <f>(0.5/0.719)*D552</f>
        <v>1.657162726008345</v>
      </c>
      <c r="J552" s="2">
        <f>(0.5/0.719)*E552</f>
        <v>1.3866481223922114</v>
      </c>
    </row>
    <row r="553" spans="1:10" x14ac:dyDescent="0.2">
      <c r="A553" t="s">
        <v>105</v>
      </c>
      <c r="B553">
        <v>78</v>
      </c>
      <c r="C553">
        <v>1</v>
      </c>
      <c r="D553" s="2">
        <v>8.4809999999999999</v>
      </c>
      <c r="E553" s="2">
        <f>0.261+1.025+1.425+0.867</f>
        <v>3.5780000000000003</v>
      </c>
      <c r="F553" s="2">
        <f>100*E553/D553</f>
        <v>42.188421176748029</v>
      </c>
      <c r="G553" s="7">
        <v>1</v>
      </c>
      <c r="H553" s="2">
        <v>1</v>
      </c>
      <c r="I553" s="2">
        <f>(0.5/0.719)*D553</f>
        <v>5.8977746870653691</v>
      </c>
      <c r="J553" s="2">
        <f>(0.5/0.719)*E553</f>
        <v>2.4881780250347711</v>
      </c>
    </row>
    <row r="554" spans="1:10" x14ac:dyDescent="0.2">
      <c r="B554">
        <v>79</v>
      </c>
      <c r="C554">
        <v>2</v>
      </c>
      <c r="D554" s="2">
        <v>9.7200000000000006</v>
      </c>
      <c r="E554" s="2">
        <f>1.036+1.553+1.363+0.376</f>
        <v>4.3280000000000003</v>
      </c>
      <c r="F554" s="2">
        <f>100*E554/D554</f>
        <v>44.526748971193413</v>
      </c>
      <c r="G554" s="7">
        <v>1</v>
      </c>
      <c r="I554" s="2">
        <f>(0.5/0.719)*D554</f>
        <v>6.7593880389429772</v>
      </c>
      <c r="J554" s="2">
        <f>(0.5/0.719)*E554</f>
        <v>3.0097357440890131</v>
      </c>
    </row>
    <row r="555" spans="1:10" x14ac:dyDescent="0.2">
      <c r="B555">
        <v>80</v>
      </c>
      <c r="C555">
        <v>3</v>
      </c>
      <c r="D555" s="2">
        <v>1.484</v>
      </c>
      <c r="E555" s="2">
        <v>0.24099999999999999</v>
      </c>
      <c r="F555" s="2">
        <f>100*E555/D555</f>
        <v>16.239892183288408</v>
      </c>
      <c r="G555" s="7">
        <v>1</v>
      </c>
      <c r="I555" s="2">
        <f>(0.5/0.719)*D555</f>
        <v>1.0319888734353269</v>
      </c>
      <c r="J555" s="2">
        <f>(0.5/0.719)*E555</f>
        <v>0.16759388038942977</v>
      </c>
    </row>
    <row r="556" spans="1:10" x14ac:dyDescent="0.2">
      <c r="B556">
        <v>81</v>
      </c>
      <c r="C556">
        <v>4</v>
      </c>
      <c r="D556" s="2">
        <v>3.7130000000000001</v>
      </c>
      <c r="E556" s="2">
        <v>1.794</v>
      </c>
      <c r="F556" s="2">
        <f>100*E556/D556</f>
        <v>48.3167250201993</v>
      </c>
      <c r="G556" s="7">
        <v>1</v>
      </c>
      <c r="I556" s="2">
        <f>(0.5/0.719)*D556</f>
        <v>2.5820584144645342</v>
      </c>
      <c r="J556" s="2">
        <f>(0.5/0.719)*E556</f>
        <v>1.2475660639777471</v>
      </c>
    </row>
    <row r="557" spans="1:10" x14ac:dyDescent="0.2">
      <c r="G557" s="7"/>
    </row>
    <row r="558" spans="1:10" x14ac:dyDescent="0.2">
      <c r="C558" t="s">
        <v>1</v>
      </c>
      <c r="D558" s="2">
        <f>AVERAGE(D476:D556)</f>
        <v>3.0927654320987661</v>
      </c>
      <c r="E558" s="2">
        <f>AVERAGE(E476:E556)</f>
        <v>0.9939827160493826</v>
      </c>
      <c r="F558" s="2">
        <f>AVERAGE(F476:F556)</f>
        <v>29.830593568327814</v>
      </c>
      <c r="G558" s="2"/>
      <c r="H558" s="2">
        <f>AVERAGE(H476:H556)</f>
        <v>0.96875</v>
      </c>
      <c r="I558" s="2">
        <f>AVERAGE(I476:I556)</f>
        <v>2.1507409124469858</v>
      </c>
      <c r="J558" s="2">
        <f>AVERAGE(J476:J556)</f>
        <v>0.69122581088274204</v>
      </c>
    </row>
    <row r="559" spans="1:10" x14ac:dyDescent="0.2">
      <c r="C559" t="s">
        <v>0</v>
      </c>
      <c r="D559" s="2">
        <f>STDEV(D476:D556)</f>
        <v>2.2145778111843608</v>
      </c>
      <c r="E559" s="2">
        <f>STDEV(E476:E556)</f>
        <v>1.0571309990713218</v>
      </c>
      <c r="F559" s="2">
        <f>STDEV(F476:F556)</f>
        <v>17.822563472597295</v>
      </c>
      <c r="G559" s="2"/>
      <c r="H559" s="2">
        <f>STDEV(H476:H556)</f>
        <v>0.125</v>
      </c>
      <c r="I559" s="2">
        <f>STDEV(I476:I556)</f>
        <v>1.5400402024926034</v>
      </c>
      <c r="J559" s="2">
        <f>STDEV(J476:J556)</f>
        <v>0.735139776822894</v>
      </c>
    </row>
    <row r="560" spans="1:10" x14ac:dyDescent="0.2">
      <c r="G560" s="7"/>
    </row>
    <row r="561" spans="1:10" x14ac:dyDescent="0.2">
      <c r="A561" t="s">
        <v>96</v>
      </c>
    </row>
    <row r="562" spans="1:10" x14ac:dyDescent="0.2">
      <c r="A562" s="5" t="s">
        <v>95</v>
      </c>
      <c r="B562" s="5" t="s">
        <v>23</v>
      </c>
      <c r="C562" s="5" t="s">
        <v>22</v>
      </c>
      <c r="D562" s="4" t="s">
        <v>94</v>
      </c>
      <c r="E562" s="4" t="s">
        <v>93</v>
      </c>
      <c r="F562" s="4" t="s">
        <v>91</v>
      </c>
      <c r="G562" s="8" t="s">
        <v>173</v>
      </c>
      <c r="H562" s="4" t="s">
        <v>172</v>
      </c>
      <c r="I562" s="4" t="s">
        <v>92</v>
      </c>
      <c r="J562" s="4" t="s">
        <v>171</v>
      </c>
    </row>
    <row r="563" spans="1:10" x14ac:dyDescent="0.2">
      <c r="A563" t="s">
        <v>84</v>
      </c>
      <c r="B563">
        <v>1</v>
      </c>
      <c r="C563">
        <v>1</v>
      </c>
      <c r="D563" s="2">
        <v>2.0670000000000002</v>
      </c>
      <c r="E563" s="2">
        <f>0.274+0.127</f>
        <v>0.40100000000000002</v>
      </c>
      <c r="F563" s="2">
        <f>100*E563/D563</f>
        <v>19.400096758587324</v>
      </c>
      <c r="G563" s="7">
        <v>1</v>
      </c>
      <c r="H563" s="2">
        <v>1</v>
      </c>
      <c r="I563" s="2">
        <f>(0.5/0.719)*D563</f>
        <v>1.4374130737134911</v>
      </c>
      <c r="J563" s="2">
        <f>(0.5/0.719)*E563</f>
        <v>0.27885952712100143</v>
      </c>
    </row>
    <row r="564" spans="1:10" x14ac:dyDescent="0.2">
      <c r="B564">
        <v>2</v>
      </c>
      <c r="C564">
        <v>2</v>
      </c>
      <c r="D564" s="2">
        <v>1.587</v>
      </c>
      <c r="E564" s="2">
        <v>1.212</v>
      </c>
      <c r="F564" s="2">
        <f>100*E564/D564</f>
        <v>76.370510396975433</v>
      </c>
      <c r="G564" s="7">
        <v>1</v>
      </c>
      <c r="I564" s="2">
        <f>(0.5/0.719)*D564</f>
        <v>1.1036161335187762</v>
      </c>
      <c r="J564" s="2">
        <f>(0.5/0.719)*E564</f>
        <v>0.84283727399165509</v>
      </c>
    </row>
    <row r="565" spans="1:10" x14ac:dyDescent="0.2">
      <c r="A565" t="s">
        <v>83</v>
      </c>
      <c r="B565">
        <v>3</v>
      </c>
      <c r="C565">
        <v>1</v>
      </c>
      <c r="D565" s="2">
        <v>1.6679999999999999</v>
      </c>
      <c r="E565" s="2">
        <v>0.26200000000000001</v>
      </c>
      <c r="F565" s="2">
        <f>100*E565/D565</f>
        <v>15.707434052757796</v>
      </c>
      <c r="G565" s="7">
        <v>1</v>
      </c>
      <c r="H565" s="2">
        <v>1</v>
      </c>
      <c r="I565" s="2">
        <f>(0.5/0.719)*D565</f>
        <v>1.1599443671766343</v>
      </c>
      <c r="J565" s="2">
        <f>(0.5/0.719)*E565</f>
        <v>0.18219749652294856</v>
      </c>
    </row>
    <row r="566" spans="1:10" x14ac:dyDescent="0.2">
      <c r="B566">
        <v>4</v>
      </c>
      <c r="C566">
        <v>2</v>
      </c>
      <c r="D566" s="2">
        <v>1.8560000000000001</v>
      </c>
      <c r="E566" s="2">
        <v>0.52300000000000002</v>
      </c>
      <c r="F566" s="2">
        <f>100*E566/D566</f>
        <v>28.178879310344829</v>
      </c>
      <c r="G566" s="7">
        <v>1</v>
      </c>
      <c r="I566" s="2">
        <f>(0.5/0.719)*D566</f>
        <v>1.290681502086231</v>
      </c>
      <c r="J566" s="2">
        <f>(0.5/0.719)*E566</f>
        <v>0.3636995827538248</v>
      </c>
    </row>
    <row r="567" spans="1:10" x14ac:dyDescent="0.2">
      <c r="B567">
        <v>5</v>
      </c>
      <c r="C567">
        <v>3</v>
      </c>
      <c r="D567" s="2">
        <v>2.4079999999999999</v>
      </c>
      <c r="E567" s="2">
        <f>0.145+0.384+0.162</f>
        <v>0.69100000000000006</v>
      </c>
      <c r="F567" s="2">
        <f>100*E567/D567</f>
        <v>28.69601328903655</v>
      </c>
      <c r="G567" s="7">
        <v>1</v>
      </c>
      <c r="I567" s="2">
        <f>(0.5/0.719)*D567</f>
        <v>1.6745479833101531</v>
      </c>
      <c r="J567" s="2">
        <f>(0.5/0.719)*E567</f>
        <v>0.48052851182197504</v>
      </c>
    </row>
    <row r="568" spans="1:10" x14ac:dyDescent="0.2">
      <c r="B568">
        <v>6</v>
      </c>
      <c r="C568">
        <v>4</v>
      </c>
      <c r="D568" s="2">
        <v>1.444</v>
      </c>
      <c r="E568" s="2">
        <v>8.3000000000000004E-2</v>
      </c>
      <c r="F568" s="2">
        <f>100*E568/D568</f>
        <v>5.7479224376731306</v>
      </c>
      <c r="G568" s="7">
        <v>1</v>
      </c>
      <c r="I568" s="2">
        <f>(0.5/0.719)*D568</f>
        <v>1.0041724617524339</v>
      </c>
      <c r="J568" s="2">
        <f>(0.5/0.719)*E568</f>
        <v>5.7719054242002792E-2</v>
      </c>
    </row>
    <row r="569" spans="1:10" x14ac:dyDescent="0.2">
      <c r="B569">
        <v>7</v>
      </c>
      <c r="C569">
        <v>5</v>
      </c>
      <c r="D569" s="2">
        <v>3.4580000000000002</v>
      </c>
      <c r="E569" s="2">
        <f>0.36+0.613</f>
        <v>0.97299999999999998</v>
      </c>
      <c r="F569" s="2">
        <f>100*E569/D569</f>
        <v>28.137651821862345</v>
      </c>
      <c r="G569" s="7">
        <v>1</v>
      </c>
      <c r="I569" s="2">
        <f>(0.5/0.719)*D569</f>
        <v>2.4047287899860921</v>
      </c>
      <c r="J569" s="2">
        <f>(0.5/0.719)*E569</f>
        <v>0.67663421418637004</v>
      </c>
    </row>
    <row r="570" spans="1:10" x14ac:dyDescent="0.2">
      <c r="B570">
        <v>8</v>
      </c>
      <c r="C570">
        <v>6</v>
      </c>
      <c r="D570" s="2">
        <v>1.256</v>
      </c>
      <c r="E570" s="2">
        <f>0.19+0.318</f>
        <v>0.50800000000000001</v>
      </c>
      <c r="F570" s="2">
        <f>100*E570/D570</f>
        <v>40.445859872611464</v>
      </c>
      <c r="G570" s="7">
        <v>1</v>
      </c>
      <c r="I570" s="2">
        <f>(0.5/0.719)*D570</f>
        <v>0.87343532684283742</v>
      </c>
      <c r="J570" s="2">
        <f>(0.5/0.719)*E570</f>
        <v>0.35326842837273997</v>
      </c>
    </row>
    <row r="571" spans="1:10" x14ac:dyDescent="0.2">
      <c r="B571">
        <v>9</v>
      </c>
      <c r="C571">
        <v>7</v>
      </c>
      <c r="D571" s="2">
        <v>1.2849999999999999</v>
      </c>
      <c r="E571" s="2">
        <v>0.35799999999999998</v>
      </c>
      <c r="F571" s="2">
        <f>100*E571/D571</f>
        <v>27.859922178988327</v>
      </c>
      <c r="G571" s="7">
        <v>1</v>
      </c>
      <c r="I571" s="2">
        <f>(0.5/0.719)*D571</f>
        <v>0.89360222531293465</v>
      </c>
      <c r="J571" s="2">
        <f>(0.5/0.719)*E571</f>
        <v>0.24895688456189152</v>
      </c>
    </row>
    <row r="572" spans="1:10" x14ac:dyDescent="0.2">
      <c r="B572">
        <v>10</v>
      </c>
      <c r="C572">
        <v>8</v>
      </c>
      <c r="D572" s="2">
        <v>1.8620000000000001</v>
      </c>
      <c r="E572" s="2">
        <f>0.1+0.236</f>
        <v>0.33599999999999997</v>
      </c>
      <c r="F572" s="2">
        <f>100*E572/D572</f>
        <v>18.045112781954884</v>
      </c>
      <c r="G572" s="7">
        <v>1</v>
      </c>
      <c r="I572" s="2">
        <f>(0.5/0.719)*D572</f>
        <v>1.2948539638386649</v>
      </c>
      <c r="J572" s="2">
        <f>(0.5/0.719)*E572</f>
        <v>0.23365785813630041</v>
      </c>
    </row>
    <row r="573" spans="1:10" x14ac:dyDescent="0.2">
      <c r="A573" t="s">
        <v>82</v>
      </c>
      <c r="B573">
        <v>11</v>
      </c>
      <c r="C573">
        <v>1</v>
      </c>
      <c r="D573" s="2">
        <v>2.512</v>
      </c>
      <c r="E573" s="2">
        <f>0.43+0.604</f>
        <v>1.034</v>
      </c>
      <c r="F573" s="2">
        <f>100*E573/D573</f>
        <v>41.162420382165607</v>
      </c>
      <c r="G573" s="7">
        <v>1</v>
      </c>
      <c r="H573" s="2">
        <v>1</v>
      </c>
      <c r="I573" s="2">
        <f>(0.5/0.719)*D573</f>
        <v>1.7468706536856748</v>
      </c>
      <c r="J573" s="2">
        <f>(0.5/0.719)*E573</f>
        <v>0.71905424200278178</v>
      </c>
    </row>
    <row r="574" spans="1:10" x14ac:dyDescent="0.2">
      <c r="B574">
        <v>12</v>
      </c>
      <c r="C574">
        <v>2</v>
      </c>
      <c r="D574" s="2">
        <v>3.1659999999999999</v>
      </c>
      <c r="E574" s="2">
        <f>0.717+0.424+0.242+0.2</f>
        <v>1.583</v>
      </c>
      <c r="F574" s="2">
        <f>100*E574/D574</f>
        <v>49.999999999999993</v>
      </c>
      <c r="G574" s="7">
        <v>1</v>
      </c>
      <c r="I574" s="2">
        <f>(0.5/0.719)*D574</f>
        <v>2.2016689847009738</v>
      </c>
      <c r="J574" s="2">
        <f>(0.5/0.719)*E574</f>
        <v>1.1008344923504869</v>
      </c>
    </row>
    <row r="575" spans="1:10" x14ac:dyDescent="0.2">
      <c r="B575">
        <v>13</v>
      </c>
      <c r="C575">
        <v>3</v>
      </c>
      <c r="D575" s="2">
        <v>2.1349999999999998</v>
      </c>
      <c r="E575" s="2">
        <v>0.16</v>
      </c>
      <c r="F575" s="2">
        <f>100*E575/D575</f>
        <v>7.4941451990632322</v>
      </c>
      <c r="G575" s="7">
        <v>1</v>
      </c>
      <c r="I575" s="2">
        <f>(0.5/0.719)*D575</f>
        <v>1.484700973574409</v>
      </c>
      <c r="J575" s="2">
        <f>(0.5/0.719)*E575</f>
        <v>0.11126564673157165</v>
      </c>
    </row>
    <row r="576" spans="1:10" x14ac:dyDescent="0.2">
      <c r="A576" t="s">
        <v>81</v>
      </c>
      <c r="B576">
        <v>14</v>
      </c>
      <c r="C576">
        <v>1</v>
      </c>
      <c r="D576" s="2">
        <v>2.085</v>
      </c>
      <c r="E576" s="2">
        <f>0.279+0.274</f>
        <v>0.55300000000000005</v>
      </c>
      <c r="F576" s="2">
        <f>100*E576/D576</f>
        <v>26.522781774580338</v>
      </c>
      <c r="G576" s="7">
        <v>1</v>
      </c>
      <c r="H576" s="2">
        <v>1</v>
      </c>
      <c r="I576" s="2">
        <f>(0.5/0.719)*D576</f>
        <v>1.4499304589707929</v>
      </c>
      <c r="J576" s="2">
        <f>(0.5/0.719)*E576</f>
        <v>0.38456189151599451</v>
      </c>
    </row>
    <row r="577" spans="1:10" x14ac:dyDescent="0.2">
      <c r="B577">
        <v>15</v>
      </c>
      <c r="C577">
        <v>2</v>
      </c>
      <c r="D577" s="2">
        <v>2.1850000000000001</v>
      </c>
      <c r="E577" s="2">
        <f>0.309+0.104</f>
        <v>0.41299999999999998</v>
      </c>
      <c r="F577" s="2">
        <f>100*E577/D577</f>
        <v>18.901601830663616</v>
      </c>
      <c r="G577" s="7">
        <v>1</v>
      </c>
      <c r="I577" s="2">
        <f>(0.5/0.719)*D577</f>
        <v>1.5194714881780251</v>
      </c>
      <c r="J577" s="2">
        <f>(0.5/0.719)*E577</f>
        <v>0.2872044506258693</v>
      </c>
    </row>
    <row r="578" spans="1:10" x14ac:dyDescent="0.2">
      <c r="B578">
        <v>16</v>
      </c>
      <c r="C578">
        <v>3</v>
      </c>
      <c r="D578" s="2">
        <v>1.5369999999999999</v>
      </c>
      <c r="E578" s="2">
        <v>0.45800000000000002</v>
      </c>
      <c r="F578" s="2">
        <f>100*E578/D578</f>
        <v>29.798308392973329</v>
      </c>
      <c r="G578" s="7">
        <v>1</v>
      </c>
      <c r="I578" s="2">
        <f>(0.5/0.719)*D578</f>
        <v>1.0688456189151601</v>
      </c>
      <c r="J578" s="2">
        <f>(0.5/0.719)*E578</f>
        <v>0.31849791376912384</v>
      </c>
    </row>
    <row r="579" spans="1:10" x14ac:dyDescent="0.2">
      <c r="B579">
        <v>17</v>
      </c>
      <c r="C579">
        <v>4</v>
      </c>
      <c r="D579" s="2">
        <v>1.4319999999999999</v>
      </c>
      <c r="E579" s="2">
        <f>0.089+0.159</f>
        <v>0.248</v>
      </c>
      <c r="F579" s="2">
        <f>100*E579/D579</f>
        <v>17.318435754189945</v>
      </c>
      <c r="G579" s="7">
        <v>1</v>
      </c>
      <c r="I579" s="2">
        <f>(0.5/0.719)*D579</f>
        <v>0.99582753824756609</v>
      </c>
      <c r="J579" s="2">
        <f>(0.5/0.719)*E579</f>
        <v>0.17246175243393605</v>
      </c>
    </row>
    <row r="580" spans="1:10" x14ac:dyDescent="0.2">
      <c r="B580">
        <v>18</v>
      </c>
      <c r="C580">
        <v>5</v>
      </c>
      <c r="D580" s="2">
        <v>2.2320000000000002</v>
      </c>
      <c r="E580" s="2">
        <v>0.32800000000000001</v>
      </c>
      <c r="F580" s="2">
        <f>100*E580/D580</f>
        <v>14.695340501792115</v>
      </c>
      <c r="G580" s="7">
        <v>1</v>
      </c>
      <c r="I580" s="2">
        <f>(0.5/0.719)*D580</f>
        <v>1.5521557719054244</v>
      </c>
      <c r="J580" s="2">
        <f>(0.5/0.719)*E580</f>
        <v>0.22809457579972187</v>
      </c>
    </row>
    <row r="581" spans="1:10" x14ac:dyDescent="0.2">
      <c r="B581">
        <v>19</v>
      </c>
      <c r="C581">
        <v>6</v>
      </c>
      <c r="D581" s="2">
        <v>2.6709999999999998</v>
      </c>
      <c r="E581" s="2">
        <f>0.322+0.181</f>
        <v>0.503</v>
      </c>
      <c r="F581" s="2">
        <f>100*E581/D581</f>
        <v>18.831898165481093</v>
      </c>
      <c r="G581" s="7">
        <v>1</v>
      </c>
      <c r="I581" s="2">
        <f>(0.5/0.719)*D581</f>
        <v>1.857440890125174</v>
      </c>
      <c r="J581" s="2">
        <f>(0.5/0.719)*E581</f>
        <v>0.34979137691237833</v>
      </c>
    </row>
    <row r="582" spans="1:10" x14ac:dyDescent="0.2">
      <c r="A582" t="s">
        <v>80</v>
      </c>
      <c r="B582">
        <v>20</v>
      </c>
      <c r="C582">
        <v>1</v>
      </c>
      <c r="D582" s="2">
        <v>2.4359999999999999</v>
      </c>
      <c r="E582" s="2">
        <f>0.428+0.159+0.132</f>
        <v>0.71899999999999997</v>
      </c>
      <c r="F582" s="2">
        <f>100*E582/D582</f>
        <v>29.515599343185546</v>
      </c>
      <c r="G582" s="7">
        <v>1</v>
      </c>
      <c r="H582" s="2">
        <v>1</v>
      </c>
      <c r="I582" s="2">
        <f>(0.5/0.719)*D582</f>
        <v>1.6940194714881782</v>
      </c>
      <c r="J582" s="2">
        <f>(0.5/0.719)*E582</f>
        <v>0.5</v>
      </c>
    </row>
    <row r="583" spans="1:10" x14ac:dyDescent="0.2">
      <c r="B583">
        <v>21</v>
      </c>
      <c r="C583">
        <v>2</v>
      </c>
      <c r="D583" s="2">
        <v>1.883</v>
      </c>
      <c r="E583" s="2">
        <f>0.16+0.362</f>
        <v>0.52200000000000002</v>
      </c>
      <c r="F583" s="2">
        <f>100*E583/D583</f>
        <v>27.721720658523633</v>
      </c>
      <c r="G583" s="7">
        <v>1</v>
      </c>
      <c r="I583" s="2">
        <f>(0.5/0.719)*D583</f>
        <v>1.3094575799721837</v>
      </c>
      <c r="J583" s="2">
        <f>(0.5/0.719)*E583</f>
        <v>0.36300417246175248</v>
      </c>
    </row>
    <row r="584" spans="1:10" x14ac:dyDescent="0.2">
      <c r="B584">
        <v>22</v>
      </c>
      <c r="C584">
        <v>3</v>
      </c>
      <c r="D584" s="2">
        <v>3.9660000000000002</v>
      </c>
      <c r="E584" s="2">
        <f>0.208+0.29+0.201+0.143</f>
        <v>0.84200000000000008</v>
      </c>
      <c r="F584" s="2">
        <f>100*E584/D584</f>
        <v>21.230458900655574</v>
      </c>
      <c r="G584" s="7">
        <v>1</v>
      </c>
      <c r="I584" s="2">
        <f>(0.5/0.719)*D584</f>
        <v>2.7579972183588319</v>
      </c>
      <c r="J584" s="2">
        <f>(0.5/0.719)*E584</f>
        <v>0.5855354659248958</v>
      </c>
    </row>
    <row r="585" spans="1:10" x14ac:dyDescent="0.2">
      <c r="B585">
        <v>23</v>
      </c>
      <c r="C585">
        <v>4</v>
      </c>
      <c r="D585" s="2">
        <v>1.91</v>
      </c>
      <c r="E585" s="2">
        <f>0.256+0.58</f>
        <v>0.83599999999999997</v>
      </c>
      <c r="F585" s="2">
        <f>100*E585/D585</f>
        <v>43.769633507853399</v>
      </c>
      <c r="G585" s="7">
        <v>1</v>
      </c>
      <c r="I585" s="2">
        <f>(0.5/0.719)*D585</f>
        <v>1.3282336578581364</v>
      </c>
      <c r="J585" s="2">
        <f>(0.5/0.719)*E585</f>
        <v>0.58136300417246178</v>
      </c>
    </row>
    <row r="586" spans="1:10" x14ac:dyDescent="0.2">
      <c r="B586">
        <v>24</v>
      </c>
      <c r="C586">
        <v>5</v>
      </c>
      <c r="D586" s="2">
        <v>1.9870000000000001</v>
      </c>
      <c r="E586" s="2">
        <f>0.313+0.23</f>
        <v>0.54300000000000004</v>
      </c>
      <c r="F586" s="2">
        <f>100*E586/D586</f>
        <v>27.327629592350277</v>
      </c>
      <c r="G586" s="7">
        <v>1</v>
      </c>
      <c r="I586" s="2">
        <f>(0.5/0.719)*D586</f>
        <v>1.3817802503477055</v>
      </c>
      <c r="J586" s="2">
        <f>(0.5/0.719)*E586</f>
        <v>0.37760778859527128</v>
      </c>
    </row>
    <row r="587" spans="1:10" x14ac:dyDescent="0.2">
      <c r="B587">
        <v>25</v>
      </c>
      <c r="C587">
        <v>6</v>
      </c>
      <c r="D587" s="2">
        <v>2.3260000000000001</v>
      </c>
      <c r="E587" s="2">
        <f>0.142+0.996</f>
        <v>1.1379999999999999</v>
      </c>
      <c r="F587" s="2">
        <f>100*E587/D587</f>
        <v>48.925193465176257</v>
      </c>
      <c r="G587" s="7">
        <v>1</v>
      </c>
      <c r="I587" s="2">
        <f>(0.5/0.719)*D587</f>
        <v>1.6175243393602228</v>
      </c>
      <c r="J587" s="2">
        <f>(0.5/0.719)*E587</f>
        <v>0.79137691237830321</v>
      </c>
    </row>
    <row r="588" spans="1:10" x14ac:dyDescent="0.2">
      <c r="B588">
        <v>26</v>
      </c>
      <c r="C588">
        <v>7</v>
      </c>
      <c r="D588" s="2">
        <v>2.67</v>
      </c>
      <c r="E588" s="2">
        <f>0.09+0.333</f>
        <v>0.42300000000000004</v>
      </c>
      <c r="F588" s="2">
        <f>100*E588/D588</f>
        <v>15.842696629213485</v>
      </c>
      <c r="G588" s="7">
        <v>1</v>
      </c>
      <c r="I588" s="2">
        <f>(0.5/0.719)*D588</f>
        <v>1.8567454798331018</v>
      </c>
      <c r="J588" s="2">
        <f>(0.5/0.719)*E588</f>
        <v>0.29415855354659254</v>
      </c>
    </row>
    <row r="589" spans="1:10" x14ac:dyDescent="0.2">
      <c r="B589">
        <v>27</v>
      </c>
      <c r="C589">
        <v>8</v>
      </c>
      <c r="D589" s="2">
        <v>3.0449999999999999</v>
      </c>
      <c r="E589" s="2">
        <f>0.845+0.556+0.272</f>
        <v>1.673</v>
      </c>
      <c r="F589" s="2">
        <f>100*E589/D589</f>
        <v>54.942528735632187</v>
      </c>
      <c r="G589" s="7">
        <v>1</v>
      </c>
      <c r="I589" s="2">
        <f>(0.5/0.719)*D589</f>
        <v>2.1175243393602226</v>
      </c>
      <c r="J589" s="2">
        <f>(0.5/0.719)*E589</f>
        <v>1.163421418636996</v>
      </c>
    </row>
    <row r="590" spans="1:10" x14ac:dyDescent="0.2">
      <c r="A590" t="s">
        <v>79</v>
      </c>
      <c r="B590">
        <v>28</v>
      </c>
      <c r="C590">
        <v>1</v>
      </c>
      <c r="D590" s="2">
        <v>2.25</v>
      </c>
      <c r="E590" s="2">
        <f>0.285+0.096+0.247+0.191</f>
        <v>0.81899999999999995</v>
      </c>
      <c r="F590" s="2">
        <f>100*E590/D590</f>
        <v>36.4</v>
      </c>
      <c r="G590" s="7">
        <v>1</v>
      </c>
      <c r="H590" s="2">
        <f>5/6</f>
        <v>0.83333333333333337</v>
      </c>
      <c r="I590" s="2">
        <f>(0.5/0.719)*D590</f>
        <v>1.5646731571627261</v>
      </c>
      <c r="J590" s="2">
        <f>(0.5/0.719)*E590</f>
        <v>0.56954102920723226</v>
      </c>
    </row>
    <row r="591" spans="1:10" x14ac:dyDescent="0.2">
      <c r="B591">
        <v>29</v>
      </c>
      <c r="C591">
        <v>2</v>
      </c>
      <c r="D591" s="2">
        <v>2.0150000000000001</v>
      </c>
      <c r="E591" s="2">
        <v>0.27500000000000002</v>
      </c>
      <c r="F591" s="2">
        <f>100*E591/D591</f>
        <v>13.647642679900745</v>
      </c>
      <c r="G591" s="7">
        <v>1</v>
      </c>
      <c r="I591" s="2">
        <f>(0.5/0.719)*D591</f>
        <v>1.4012517385257304</v>
      </c>
      <c r="J591" s="2">
        <f>(0.5/0.719)*E591</f>
        <v>0.19123783031988878</v>
      </c>
    </row>
    <row r="592" spans="1:10" x14ac:dyDescent="0.2">
      <c r="B592">
        <v>30</v>
      </c>
      <c r="C592">
        <v>3</v>
      </c>
      <c r="D592" s="2">
        <v>3.0169999999999999</v>
      </c>
      <c r="E592" s="2">
        <f>0.301+0.19</f>
        <v>0.49099999999999999</v>
      </c>
      <c r="F592" s="2">
        <f>100*E592/D592</f>
        <v>16.274444812727875</v>
      </c>
      <c r="G592" s="7">
        <v>1</v>
      </c>
      <c r="I592" s="2">
        <f>(0.5/0.719)*D592</f>
        <v>2.0980528511821976</v>
      </c>
      <c r="J592" s="2">
        <f>(0.5/0.719)*E592</f>
        <v>0.34144645340751045</v>
      </c>
    </row>
    <row r="593" spans="1:10" x14ac:dyDescent="0.2">
      <c r="B593">
        <v>31</v>
      </c>
      <c r="C593">
        <v>4</v>
      </c>
      <c r="D593" s="2">
        <v>1.7330000000000001</v>
      </c>
      <c r="E593" s="2">
        <v>0</v>
      </c>
      <c r="F593" s="2">
        <f>100*E593/D593</f>
        <v>0</v>
      </c>
      <c r="G593" s="7">
        <v>0</v>
      </c>
      <c r="I593" s="2">
        <f>(0.5/0.719)*D593</f>
        <v>1.2051460361613353</v>
      </c>
      <c r="J593" s="2">
        <f>(0.5/0.719)*E593</f>
        <v>0</v>
      </c>
    </row>
    <row r="594" spans="1:10" x14ac:dyDescent="0.2">
      <c r="B594">
        <v>32</v>
      </c>
      <c r="C594">
        <v>5</v>
      </c>
      <c r="D594" s="2">
        <v>2.3050000000000002</v>
      </c>
      <c r="E594" s="2">
        <v>0.17100000000000001</v>
      </c>
      <c r="F594" s="2">
        <f>100*E594/D594</f>
        <v>7.4186550976138825</v>
      </c>
      <c r="G594" s="7">
        <v>1</v>
      </c>
      <c r="I594" s="2">
        <f>(0.5/0.719)*D594</f>
        <v>1.602920723226704</v>
      </c>
      <c r="J594" s="2">
        <f>(0.5/0.719)*E594</f>
        <v>0.1189151599443672</v>
      </c>
    </row>
    <row r="595" spans="1:10" x14ac:dyDescent="0.2">
      <c r="B595">
        <v>33</v>
      </c>
      <c r="C595">
        <v>6</v>
      </c>
      <c r="D595" s="2">
        <v>1.819</v>
      </c>
      <c r="E595" s="2">
        <f>0.404+0.196</f>
        <v>0.60000000000000009</v>
      </c>
      <c r="F595" s="2">
        <f>100*E595/D595</f>
        <v>32.985156679494231</v>
      </c>
      <c r="G595" s="7">
        <v>1</v>
      </c>
      <c r="I595" s="2">
        <f>(0.5/0.719)*D595</f>
        <v>1.2649513212795551</v>
      </c>
      <c r="J595" s="2">
        <f>(0.5/0.719)*E595</f>
        <v>0.41724617524339369</v>
      </c>
    </row>
    <row r="596" spans="1:10" x14ac:dyDescent="0.2">
      <c r="A596" t="s">
        <v>78</v>
      </c>
      <c r="B596">
        <v>34</v>
      </c>
      <c r="C596">
        <v>1</v>
      </c>
      <c r="D596" s="2">
        <v>3.3050000000000002</v>
      </c>
      <c r="E596" s="2">
        <f>0.363+0.353</f>
        <v>0.71599999999999997</v>
      </c>
      <c r="F596" s="2">
        <f>100*E596/D596</f>
        <v>21.664145234493191</v>
      </c>
      <c r="G596" s="7">
        <v>1</v>
      </c>
      <c r="H596" s="2">
        <v>1</v>
      </c>
      <c r="I596" s="2">
        <f>(0.5/0.719)*D596</f>
        <v>2.2983310152990266</v>
      </c>
      <c r="J596" s="2">
        <f>(0.5/0.719)*E596</f>
        <v>0.49791376912378305</v>
      </c>
    </row>
    <row r="597" spans="1:10" x14ac:dyDescent="0.2">
      <c r="B597">
        <v>35</v>
      </c>
      <c r="C597">
        <v>2</v>
      </c>
      <c r="D597" s="2">
        <v>6.3769999999999998</v>
      </c>
      <c r="E597" s="2">
        <f>0.171+0.268+0.548+0.619+0.209</f>
        <v>1.8150000000000002</v>
      </c>
      <c r="F597" s="2">
        <f>100*E597/D597</f>
        <v>28.461659087345151</v>
      </c>
      <c r="G597" s="7">
        <v>1</v>
      </c>
      <c r="I597" s="2">
        <f>(0.5/0.719)*D597</f>
        <v>4.4346314325452019</v>
      </c>
      <c r="J597" s="2">
        <f>(0.5/0.719)*E597</f>
        <v>1.2621696801112658</v>
      </c>
    </row>
    <row r="598" spans="1:10" x14ac:dyDescent="0.2">
      <c r="A598" t="s">
        <v>77</v>
      </c>
      <c r="B598">
        <v>36</v>
      </c>
      <c r="C598">
        <v>1</v>
      </c>
      <c r="D598" s="2">
        <v>2.395</v>
      </c>
      <c r="E598" s="2">
        <v>0.41299999999999998</v>
      </c>
      <c r="F598" s="2">
        <f>100*E598/D598</f>
        <v>17.244258872651354</v>
      </c>
      <c r="G598" s="7">
        <v>1</v>
      </c>
      <c r="H598" s="2">
        <v>1</v>
      </c>
      <c r="I598" s="2">
        <f>(0.5/0.719)*D598</f>
        <v>1.6655076495132131</v>
      </c>
      <c r="J598" s="2">
        <f>(0.5/0.719)*E598</f>
        <v>0.2872044506258693</v>
      </c>
    </row>
    <row r="599" spans="1:10" x14ac:dyDescent="0.2">
      <c r="B599">
        <v>37</v>
      </c>
      <c r="C599">
        <v>2</v>
      </c>
      <c r="D599" s="2">
        <v>3.827</v>
      </c>
      <c r="E599" s="2">
        <f>0.673+0.249</f>
        <v>0.92200000000000004</v>
      </c>
      <c r="F599" s="2">
        <f>100*E599/D599</f>
        <v>24.09197805069245</v>
      </c>
      <c r="G599" s="7">
        <v>1</v>
      </c>
      <c r="I599" s="2">
        <f>(0.5/0.719)*D599</f>
        <v>2.6613351877607792</v>
      </c>
      <c r="J599" s="2">
        <f>(0.5/0.719)*E599</f>
        <v>0.64116828929068159</v>
      </c>
    </row>
    <row r="600" spans="1:10" x14ac:dyDescent="0.2">
      <c r="B600">
        <v>38</v>
      </c>
      <c r="C600">
        <v>3</v>
      </c>
      <c r="D600" s="2">
        <v>5.1369999999999996</v>
      </c>
      <c r="E600" s="2">
        <f>0.166+0.22+0.153+0.213+0.104</f>
        <v>0.85599999999999998</v>
      </c>
      <c r="F600" s="2">
        <f>100*E600/D600</f>
        <v>16.663422230874051</v>
      </c>
      <c r="G600" s="7">
        <v>1</v>
      </c>
      <c r="I600" s="2">
        <f>(0.5/0.719)*D600</f>
        <v>3.5723226703755215</v>
      </c>
      <c r="J600" s="2">
        <f>(0.5/0.719)*E600</f>
        <v>0.59527121001390826</v>
      </c>
    </row>
    <row r="601" spans="1:10" x14ac:dyDescent="0.2">
      <c r="A601" t="s">
        <v>75</v>
      </c>
      <c r="B601">
        <v>39</v>
      </c>
      <c r="C601">
        <v>1</v>
      </c>
      <c r="D601" s="2">
        <v>2.1389999999999998</v>
      </c>
      <c r="E601" s="2">
        <v>0.307</v>
      </c>
      <c r="F601" s="2">
        <f>100*E601/D601</f>
        <v>14.352501168770454</v>
      </c>
      <c r="G601" s="7">
        <v>1</v>
      </c>
      <c r="H601" s="2">
        <v>1</v>
      </c>
      <c r="I601" s="2">
        <f>(0.5/0.719)*D601</f>
        <v>1.4874826147426983</v>
      </c>
      <c r="J601" s="2">
        <f>(0.5/0.719)*E601</f>
        <v>0.21349095966620307</v>
      </c>
    </row>
    <row r="602" spans="1:10" x14ac:dyDescent="0.2">
      <c r="B602">
        <v>40</v>
      </c>
      <c r="C602">
        <v>2</v>
      </c>
      <c r="D602" s="2">
        <v>1.472</v>
      </c>
      <c r="E602" s="2">
        <f>0.248+0.138</f>
        <v>0.38600000000000001</v>
      </c>
      <c r="F602" s="2">
        <f>100*E602/D602</f>
        <v>26.222826086956523</v>
      </c>
      <c r="G602" s="7">
        <v>1</v>
      </c>
      <c r="I602" s="2">
        <f>(0.5/0.719)*D602</f>
        <v>1.023643949930459</v>
      </c>
      <c r="J602" s="2">
        <f>(0.5/0.719)*E602</f>
        <v>0.2684283727399166</v>
      </c>
    </row>
    <row r="603" spans="1:10" x14ac:dyDescent="0.2">
      <c r="B603">
        <v>41</v>
      </c>
      <c r="C603">
        <v>3</v>
      </c>
      <c r="D603" s="2">
        <v>1.958</v>
      </c>
      <c r="E603" s="2">
        <f>0.386+0.54</f>
        <v>0.92600000000000005</v>
      </c>
      <c r="F603" s="2">
        <f>100*E603/D603</f>
        <v>47.293156281920332</v>
      </c>
      <c r="G603" s="7">
        <v>1</v>
      </c>
      <c r="I603" s="2">
        <f>(0.5/0.719)*D603</f>
        <v>1.3616133518776079</v>
      </c>
      <c r="J603" s="2">
        <f>(0.5/0.719)*E603</f>
        <v>0.64394993045897087</v>
      </c>
    </row>
    <row r="604" spans="1:10" x14ac:dyDescent="0.2">
      <c r="B604">
        <v>42</v>
      </c>
      <c r="C604">
        <v>4</v>
      </c>
      <c r="D604" s="2">
        <v>2.6179999999999999</v>
      </c>
      <c r="E604" s="2">
        <f>0.159+0.318</f>
        <v>0.47699999999999998</v>
      </c>
      <c r="F604" s="2">
        <f>100*E604/D604</f>
        <v>18.220015278838808</v>
      </c>
      <c r="G604" s="7">
        <v>1</v>
      </c>
      <c r="I604" s="2">
        <f>(0.5/0.719)*D604</f>
        <v>1.8205841446453408</v>
      </c>
      <c r="J604" s="2">
        <f>(0.5/0.719)*E604</f>
        <v>0.33171070931849794</v>
      </c>
    </row>
    <row r="605" spans="1:10" x14ac:dyDescent="0.2">
      <c r="B605">
        <v>43</v>
      </c>
      <c r="C605">
        <v>5</v>
      </c>
      <c r="D605" s="2">
        <v>1.4910000000000001</v>
      </c>
      <c r="E605" s="2">
        <v>0.29599999999999999</v>
      </c>
      <c r="F605" s="2">
        <f>100*E605/D605</f>
        <v>19.852448021462102</v>
      </c>
      <c r="G605" s="7">
        <v>1</v>
      </c>
      <c r="I605" s="2">
        <f>(0.5/0.719)*D605</f>
        <v>1.0368567454798332</v>
      </c>
      <c r="J605" s="2">
        <f>(0.5/0.719)*E605</f>
        <v>0.20584144645340752</v>
      </c>
    </row>
    <row r="606" spans="1:10" x14ac:dyDescent="0.2">
      <c r="B606">
        <v>44</v>
      </c>
      <c r="C606">
        <v>6</v>
      </c>
      <c r="D606" s="2">
        <v>3.4449999999999998</v>
      </c>
      <c r="E606" s="2">
        <f>0.82-0.426+0.456</f>
        <v>0.85</v>
      </c>
      <c r="F606" s="2">
        <f>100*E606/D606</f>
        <v>24.673439767779392</v>
      </c>
      <c r="G606" s="7">
        <v>1</v>
      </c>
      <c r="I606" s="2">
        <f>(0.5/0.719)*D606</f>
        <v>2.3956884561891516</v>
      </c>
      <c r="J606" s="2">
        <f>(0.5/0.719)*E606</f>
        <v>0.59109874826147435</v>
      </c>
    </row>
    <row r="607" spans="1:10" x14ac:dyDescent="0.2">
      <c r="B607">
        <v>45</v>
      </c>
      <c r="C607">
        <v>7</v>
      </c>
      <c r="D607" s="2">
        <v>2.2549999999999999</v>
      </c>
      <c r="E607" s="2">
        <f>0.488+0.125</f>
        <v>0.61299999999999999</v>
      </c>
      <c r="F607" s="2">
        <f>100*E607/D607</f>
        <v>27.184035476718403</v>
      </c>
      <c r="G607" s="7">
        <v>1</v>
      </c>
      <c r="I607" s="2">
        <f>(0.5/0.719)*D607</f>
        <v>1.5681502086230876</v>
      </c>
      <c r="J607" s="2">
        <f>(0.5/0.719)*E607</f>
        <v>0.42628650904033383</v>
      </c>
    </row>
    <row r="608" spans="1:10" x14ac:dyDescent="0.2">
      <c r="A608" t="s">
        <v>74</v>
      </c>
      <c r="B608">
        <v>46</v>
      </c>
      <c r="C608">
        <v>1</v>
      </c>
      <c r="D608" s="2">
        <v>3.0369999999999999</v>
      </c>
      <c r="E608" s="2">
        <v>0.221</v>
      </c>
      <c r="F608" s="2">
        <f>100*E608/D608</f>
        <v>7.2769180111952592</v>
      </c>
      <c r="G608" s="7">
        <v>1</v>
      </c>
      <c r="H608" s="2">
        <f>4/5</f>
        <v>0.8</v>
      </c>
      <c r="I608" s="2">
        <f>(0.5/0.719)*D608</f>
        <v>2.111961057023644</v>
      </c>
      <c r="J608" s="2">
        <f>(0.5/0.719)*E608</f>
        <v>0.15368567454798332</v>
      </c>
    </row>
    <row r="609" spans="1:10" x14ac:dyDescent="0.2">
      <c r="B609">
        <v>47</v>
      </c>
      <c r="C609">
        <v>2</v>
      </c>
      <c r="D609" s="2">
        <v>1.792</v>
      </c>
      <c r="E609" s="2">
        <v>0</v>
      </c>
      <c r="F609" s="2">
        <f>100*E609/D609</f>
        <v>0</v>
      </c>
      <c r="G609" s="7">
        <v>0</v>
      </c>
      <c r="I609" s="2">
        <f>(0.5/0.719)*D609</f>
        <v>1.2461752433936024</v>
      </c>
      <c r="J609" s="2">
        <f>(0.5/0.719)*E609</f>
        <v>0</v>
      </c>
    </row>
    <row r="610" spans="1:10" x14ac:dyDescent="0.2">
      <c r="B610">
        <v>48</v>
      </c>
      <c r="C610">
        <v>3</v>
      </c>
      <c r="D610" s="2">
        <v>1.792</v>
      </c>
      <c r="E610" s="2">
        <v>0.66600000000000004</v>
      </c>
      <c r="F610" s="2">
        <f>100*E610/D610</f>
        <v>37.165178571428577</v>
      </c>
      <c r="G610" s="7">
        <v>1</v>
      </c>
      <c r="I610" s="2">
        <f>(0.5/0.719)*D610</f>
        <v>1.2461752433936024</v>
      </c>
      <c r="J610" s="2">
        <f>(0.5/0.719)*E610</f>
        <v>0.46314325452016697</v>
      </c>
    </row>
    <row r="611" spans="1:10" x14ac:dyDescent="0.2">
      <c r="B611">
        <v>49</v>
      </c>
      <c r="C611">
        <v>4</v>
      </c>
      <c r="D611" s="2">
        <v>2.9369999999999998</v>
      </c>
      <c r="E611" s="2">
        <f>0.439+0.652</f>
        <v>1.091</v>
      </c>
      <c r="F611" s="2">
        <f>100*E611/D611</f>
        <v>37.146748382703436</v>
      </c>
      <c r="G611" s="7">
        <v>1</v>
      </c>
      <c r="I611" s="2">
        <f>(0.5/0.719)*D611</f>
        <v>2.0424200278164117</v>
      </c>
      <c r="J611" s="2">
        <f>(0.5/0.719)*E611</f>
        <v>0.75869262865090414</v>
      </c>
    </row>
    <row r="612" spans="1:10" x14ac:dyDescent="0.2">
      <c r="B612">
        <v>50</v>
      </c>
      <c r="C612">
        <v>5</v>
      </c>
      <c r="D612" s="2">
        <v>1.4510000000000001</v>
      </c>
      <c r="E612" s="2">
        <v>0.17299999999999999</v>
      </c>
      <c r="F612" s="2">
        <f>100*E612/D612</f>
        <v>11.922811853893863</v>
      </c>
      <c r="G612" s="7">
        <v>1</v>
      </c>
      <c r="I612" s="2">
        <f>(0.5/0.719)*D612</f>
        <v>1.0090403337969402</v>
      </c>
      <c r="J612" s="2">
        <f>(0.5/0.719)*E612</f>
        <v>0.12030598052851182</v>
      </c>
    </row>
    <row r="613" spans="1:10" x14ac:dyDescent="0.2">
      <c r="A613" t="s">
        <v>73</v>
      </c>
      <c r="B613">
        <v>51</v>
      </c>
      <c r="C613">
        <v>1</v>
      </c>
      <c r="D613" s="2">
        <v>4.4950000000000001</v>
      </c>
      <c r="E613" s="2">
        <f>1.17+0.292</f>
        <v>1.462</v>
      </c>
      <c r="F613" s="2">
        <f>100*E613/D613</f>
        <v>32.525027808676306</v>
      </c>
      <c r="G613" s="7">
        <v>1</v>
      </c>
      <c r="H613" s="2">
        <v>1</v>
      </c>
      <c r="I613" s="2">
        <f>(0.5/0.719)*D613</f>
        <v>3.1258692628650908</v>
      </c>
      <c r="J613" s="2">
        <f>(0.5/0.719)*E613</f>
        <v>1.0166898470097359</v>
      </c>
    </row>
    <row r="614" spans="1:10" x14ac:dyDescent="0.2">
      <c r="B614">
        <v>52</v>
      </c>
      <c r="C614">
        <v>2</v>
      </c>
      <c r="D614" s="2">
        <v>1.6850000000000001</v>
      </c>
      <c r="E614" s="2">
        <f>0.417+0.094</f>
        <v>0.51100000000000001</v>
      </c>
      <c r="F614" s="2">
        <f>100*E614/D614</f>
        <v>30.326409495548962</v>
      </c>
      <c r="G614" s="7">
        <v>1</v>
      </c>
      <c r="I614" s="2">
        <f>(0.5/0.719)*D614</f>
        <v>1.1717663421418638</v>
      </c>
      <c r="J614" s="2">
        <f>(0.5/0.719)*E614</f>
        <v>0.35535465924895693</v>
      </c>
    </row>
    <row r="615" spans="1:10" x14ac:dyDescent="0.2">
      <c r="B615">
        <v>53</v>
      </c>
      <c r="C615">
        <v>3</v>
      </c>
      <c r="D615" s="2">
        <v>1.474</v>
      </c>
      <c r="E615" s="2">
        <f>0.131+0.255</f>
        <v>0.38600000000000001</v>
      </c>
      <c r="F615" s="2">
        <f>100*E615/D615</f>
        <v>26.187245590230667</v>
      </c>
      <c r="G615" s="7">
        <v>1</v>
      </c>
      <c r="I615" s="2">
        <f>(0.5/0.719)*D615</f>
        <v>1.0250347705146037</v>
      </c>
      <c r="J615" s="2">
        <f>(0.5/0.719)*E615</f>
        <v>0.2684283727399166</v>
      </c>
    </row>
    <row r="616" spans="1:10" x14ac:dyDescent="0.2">
      <c r="B616">
        <v>54</v>
      </c>
      <c r="C616">
        <v>4</v>
      </c>
      <c r="D616" s="2">
        <v>3.3919999999999999</v>
      </c>
      <c r="E616" s="2">
        <f>0.434+0.83+0.348</f>
        <v>1.6120000000000001</v>
      </c>
      <c r="F616" s="2">
        <f>100*E616/D616</f>
        <v>47.523584905660385</v>
      </c>
      <c r="G616" s="7">
        <v>1</v>
      </c>
      <c r="I616" s="2">
        <f>(0.5/0.719)*D616</f>
        <v>2.3588317107093189</v>
      </c>
      <c r="J616" s="2">
        <f>(0.5/0.719)*E616</f>
        <v>1.1210013908205843</v>
      </c>
    </row>
    <row r="617" spans="1:10" x14ac:dyDescent="0.2">
      <c r="B617">
        <v>55</v>
      </c>
      <c r="C617">
        <v>5</v>
      </c>
      <c r="D617" s="2">
        <v>2.0830000000000002</v>
      </c>
      <c r="E617" s="2">
        <v>0.749</v>
      </c>
      <c r="F617" s="2">
        <f>100*E617/D617</f>
        <v>35.957753240518485</v>
      </c>
      <c r="G617" s="7">
        <v>1</v>
      </c>
      <c r="I617" s="2">
        <f>(0.5/0.719)*D617</f>
        <v>1.4485396383866485</v>
      </c>
      <c r="J617" s="2">
        <f>(0.5/0.719)*E617</f>
        <v>0.52086230876216977</v>
      </c>
    </row>
    <row r="618" spans="1:10" x14ac:dyDescent="0.2">
      <c r="B618">
        <v>56</v>
      </c>
      <c r="C618">
        <v>6</v>
      </c>
      <c r="D618" s="2">
        <v>2.8279999999999998</v>
      </c>
      <c r="E618" s="2">
        <f>0.298+0.182</f>
        <v>0.48</v>
      </c>
      <c r="F618" s="2">
        <f>100*E618/D618</f>
        <v>16.973125884016973</v>
      </c>
      <c r="G618" s="7">
        <v>1</v>
      </c>
      <c r="I618" s="2">
        <f>(0.5/0.719)*D618</f>
        <v>1.9666203059805285</v>
      </c>
      <c r="J618" s="2">
        <f>(0.5/0.719)*E618</f>
        <v>0.3337969401947149</v>
      </c>
    </row>
    <row r="619" spans="1:10" x14ac:dyDescent="0.2">
      <c r="A619" t="s">
        <v>72</v>
      </c>
      <c r="B619">
        <v>57</v>
      </c>
      <c r="C619">
        <v>1</v>
      </c>
      <c r="D619" s="2">
        <v>2.419</v>
      </c>
      <c r="E619" s="2">
        <v>0.152</v>
      </c>
      <c r="F619" s="2">
        <f>100*E619/D619</f>
        <v>6.2835882596114097</v>
      </c>
      <c r="G619" s="7">
        <v>1</v>
      </c>
      <c r="H619" s="2">
        <v>1</v>
      </c>
      <c r="I619" s="2">
        <f>(0.5/0.719)*D619</f>
        <v>1.6821974965229487</v>
      </c>
      <c r="J619" s="2">
        <f>(0.5/0.719)*E619</f>
        <v>0.10570236439499306</v>
      </c>
    </row>
    <row r="620" spans="1:10" x14ac:dyDescent="0.2">
      <c r="B620">
        <v>58</v>
      </c>
      <c r="C620">
        <v>2</v>
      </c>
      <c r="D620" s="2">
        <v>3.0270000000000001</v>
      </c>
      <c r="E620" s="2">
        <f>0.424+0.434</f>
        <v>0.85799999999999998</v>
      </c>
      <c r="F620" s="2">
        <f>100*E620/D620</f>
        <v>28.344895936570861</v>
      </c>
      <c r="G620" s="7">
        <v>1</v>
      </c>
      <c r="I620" s="2">
        <f>(0.5/0.719)*D620</f>
        <v>2.105006954102921</v>
      </c>
      <c r="J620" s="2">
        <f>(0.5/0.719)*E620</f>
        <v>0.59666203059805289</v>
      </c>
    </row>
    <row r="621" spans="1:10" x14ac:dyDescent="0.2">
      <c r="A621" t="s">
        <v>71</v>
      </c>
      <c r="B621">
        <v>59</v>
      </c>
      <c r="C621">
        <v>1</v>
      </c>
      <c r="D621" s="2">
        <v>4.0259999999999998</v>
      </c>
      <c r="E621" s="2">
        <v>0.193</v>
      </c>
      <c r="F621" s="2">
        <f>100*E621/D621</f>
        <v>4.7938400397416796</v>
      </c>
      <c r="G621" s="7">
        <v>1</v>
      </c>
      <c r="H621" s="2">
        <v>1</v>
      </c>
      <c r="I621" s="2">
        <f>(0.5/0.719)*D621</f>
        <v>2.799721835883171</v>
      </c>
      <c r="J621" s="2">
        <f>(0.5/0.719)*E621</f>
        <v>0.1342141863699583</v>
      </c>
    </row>
    <row r="622" spans="1:10" x14ac:dyDescent="0.2">
      <c r="B622">
        <v>60</v>
      </c>
      <c r="C622">
        <v>2</v>
      </c>
      <c r="D622" s="2">
        <v>4.3339999999999996</v>
      </c>
      <c r="E622" s="2">
        <v>0.159</v>
      </c>
      <c r="F622" s="2">
        <f>100*E622/D622</f>
        <v>3.6686663590216892</v>
      </c>
      <c r="G622" s="7">
        <v>1</v>
      </c>
      <c r="I622" s="2">
        <f>(0.5/0.719)*D622</f>
        <v>3.0139082058414464</v>
      </c>
      <c r="J622" s="2">
        <f>(0.5/0.719)*E622</f>
        <v>0.11057023643949931</v>
      </c>
    </row>
    <row r="623" spans="1:10" x14ac:dyDescent="0.2">
      <c r="B623">
        <v>61</v>
      </c>
      <c r="C623">
        <v>3</v>
      </c>
      <c r="D623" s="2">
        <v>1.1850000000000001</v>
      </c>
      <c r="E623" s="2">
        <v>0.27700000000000002</v>
      </c>
      <c r="F623" s="2">
        <f>100*E623/D623</f>
        <v>23.375527426160339</v>
      </c>
      <c r="G623" s="7">
        <v>1</v>
      </c>
      <c r="I623" s="2">
        <f>(0.5/0.719)*D623</f>
        <v>0.8240611961057025</v>
      </c>
      <c r="J623" s="2">
        <f>(0.5/0.719)*E623</f>
        <v>0.19262865090403342</v>
      </c>
    </row>
    <row r="624" spans="1:10" x14ac:dyDescent="0.2">
      <c r="A624" t="s">
        <v>70</v>
      </c>
      <c r="B624">
        <v>62</v>
      </c>
      <c r="C624">
        <v>1</v>
      </c>
      <c r="D624" s="2">
        <v>3.7530000000000001</v>
      </c>
      <c r="E624" s="2">
        <v>0.316</v>
      </c>
      <c r="F624" s="2">
        <f>100*E624/D624</f>
        <v>8.4199307220889956</v>
      </c>
      <c r="G624" s="7">
        <v>1</v>
      </c>
      <c r="H624" s="2">
        <v>1</v>
      </c>
      <c r="I624" s="2">
        <f>(0.5/0.719)*D624</f>
        <v>2.6098748261474274</v>
      </c>
      <c r="J624" s="2">
        <f>(0.5/0.719)*E624</f>
        <v>0.21974965229485399</v>
      </c>
    </row>
    <row r="625" spans="1:10" x14ac:dyDescent="0.2">
      <c r="B625">
        <v>63</v>
      </c>
      <c r="C625">
        <v>2</v>
      </c>
      <c r="D625" s="2">
        <v>4.4459999999999997</v>
      </c>
      <c r="E625" s="2">
        <f>0.376+0.307</f>
        <v>0.68300000000000005</v>
      </c>
      <c r="F625" s="2">
        <f>100*E625/D625</f>
        <v>15.362123256860102</v>
      </c>
      <c r="G625" s="7">
        <v>1</v>
      </c>
      <c r="I625" s="2">
        <f>(0.5/0.719)*D625</f>
        <v>3.0917941585535469</v>
      </c>
      <c r="J625" s="2">
        <f>(0.5/0.719)*E625</f>
        <v>0.47496522948539649</v>
      </c>
    </row>
    <row r="626" spans="1:10" x14ac:dyDescent="0.2">
      <c r="B626">
        <v>64</v>
      </c>
      <c r="C626">
        <v>3</v>
      </c>
      <c r="D626" s="2">
        <v>3.64</v>
      </c>
      <c r="E626" s="2">
        <f>0.684+0.171</f>
        <v>0.85500000000000009</v>
      </c>
      <c r="F626" s="2">
        <f>100*E626/D626</f>
        <v>23.489010989010993</v>
      </c>
      <c r="G626" s="7">
        <v>1</v>
      </c>
      <c r="I626" s="2">
        <f>(0.5/0.719)*D626</f>
        <v>2.5312934631432551</v>
      </c>
      <c r="J626" s="2">
        <f>(0.5/0.719)*E626</f>
        <v>0.59457579972183605</v>
      </c>
    </row>
    <row r="627" spans="1:10" x14ac:dyDescent="0.2">
      <c r="A627" t="s">
        <v>67</v>
      </c>
      <c r="B627">
        <v>65</v>
      </c>
      <c r="C627">
        <v>1</v>
      </c>
      <c r="D627" s="2">
        <v>7.1609999999999996</v>
      </c>
      <c r="E627" s="2">
        <f>0.26+1.759</f>
        <v>2.0190000000000001</v>
      </c>
      <c r="F627" s="2">
        <f>100*E627/D627</f>
        <v>28.194386258902391</v>
      </c>
      <c r="G627" s="7">
        <v>1</v>
      </c>
      <c r="H627" s="2">
        <v>1</v>
      </c>
      <c r="I627" s="2">
        <f>(0.5/0.719)*D627</f>
        <v>4.9798331015299029</v>
      </c>
      <c r="J627" s="2">
        <f>(0.5/0.719)*E627</f>
        <v>1.4040333796940196</v>
      </c>
    </row>
    <row r="628" spans="1:10" x14ac:dyDescent="0.2">
      <c r="B628">
        <v>66</v>
      </c>
      <c r="C628">
        <v>2</v>
      </c>
      <c r="D628" s="2">
        <v>4.665</v>
      </c>
      <c r="E628" s="2">
        <v>0.99399999999999999</v>
      </c>
      <c r="F628" s="2">
        <f>100*E628/D628</f>
        <v>21.307609860664524</v>
      </c>
      <c r="G628" s="7">
        <v>1</v>
      </c>
      <c r="I628" s="2">
        <f>(0.5/0.719)*D628</f>
        <v>3.2440890125173856</v>
      </c>
      <c r="J628" s="2">
        <f>(0.5/0.719)*E628</f>
        <v>0.69123783031988884</v>
      </c>
    </row>
    <row r="629" spans="1:10" x14ac:dyDescent="0.2">
      <c r="B629">
        <v>67</v>
      </c>
      <c r="C629">
        <v>3</v>
      </c>
      <c r="D629" s="2">
        <v>4.9180000000000001</v>
      </c>
      <c r="E629" s="2">
        <f>1.873+0.744</f>
        <v>2.617</v>
      </c>
      <c r="F629" s="2">
        <f>100*E629/D629</f>
        <v>53.212688084587228</v>
      </c>
      <c r="G629" s="7">
        <v>1</v>
      </c>
      <c r="I629" s="2">
        <f>(0.5/0.719)*D629</f>
        <v>3.4200278164116833</v>
      </c>
      <c r="J629" s="2">
        <f>(0.5/0.719)*E629</f>
        <v>1.8198887343532686</v>
      </c>
    </row>
    <row r="630" spans="1:10" x14ac:dyDescent="0.2">
      <c r="B630">
        <v>68</v>
      </c>
      <c r="C630">
        <v>4</v>
      </c>
      <c r="D630" s="2">
        <v>3.82</v>
      </c>
      <c r="E630" s="2">
        <f>0.537+0.606+0.328</f>
        <v>1.4710000000000001</v>
      </c>
      <c r="F630" s="2">
        <f>100*E630/D630</f>
        <v>38.507853403141368</v>
      </c>
      <c r="G630" s="7">
        <v>1</v>
      </c>
      <c r="I630" s="2">
        <f>(0.5/0.719)*D630</f>
        <v>2.6564673157162728</v>
      </c>
      <c r="J630" s="2">
        <f>(0.5/0.719)*E630</f>
        <v>1.0229485396383868</v>
      </c>
    </row>
    <row r="631" spans="1:10" x14ac:dyDescent="0.2">
      <c r="A631" t="s">
        <v>66</v>
      </c>
      <c r="B631">
        <v>69</v>
      </c>
      <c r="C631">
        <v>1</v>
      </c>
      <c r="D631" s="2">
        <v>4.1210000000000004</v>
      </c>
      <c r="E631" s="2">
        <f>0.36+0.637</f>
        <v>0.997</v>
      </c>
      <c r="F631" s="2">
        <f>100*E631/D631</f>
        <v>24.193157000727975</v>
      </c>
      <c r="G631" s="7">
        <v>1</v>
      </c>
      <c r="H631" s="2">
        <v>1</v>
      </c>
      <c r="I631" s="2">
        <f>(0.5/0.719)*D631</f>
        <v>2.8657858136300423</v>
      </c>
      <c r="J631" s="2">
        <f>(0.5/0.719)*E631</f>
        <v>0.69332406119610579</v>
      </c>
    </row>
    <row r="632" spans="1:10" x14ac:dyDescent="0.2">
      <c r="B632">
        <v>70</v>
      </c>
      <c r="C632">
        <v>2</v>
      </c>
      <c r="D632" s="2">
        <v>3.024</v>
      </c>
      <c r="E632" s="2">
        <f>1.513+0.458</f>
        <v>1.9709999999999999</v>
      </c>
      <c r="F632" s="2">
        <f>100*E632/D632</f>
        <v>65.178571428571431</v>
      </c>
      <c r="G632" s="7">
        <v>1</v>
      </c>
      <c r="I632" s="2">
        <f>(0.5/0.719)*D632</f>
        <v>2.102920723226704</v>
      </c>
      <c r="J632" s="2">
        <f>(0.5/0.719)*E632</f>
        <v>1.3706536856745479</v>
      </c>
    </row>
    <row r="633" spans="1:10" x14ac:dyDescent="0.2">
      <c r="B633">
        <v>71</v>
      </c>
      <c r="C633">
        <v>3</v>
      </c>
      <c r="D633" s="2">
        <v>2.9569999999999999</v>
      </c>
      <c r="E633" s="2">
        <f>0.881+0.7+0.545</f>
        <v>2.1259999999999999</v>
      </c>
      <c r="F633" s="2">
        <f>100*E633/D633</f>
        <v>71.897193101116002</v>
      </c>
      <c r="G633" s="7">
        <v>1</v>
      </c>
      <c r="I633" s="2">
        <f>(0.5/0.719)*D633</f>
        <v>2.0563282336578581</v>
      </c>
      <c r="J633" s="2">
        <f>(0.5/0.719)*E633</f>
        <v>1.478442280945758</v>
      </c>
    </row>
    <row r="634" spans="1:10" x14ac:dyDescent="0.2">
      <c r="A634" t="s">
        <v>65</v>
      </c>
      <c r="B634">
        <v>72</v>
      </c>
      <c r="C634">
        <v>1</v>
      </c>
      <c r="D634" s="2">
        <v>3.915</v>
      </c>
      <c r="E634" s="2">
        <f>1.093+0.399+0.22+0.766</f>
        <v>2.4779999999999998</v>
      </c>
      <c r="F634" s="2">
        <f>100*E634/D634</f>
        <v>63.29501915708812</v>
      </c>
      <c r="G634" s="7">
        <v>1</v>
      </c>
      <c r="H634" s="2">
        <v>1</v>
      </c>
      <c r="I634" s="2">
        <f>(0.5/0.719)*D634</f>
        <v>2.7225312934631436</v>
      </c>
      <c r="J634" s="2">
        <f>(0.5/0.719)*E634</f>
        <v>1.7232267037552156</v>
      </c>
    </row>
    <row r="635" spans="1:10" x14ac:dyDescent="0.2">
      <c r="B635">
        <v>73</v>
      </c>
      <c r="C635">
        <v>2</v>
      </c>
      <c r="D635" s="2">
        <v>3.0859999999999999</v>
      </c>
      <c r="E635" s="2">
        <f>0.624+0.532+0.679</f>
        <v>1.8350000000000002</v>
      </c>
      <c r="F635" s="2">
        <f>100*E635/D635</f>
        <v>59.462086843810773</v>
      </c>
      <c r="G635" s="7">
        <v>1</v>
      </c>
      <c r="I635" s="2">
        <f>(0.5/0.719)*D635</f>
        <v>2.1460361613351879</v>
      </c>
      <c r="J635" s="2">
        <f>(0.5/0.719)*E635</f>
        <v>1.2760778859527124</v>
      </c>
    </row>
    <row r="636" spans="1:10" x14ac:dyDescent="0.2">
      <c r="B636">
        <v>74</v>
      </c>
      <c r="C636">
        <v>3</v>
      </c>
      <c r="D636" s="2">
        <v>6.8730000000000002</v>
      </c>
      <c r="E636" s="2">
        <f>1.983+2.011</f>
        <v>3.9940000000000002</v>
      </c>
      <c r="F636" s="2">
        <f>100*E636/D636</f>
        <v>58.111450603812024</v>
      </c>
      <c r="G636" s="7">
        <v>1</v>
      </c>
      <c r="I636" s="2">
        <f>(0.5/0.719)*D636</f>
        <v>4.7795549374130744</v>
      </c>
      <c r="J636" s="2">
        <f>(0.5/0.719)*E636</f>
        <v>2.7774687065368573</v>
      </c>
    </row>
    <row r="637" spans="1:10" x14ac:dyDescent="0.2">
      <c r="B637">
        <v>75</v>
      </c>
      <c r="C637">
        <v>4</v>
      </c>
      <c r="D637" s="2">
        <v>4.0579999999999998</v>
      </c>
      <c r="E637" s="2">
        <f>0.23+0.49+0.826+0.267</f>
        <v>1.8129999999999997</v>
      </c>
      <c r="F637" s="2">
        <f>100*E637/D637</f>
        <v>44.677180877279447</v>
      </c>
      <c r="G637" s="7">
        <v>1</v>
      </c>
      <c r="I637" s="2">
        <f>(0.5/0.719)*D637</f>
        <v>2.8219749652294857</v>
      </c>
      <c r="J637" s="2">
        <f>(0.5/0.719)*E637</f>
        <v>1.260778859527121</v>
      </c>
    </row>
    <row r="638" spans="1:10" x14ac:dyDescent="0.2">
      <c r="A638" t="s">
        <v>170</v>
      </c>
      <c r="B638">
        <v>76</v>
      </c>
      <c r="C638">
        <v>1</v>
      </c>
      <c r="D638" s="2">
        <v>2.081</v>
      </c>
      <c r="E638" s="2">
        <f>0.336+0.496</f>
        <v>0.83200000000000007</v>
      </c>
      <c r="F638" s="2">
        <f>100*E638/D638</f>
        <v>39.98077847188852</v>
      </c>
      <c r="G638" s="7">
        <v>1</v>
      </c>
      <c r="H638" s="2">
        <v>1</v>
      </c>
      <c r="I638" s="2">
        <f>(0.5/0.719)*D638</f>
        <v>1.4471488178025036</v>
      </c>
      <c r="J638" s="2">
        <f>(0.5/0.719)*E638</f>
        <v>0.57858136300417262</v>
      </c>
    </row>
    <row r="639" spans="1:10" x14ac:dyDescent="0.2">
      <c r="B639">
        <v>77</v>
      </c>
      <c r="C639">
        <v>2</v>
      </c>
      <c r="D639" s="2">
        <v>4.0679999999999996</v>
      </c>
      <c r="E639" s="2">
        <v>0.88800000000000001</v>
      </c>
      <c r="F639" s="2">
        <f>100*E639/D639</f>
        <v>21.828908554572273</v>
      </c>
      <c r="G639" s="7">
        <v>1</v>
      </c>
      <c r="I639" s="2">
        <f>(0.5/0.719)*D639</f>
        <v>2.8289290681502086</v>
      </c>
      <c r="J639" s="2">
        <f>(0.5/0.719)*E639</f>
        <v>0.61752433936022255</v>
      </c>
    </row>
    <row r="640" spans="1:10" x14ac:dyDescent="0.2">
      <c r="B640">
        <v>78</v>
      </c>
      <c r="C640">
        <v>3</v>
      </c>
      <c r="D640" s="2">
        <v>1.714</v>
      </c>
      <c r="E640" s="2">
        <v>0.77800000000000002</v>
      </c>
      <c r="F640" s="2">
        <f>100*E640/D640</f>
        <v>45.390898483080512</v>
      </c>
      <c r="G640" s="7">
        <v>1</v>
      </c>
      <c r="I640" s="2">
        <f>(0.5/0.719)*D640</f>
        <v>1.1919332406119612</v>
      </c>
      <c r="J640" s="2">
        <f>(0.5/0.719)*E640</f>
        <v>0.54102920723226711</v>
      </c>
    </row>
    <row r="641" spans="2:10" x14ac:dyDescent="0.2">
      <c r="B641">
        <v>79</v>
      </c>
      <c r="C641">
        <v>4</v>
      </c>
      <c r="D641" s="2">
        <v>3.53</v>
      </c>
      <c r="E641" s="2">
        <f>1.162+0.374</f>
        <v>1.536</v>
      </c>
      <c r="F641" s="2">
        <f>100*E641/D641</f>
        <v>43.512747875354108</v>
      </c>
      <c r="G641" s="7">
        <v>1</v>
      </c>
      <c r="I641" s="2">
        <f>(0.5/0.719)*D641</f>
        <v>2.454798331015299</v>
      </c>
      <c r="J641" s="2">
        <f>(0.5/0.719)*E641</f>
        <v>1.0681502086230878</v>
      </c>
    </row>
    <row r="642" spans="2:10" x14ac:dyDescent="0.2">
      <c r="B642">
        <v>80</v>
      </c>
      <c r="C642">
        <v>5</v>
      </c>
      <c r="D642" s="2">
        <v>1.728</v>
      </c>
      <c r="E642" s="2">
        <f>0.549+0.124</f>
        <v>0.67300000000000004</v>
      </c>
      <c r="F642" s="2">
        <f>100*E642/D642</f>
        <v>38.946759259259267</v>
      </c>
      <c r="G642" s="7">
        <v>1</v>
      </c>
      <c r="I642" s="2">
        <f>(0.5/0.719)*D642</f>
        <v>1.2016689847009736</v>
      </c>
      <c r="J642" s="2">
        <f>(0.5/0.719)*E642</f>
        <v>0.46801112656467325</v>
      </c>
    </row>
    <row r="643" spans="2:10" x14ac:dyDescent="0.2">
      <c r="G643" s="7"/>
    </row>
    <row r="644" spans="2:10" x14ac:dyDescent="0.2">
      <c r="C644" t="s">
        <v>1</v>
      </c>
      <c r="D644" s="2">
        <f>AVERAGE(D563:D642)</f>
        <v>2.8017750000000001</v>
      </c>
      <c r="E644" s="2">
        <f>AVERAGE(E563:E642)</f>
        <v>0.82652499999999984</v>
      </c>
      <c r="F644" s="2">
        <f>AVERAGE(F563:F642)</f>
        <v>28.620990706991563</v>
      </c>
      <c r="G644" s="2"/>
      <c r="H644" s="2">
        <f>AVERAGE(H563:H642)</f>
        <v>0.97962962962962963</v>
      </c>
      <c r="I644" s="2">
        <f>AVERAGE(I563:I642)</f>
        <v>1.9483831710709327</v>
      </c>
      <c r="J644" s="2">
        <f>AVERAGE(J563:J642)</f>
        <v>0.57477399165507659</v>
      </c>
    </row>
    <row r="645" spans="2:10" x14ac:dyDescent="0.2">
      <c r="C645" t="s">
        <v>0</v>
      </c>
      <c r="D645" s="2">
        <f>STDEV(D563:D642)</f>
        <v>1.2628849128739155</v>
      </c>
      <c r="E645" s="2">
        <f>STDEV(E563:E642)</f>
        <v>0.68567957558888037</v>
      </c>
      <c r="F645" s="2">
        <f>STDEV(F563:F642)</f>
        <v>16.656194722063223</v>
      </c>
      <c r="G645" s="2"/>
      <c r="H645" s="2">
        <f>STDEV(H563:H642)</f>
        <v>5.9561457126384637E-2</v>
      </c>
      <c r="I645" s="2">
        <f>STDEV(I563:I642)</f>
        <v>0.87822316611537754</v>
      </c>
      <c r="J645" s="2">
        <f>STDEV(J563:J642)</f>
        <v>0.47682863392828939</v>
      </c>
    </row>
    <row r="646" spans="2:10" x14ac:dyDescent="0.2">
      <c r="G646" s="7"/>
    </row>
    <row r="647" spans="2:10" x14ac:dyDescent="0.2">
      <c r="G647" s="7"/>
    </row>
    <row r="648" spans="2:10" x14ac:dyDescent="0.2">
      <c r="G648" s="7"/>
    </row>
    <row r="649" spans="2:10" x14ac:dyDescent="0.2">
      <c r="G649" s="7"/>
    </row>
    <row r="650" spans="2:10" x14ac:dyDescent="0.2">
      <c r="G650" s="7"/>
    </row>
    <row r="651" spans="2:10" x14ac:dyDescent="0.2">
      <c r="G651" s="7"/>
    </row>
    <row r="652" spans="2:10" x14ac:dyDescent="0.2">
      <c r="G652" s="7"/>
    </row>
    <row r="653" spans="2:10" x14ac:dyDescent="0.2">
      <c r="G653" s="7"/>
    </row>
    <row r="654" spans="2:10" x14ac:dyDescent="0.2">
      <c r="G654" s="7"/>
    </row>
    <row r="655" spans="2:10" x14ac:dyDescent="0.2">
      <c r="G655" s="7"/>
    </row>
    <row r="656" spans="2:10" x14ac:dyDescent="0.2">
      <c r="G656" s="7"/>
    </row>
    <row r="657" spans="7:7" x14ac:dyDescent="0.2">
      <c r="G657" s="7"/>
    </row>
    <row r="658" spans="7:7" x14ac:dyDescent="0.2">
      <c r="G658" s="7"/>
    </row>
    <row r="659" spans="7:7" x14ac:dyDescent="0.2">
      <c r="G659" s="7"/>
    </row>
    <row r="660" spans="7:7" x14ac:dyDescent="0.2">
      <c r="G660" s="7"/>
    </row>
    <row r="661" spans="7:7" x14ac:dyDescent="0.2">
      <c r="G661" s="7"/>
    </row>
    <row r="662" spans="7:7" x14ac:dyDescent="0.2">
      <c r="G662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0"/>
  <sheetViews>
    <sheetView tabSelected="1" workbookViewId="0">
      <pane xSplit="16" ySplit="9" topLeftCell="Q10" activePane="bottomRight" state="frozen"/>
      <selection pane="topRight" activeCell="P1" sqref="P1"/>
      <selection pane="bottomLeft" activeCell="A6" sqref="A6"/>
      <selection pane="bottomRight" activeCell="Q7" sqref="Q7"/>
    </sheetView>
  </sheetViews>
  <sheetFormatPr baseColWidth="10" defaultRowHeight="16" x14ac:dyDescent="0.2"/>
  <cols>
    <col min="1" max="1" width="16.5" customWidth="1"/>
    <col min="2" max="2" width="9.6640625" customWidth="1"/>
    <col min="3" max="3" width="7.6640625" customWidth="1"/>
    <col min="4" max="4" width="9.5" style="2" customWidth="1"/>
    <col min="5" max="5" width="1.6640625" style="2" customWidth="1"/>
    <col min="6" max="6" width="9.5" style="2" customWidth="1"/>
    <col min="7" max="7" width="9.5" style="12" customWidth="1"/>
    <col min="8" max="8" width="9.5" style="2" customWidth="1"/>
    <col min="9" max="9" width="1.6640625" style="2" customWidth="1"/>
    <col min="10" max="10" width="9.5" style="2" customWidth="1"/>
    <col min="11" max="11" width="9.5" style="12" customWidth="1"/>
    <col min="12" max="12" width="9.5" style="2" customWidth="1"/>
    <col min="13" max="13" width="1.6640625" style="2" customWidth="1"/>
    <col min="14" max="14" width="9.5" style="2" customWidth="1"/>
    <col min="15" max="15" width="9.5" style="11" customWidth="1"/>
    <col min="16" max="16" width="9.5" style="2" customWidth="1"/>
  </cols>
  <sheetData>
    <row r="1" spans="1:16" x14ac:dyDescent="0.2">
      <c r="A1" t="s">
        <v>249</v>
      </c>
      <c r="G1" s="13"/>
      <c r="H1" s="13"/>
      <c r="I1" s="13"/>
      <c r="J1" s="13"/>
      <c r="K1" s="13"/>
      <c r="L1" s="13"/>
      <c r="M1" s="13"/>
      <c r="N1" s="13"/>
      <c r="O1" s="13"/>
    </row>
    <row r="2" spans="1:16" x14ac:dyDescent="0.2">
      <c r="G2" s="13"/>
      <c r="H2" s="13"/>
      <c r="I2" s="13"/>
      <c r="J2" s="13"/>
      <c r="K2" s="13"/>
      <c r="L2" s="13"/>
      <c r="M2" s="13"/>
      <c r="N2" s="13"/>
      <c r="O2" s="13"/>
    </row>
    <row r="3" spans="1:16" x14ac:dyDescent="0.2">
      <c r="C3" t="s">
        <v>248</v>
      </c>
      <c r="D3" s="2" t="s">
        <v>247</v>
      </c>
      <c r="F3" s="13" t="s">
        <v>246</v>
      </c>
      <c r="G3" s="13"/>
      <c r="H3" s="13"/>
      <c r="J3" s="13" t="s">
        <v>245</v>
      </c>
      <c r="K3" s="13"/>
      <c r="L3" s="13"/>
      <c r="M3" s="13"/>
      <c r="N3" s="13" t="s">
        <v>244</v>
      </c>
      <c r="O3" s="13"/>
      <c r="P3" s="13"/>
    </row>
    <row r="4" spans="1:16" x14ac:dyDescent="0.2">
      <c r="B4" t="s">
        <v>243</v>
      </c>
      <c r="C4">
        <v>500</v>
      </c>
      <c r="D4" s="2">
        <v>0.44</v>
      </c>
      <c r="F4" s="13">
        <f>(100/500)*0.44</f>
        <v>8.8000000000000009E-2</v>
      </c>
      <c r="G4" s="13"/>
      <c r="H4" s="13"/>
      <c r="J4" s="13">
        <f>(50/500)*0.44</f>
        <v>4.4000000000000004E-2</v>
      </c>
      <c r="K4" s="13"/>
      <c r="L4" s="13"/>
      <c r="M4" s="13"/>
      <c r="N4" s="13">
        <f>(25/500)*0.44</f>
        <v>2.2000000000000002E-2</v>
      </c>
      <c r="O4" s="13"/>
      <c r="P4" s="13"/>
    </row>
    <row r="5" spans="1:16" x14ac:dyDescent="0.2">
      <c r="B5" t="s">
        <v>242</v>
      </c>
      <c r="C5">
        <v>500</v>
      </c>
      <c r="D5" s="2">
        <v>0.62</v>
      </c>
      <c r="F5" s="13">
        <f>(100/500)*0.62</f>
        <v>0.124</v>
      </c>
      <c r="G5" s="13"/>
      <c r="H5" s="13"/>
      <c r="J5" s="13">
        <f>(50/500)*0.62</f>
        <v>6.2E-2</v>
      </c>
      <c r="K5" s="13"/>
      <c r="L5" s="13"/>
      <c r="N5" s="13">
        <f>(25/500)*0.62</f>
        <v>3.1E-2</v>
      </c>
      <c r="O5" s="13"/>
      <c r="P5" s="13"/>
    </row>
    <row r="6" spans="1:16" x14ac:dyDescent="0.2">
      <c r="B6" t="s">
        <v>241</v>
      </c>
      <c r="C6">
        <v>500</v>
      </c>
      <c r="D6" s="2">
        <v>0.73</v>
      </c>
      <c r="F6" s="13">
        <f>(100/500)*0.73</f>
        <v>0.14599999999999999</v>
      </c>
      <c r="G6" s="13"/>
      <c r="H6" s="13"/>
      <c r="J6" s="13">
        <f>(50/500)*0.73</f>
        <v>7.2999999999999995E-2</v>
      </c>
      <c r="K6" s="13"/>
      <c r="L6" s="13"/>
      <c r="N6" s="13">
        <f>(25/500)*0.73</f>
        <v>3.6499999999999998E-2</v>
      </c>
      <c r="O6" s="13"/>
      <c r="P6" s="13"/>
    </row>
    <row r="7" spans="1:16" x14ac:dyDescent="0.2">
      <c r="B7" t="s">
        <v>240</v>
      </c>
      <c r="C7">
        <v>500</v>
      </c>
      <c r="D7" s="2">
        <v>0.84</v>
      </c>
      <c r="F7" s="13">
        <f>(100/500)*0.84</f>
        <v>0.16800000000000001</v>
      </c>
      <c r="G7" s="13"/>
      <c r="H7" s="13"/>
      <c r="I7" s="13"/>
      <c r="J7" s="13">
        <f>(50/500)*0.84</f>
        <v>8.4000000000000005E-2</v>
      </c>
      <c r="K7" s="13"/>
      <c r="L7" s="13"/>
      <c r="M7" s="13"/>
      <c r="N7" s="13">
        <f>(25/500)*0.84</f>
        <v>4.2000000000000003E-2</v>
      </c>
      <c r="O7" s="13"/>
      <c r="P7" s="13"/>
    </row>
    <row r="8" spans="1:16" ht="17" thickBot="1" x14ac:dyDescent="0.25">
      <c r="F8" s="54" t="s">
        <v>239</v>
      </c>
      <c r="G8" s="13"/>
      <c r="H8" s="13"/>
      <c r="J8" s="54" t="s">
        <v>238</v>
      </c>
      <c r="K8" s="13"/>
      <c r="L8" s="13"/>
      <c r="N8" s="54" t="s">
        <v>237</v>
      </c>
      <c r="O8" s="13"/>
      <c r="P8" s="13"/>
    </row>
    <row r="9" spans="1:16" ht="17" thickBot="1" x14ac:dyDescent="0.25">
      <c r="A9" s="53" t="s">
        <v>95</v>
      </c>
      <c r="B9" s="52" t="s">
        <v>23</v>
      </c>
      <c r="C9" s="52" t="s">
        <v>22</v>
      </c>
      <c r="D9" s="51" t="s">
        <v>94</v>
      </c>
      <c r="E9" s="44"/>
      <c r="F9" s="50" t="s">
        <v>93</v>
      </c>
      <c r="G9" s="49" t="s">
        <v>91</v>
      </c>
      <c r="H9" s="48" t="s">
        <v>236</v>
      </c>
      <c r="I9" s="44"/>
      <c r="J9" s="47" t="s">
        <v>93</v>
      </c>
      <c r="K9" s="46" t="s">
        <v>91</v>
      </c>
      <c r="L9" s="45" t="s">
        <v>236</v>
      </c>
      <c r="M9" s="44"/>
      <c r="N9" s="43" t="s">
        <v>93</v>
      </c>
      <c r="O9" s="42" t="s">
        <v>91</v>
      </c>
      <c r="P9" s="41" t="s">
        <v>236</v>
      </c>
    </row>
    <row r="10" spans="1:16" ht="17" thickBot="1" x14ac:dyDescent="0.25">
      <c r="A10" t="s">
        <v>235</v>
      </c>
      <c r="G10" s="13"/>
      <c r="H10" s="13"/>
      <c r="I10" s="13"/>
      <c r="J10" s="13"/>
      <c r="K10" s="13"/>
      <c r="L10" s="13"/>
      <c r="M10" s="13"/>
      <c r="N10" s="13"/>
      <c r="O10" s="13"/>
    </row>
    <row r="11" spans="1:16" x14ac:dyDescent="0.2">
      <c r="A11" s="34" t="s">
        <v>218</v>
      </c>
      <c r="B11" s="33">
        <v>1</v>
      </c>
      <c r="C11" s="33">
        <v>1</v>
      </c>
      <c r="D11" s="30">
        <v>1.8169999999999999</v>
      </c>
      <c r="E11" s="30"/>
      <c r="F11" s="30">
        <f>0.118+0.148</f>
        <v>0.26600000000000001</v>
      </c>
      <c r="G11" s="31">
        <f>100*F11/D11</f>
        <v>14.639515685195379</v>
      </c>
      <c r="H11" s="30">
        <v>100</v>
      </c>
      <c r="I11" s="30"/>
      <c r="J11" s="30">
        <v>0.11799999999999999</v>
      </c>
      <c r="K11" s="31">
        <f>100*J11/D11</f>
        <v>6.4942212438084752</v>
      </c>
      <c r="L11" s="30">
        <v>100</v>
      </c>
      <c r="M11" s="30"/>
      <c r="N11" s="30">
        <v>0.11799999999999999</v>
      </c>
      <c r="O11" s="29">
        <f>100*N11/D11</f>
        <v>6.4942212438084752</v>
      </c>
      <c r="P11" s="28">
        <v>100</v>
      </c>
    </row>
    <row r="12" spans="1:16" x14ac:dyDescent="0.2">
      <c r="A12" s="27"/>
      <c r="B12" s="26">
        <v>2</v>
      </c>
      <c r="C12" s="26">
        <v>2</v>
      </c>
      <c r="D12" s="23">
        <v>2.2919999999999998</v>
      </c>
      <c r="E12" s="23"/>
      <c r="F12" s="23">
        <f>0.169+0.124+0.531</f>
        <v>0.82400000000000007</v>
      </c>
      <c r="G12" s="24">
        <f>100*F12/D12</f>
        <v>35.951134380453759</v>
      </c>
      <c r="H12" s="23"/>
      <c r="I12" s="23"/>
      <c r="J12" s="23">
        <f>0.169+0.124</f>
        <v>0.29300000000000004</v>
      </c>
      <c r="K12" s="24">
        <f>100*J12/D12</f>
        <v>12.783595113438048</v>
      </c>
      <c r="L12" s="23"/>
      <c r="M12" s="23"/>
      <c r="N12" s="23">
        <v>0.16900000000000001</v>
      </c>
      <c r="O12" s="22">
        <f>100*N12/D12</f>
        <v>7.3734729493891811</v>
      </c>
      <c r="P12" s="21"/>
    </row>
    <row r="13" spans="1:16" ht="17" thickBot="1" x14ac:dyDescent="0.25">
      <c r="A13" s="20"/>
      <c r="B13" s="19">
        <v>3</v>
      </c>
      <c r="C13" s="19">
        <v>3</v>
      </c>
      <c r="D13" s="16">
        <v>5.2279999999999998</v>
      </c>
      <c r="E13" s="16"/>
      <c r="F13" s="16">
        <f>J13+0.357+0.375</f>
        <v>1.532</v>
      </c>
      <c r="G13" s="17">
        <f>100*F13/D13</f>
        <v>29.303749043611322</v>
      </c>
      <c r="H13" s="16"/>
      <c r="I13" s="16"/>
      <c r="J13" s="16">
        <f>0.458+N13</f>
        <v>0.8</v>
      </c>
      <c r="K13" s="17">
        <f>100*J13/D13</f>
        <v>15.302218821729152</v>
      </c>
      <c r="L13" s="16"/>
      <c r="M13" s="16"/>
      <c r="N13" s="16">
        <f>0.078+0.158+0.106</f>
        <v>0.34199999999999997</v>
      </c>
      <c r="O13" s="15">
        <f>100*N13/D13</f>
        <v>6.5416985462892114</v>
      </c>
      <c r="P13" s="14"/>
    </row>
    <row r="14" spans="1:16" x14ac:dyDescent="0.2">
      <c r="A14" s="34" t="s">
        <v>234</v>
      </c>
      <c r="B14" s="33">
        <v>4</v>
      </c>
      <c r="C14" s="33">
        <v>1</v>
      </c>
      <c r="D14" s="30">
        <v>5.0069999999999997</v>
      </c>
      <c r="E14" s="30"/>
      <c r="F14" s="30">
        <v>0.23899999999999999</v>
      </c>
      <c r="G14" s="31">
        <f>100*F14/D14</f>
        <v>4.7733173557020168</v>
      </c>
      <c r="H14" s="30">
        <v>100</v>
      </c>
      <c r="I14" s="30"/>
      <c r="J14" s="30">
        <v>0.23899999999999999</v>
      </c>
      <c r="K14" s="31">
        <f>100*J14/D14</f>
        <v>4.7733173557020168</v>
      </c>
      <c r="L14" s="30">
        <v>100</v>
      </c>
      <c r="M14" s="30"/>
      <c r="N14" s="30">
        <v>0.23899999999999999</v>
      </c>
      <c r="O14" s="29">
        <f>100*N14/D14</f>
        <v>4.7733173557020168</v>
      </c>
      <c r="P14" s="28">
        <v>100</v>
      </c>
    </row>
    <row r="15" spans="1:16" x14ac:dyDescent="0.2">
      <c r="A15" s="27"/>
      <c r="B15" s="26">
        <v>5</v>
      </c>
      <c r="C15" s="25">
        <v>2</v>
      </c>
      <c r="D15" s="23">
        <v>2.085</v>
      </c>
      <c r="E15" s="23"/>
      <c r="F15" s="23">
        <f>0.811</f>
        <v>0.81100000000000005</v>
      </c>
      <c r="G15" s="24">
        <f>100*F15/D15</f>
        <v>38.896882494004799</v>
      </c>
      <c r="H15" s="23"/>
      <c r="I15" s="23"/>
      <c r="J15" s="23">
        <f>0.297+N15</f>
        <v>0.81099999999999994</v>
      </c>
      <c r="K15" s="24">
        <f>100*J15/D15</f>
        <v>38.896882494004792</v>
      </c>
      <c r="L15" s="23"/>
      <c r="M15" s="23"/>
      <c r="N15" s="23">
        <f>0.277+0.237</f>
        <v>0.51400000000000001</v>
      </c>
      <c r="O15" s="22">
        <f>100*N15/D15</f>
        <v>24.652278177458033</v>
      </c>
      <c r="P15" s="21"/>
    </row>
    <row r="16" spans="1:16" x14ac:dyDescent="0.2">
      <c r="A16" s="27"/>
      <c r="B16" s="26">
        <v>6</v>
      </c>
      <c r="C16" s="25">
        <v>3</v>
      </c>
      <c r="D16" s="23">
        <v>4.4130000000000003</v>
      </c>
      <c r="E16" s="23"/>
      <c r="F16" s="23">
        <f>J16+0.553+0.248</f>
        <v>1.288</v>
      </c>
      <c r="G16" s="24">
        <f>100*F16/D16</f>
        <v>29.186494448221165</v>
      </c>
      <c r="H16" s="23"/>
      <c r="I16" s="23"/>
      <c r="J16" s="23">
        <f>0.128+N16</f>
        <v>0.48699999999999999</v>
      </c>
      <c r="K16" s="24">
        <f>100*J16/D16</f>
        <v>11.035576705189213</v>
      </c>
      <c r="L16" s="23"/>
      <c r="M16" s="23"/>
      <c r="N16" s="23">
        <f>0.103+0.256</f>
        <v>0.35899999999999999</v>
      </c>
      <c r="O16" s="22">
        <f>100*N16/D16</f>
        <v>8.1350555177883521</v>
      </c>
      <c r="P16" s="21"/>
    </row>
    <row r="17" spans="1:16" ht="17" thickBot="1" x14ac:dyDescent="0.25">
      <c r="A17" s="20"/>
      <c r="B17" s="19">
        <v>7</v>
      </c>
      <c r="C17" s="19">
        <v>4</v>
      </c>
      <c r="D17" s="16">
        <v>6.0149999999999997</v>
      </c>
      <c r="E17" s="16"/>
      <c r="F17" s="16">
        <f>0.311+J17</f>
        <v>1.5419999999999998</v>
      </c>
      <c r="G17" s="17">
        <f>100*F17/D17</f>
        <v>25.635910224438902</v>
      </c>
      <c r="H17" s="16"/>
      <c r="I17" s="16"/>
      <c r="J17" s="16">
        <f>0.347+0.258+N17</f>
        <v>1.2309999999999999</v>
      </c>
      <c r="K17" s="17">
        <f>100*J17/D17</f>
        <v>20.465502909393184</v>
      </c>
      <c r="L17" s="16"/>
      <c r="M17" s="16"/>
      <c r="N17" s="16">
        <f>0.361+0.265</f>
        <v>0.626</v>
      </c>
      <c r="O17" s="15">
        <f>100*N17/D17</f>
        <v>10.407315045719036</v>
      </c>
      <c r="P17" s="14"/>
    </row>
    <row r="18" spans="1:16" x14ac:dyDescent="0.2">
      <c r="A18" s="34" t="s">
        <v>233</v>
      </c>
      <c r="B18" s="33">
        <v>8</v>
      </c>
      <c r="C18" s="33">
        <v>1</v>
      </c>
      <c r="D18" s="30">
        <v>1.1850000000000001</v>
      </c>
      <c r="E18" s="30"/>
      <c r="F18" s="30">
        <v>0</v>
      </c>
      <c r="G18" s="31">
        <f>100*F18/D18</f>
        <v>0</v>
      </c>
      <c r="H18" s="30">
        <f>100*(6/7)</f>
        <v>85.714285714285708</v>
      </c>
      <c r="I18" s="30"/>
      <c r="J18" s="30">
        <v>0</v>
      </c>
      <c r="K18" s="31">
        <f>100*J18/D18</f>
        <v>0</v>
      </c>
      <c r="L18" s="30">
        <f>100*6/7</f>
        <v>85.714285714285708</v>
      </c>
      <c r="M18" s="30"/>
      <c r="N18" s="30">
        <v>0</v>
      </c>
      <c r="O18" s="29">
        <f>100*N18/D18</f>
        <v>0</v>
      </c>
      <c r="P18" s="28">
        <f>100*1/7</f>
        <v>14.285714285714286</v>
      </c>
    </row>
    <row r="19" spans="1:16" x14ac:dyDescent="0.2">
      <c r="A19" s="27"/>
      <c r="B19" s="26">
        <v>9</v>
      </c>
      <c r="C19" s="25">
        <v>2</v>
      </c>
      <c r="D19" s="23">
        <v>1.339</v>
      </c>
      <c r="E19" s="23"/>
      <c r="F19" s="23">
        <f>0.092+0.061+J19</f>
        <v>0.68200000000000005</v>
      </c>
      <c r="G19" s="24">
        <f>100*F19/D19</f>
        <v>50.933532486930545</v>
      </c>
      <c r="H19" s="23"/>
      <c r="I19" s="23"/>
      <c r="J19" s="23">
        <f>0.37+0.159</f>
        <v>0.52900000000000003</v>
      </c>
      <c r="K19" s="24">
        <f>100*J19/D19</f>
        <v>39.507094846900678</v>
      </c>
      <c r="L19" s="23"/>
      <c r="M19" s="23"/>
      <c r="N19" s="23">
        <v>0</v>
      </c>
      <c r="O19" s="22">
        <f>100*N19/D19</f>
        <v>0</v>
      </c>
      <c r="P19" s="21"/>
    </row>
    <row r="20" spans="1:16" x14ac:dyDescent="0.2">
      <c r="A20" s="27"/>
      <c r="B20" s="26">
        <v>10</v>
      </c>
      <c r="C20" s="25">
        <v>3</v>
      </c>
      <c r="D20" s="23">
        <v>0.98399999999999999</v>
      </c>
      <c r="E20" s="23"/>
      <c r="F20" s="23">
        <v>0.24399999999999999</v>
      </c>
      <c r="G20" s="24">
        <f>100*F20/D20</f>
        <v>24.796747967479675</v>
      </c>
      <c r="H20" s="23"/>
      <c r="I20" s="23"/>
      <c r="J20" s="23">
        <v>0.24399999999999999</v>
      </c>
      <c r="K20" s="24">
        <f>100*J20/D20</f>
        <v>24.796747967479675</v>
      </c>
      <c r="L20" s="23"/>
      <c r="M20" s="23"/>
      <c r="N20" s="23">
        <v>0</v>
      </c>
      <c r="O20" s="22">
        <f>100*N20/D20</f>
        <v>0</v>
      </c>
      <c r="P20" s="21"/>
    </row>
    <row r="21" spans="1:16" x14ac:dyDescent="0.2">
      <c r="A21" s="27"/>
      <c r="B21" s="26">
        <v>11</v>
      </c>
      <c r="C21" s="25">
        <v>4</v>
      </c>
      <c r="D21" s="23">
        <v>3.0030000000000001</v>
      </c>
      <c r="E21" s="23"/>
      <c r="F21" s="23">
        <f>J21+0.201</f>
        <v>0.77500000000000013</v>
      </c>
      <c r="G21" s="24">
        <f>100*F21/D21</f>
        <v>25.80752580752581</v>
      </c>
      <c r="H21" s="23"/>
      <c r="I21" s="23"/>
      <c r="J21" s="23">
        <f>0.252+N21</f>
        <v>0.57400000000000007</v>
      </c>
      <c r="K21" s="24">
        <f>100*J21/D21</f>
        <v>19.114219114219114</v>
      </c>
      <c r="L21" s="23"/>
      <c r="M21" s="23"/>
      <c r="N21" s="23">
        <v>0.32200000000000001</v>
      </c>
      <c r="O21" s="22">
        <f>100*N21/D21</f>
        <v>10.722610722610723</v>
      </c>
      <c r="P21" s="21"/>
    </row>
    <row r="22" spans="1:16" x14ac:dyDescent="0.2">
      <c r="A22" s="27"/>
      <c r="B22" s="26">
        <v>12</v>
      </c>
      <c r="C22" s="25">
        <v>5</v>
      </c>
      <c r="D22" s="23">
        <v>1.3129999999999999</v>
      </c>
      <c r="E22" s="23"/>
      <c r="F22" s="23">
        <v>0.95</v>
      </c>
      <c r="G22" s="24">
        <f>100*F22/D22</f>
        <v>72.353389185072359</v>
      </c>
      <c r="H22" s="23"/>
      <c r="I22" s="23"/>
      <c r="J22" s="23">
        <v>0.95</v>
      </c>
      <c r="K22" s="24">
        <f>100*J22/D22</f>
        <v>72.353389185072359</v>
      </c>
      <c r="L22" s="23"/>
      <c r="M22" s="23"/>
      <c r="N22" s="23">
        <v>0</v>
      </c>
      <c r="O22" s="22">
        <f>100*N22/D22</f>
        <v>0</v>
      </c>
      <c r="P22" s="21"/>
    </row>
    <row r="23" spans="1:16" x14ac:dyDescent="0.2">
      <c r="A23" s="27"/>
      <c r="B23" s="26">
        <v>13</v>
      </c>
      <c r="C23" s="25">
        <v>6</v>
      </c>
      <c r="D23" s="23">
        <v>1.554</v>
      </c>
      <c r="E23" s="23"/>
      <c r="F23" s="23">
        <f>0.268+0.111+J23</f>
        <v>0.67</v>
      </c>
      <c r="G23" s="24">
        <f>100*F23/D23</f>
        <v>43.11454311454311</v>
      </c>
      <c r="H23" s="23"/>
      <c r="I23" s="23"/>
      <c r="J23" s="23">
        <f>0.2+0.091</f>
        <v>0.29100000000000004</v>
      </c>
      <c r="K23" s="24">
        <f>100*J23/D23</f>
        <v>18.725868725868729</v>
      </c>
      <c r="L23" s="23"/>
      <c r="M23" s="23"/>
      <c r="N23" s="23">
        <v>0</v>
      </c>
      <c r="O23" s="22">
        <f>100*N23/D23</f>
        <v>0</v>
      </c>
      <c r="P23" s="21"/>
    </row>
    <row r="24" spans="1:16" ht="17" thickBot="1" x14ac:dyDescent="0.25">
      <c r="A24" s="20"/>
      <c r="B24" s="19">
        <v>14</v>
      </c>
      <c r="C24" s="19">
        <v>7</v>
      </c>
      <c r="D24" s="16">
        <v>1.6579999999999999</v>
      </c>
      <c r="E24" s="16"/>
      <c r="F24" s="16">
        <v>0.23400000000000001</v>
      </c>
      <c r="G24" s="17">
        <f>100*F24/D24</f>
        <v>14.11338962605549</v>
      </c>
      <c r="H24" s="16"/>
      <c r="I24" s="16"/>
      <c r="J24" s="16">
        <v>0.23400000000000001</v>
      </c>
      <c r="K24" s="17">
        <f>100*J24/D24</f>
        <v>14.11338962605549</v>
      </c>
      <c r="L24" s="16"/>
      <c r="M24" s="16"/>
      <c r="N24" s="16">
        <v>0</v>
      </c>
      <c r="O24" s="15">
        <f>100*N24/D24</f>
        <v>0</v>
      </c>
      <c r="P24" s="14"/>
    </row>
    <row r="25" spans="1:16" ht="17" thickBot="1" x14ac:dyDescent="0.25">
      <c r="A25" s="40" t="s">
        <v>232</v>
      </c>
      <c r="B25" s="39">
        <v>15</v>
      </c>
      <c r="C25" s="39">
        <v>1</v>
      </c>
      <c r="D25" s="37">
        <v>10.217000000000001</v>
      </c>
      <c r="E25" s="37"/>
      <c r="F25" s="37">
        <f>0.505+0.598+J25</f>
        <v>3.6720000000000006</v>
      </c>
      <c r="G25" s="38">
        <f>100*F25/D25</f>
        <v>35.940099833610653</v>
      </c>
      <c r="H25" s="37">
        <v>100</v>
      </c>
      <c r="I25" s="37"/>
      <c r="J25" s="37">
        <f>0.52+N25</f>
        <v>2.5690000000000004</v>
      </c>
      <c r="K25" s="38">
        <f>100*J25/D25</f>
        <v>25.144367231085447</v>
      </c>
      <c r="L25" s="37">
        <v>100</v>
      </c>
      <c r="M25" s="37"/>
      <c r="N25" s="37">
        <f>0.432+0.235+0.751+0.631</f>
        <v>2.0490000000000004</v>
      </c>
      <c r="O25" s="36">
        <f>100*N25/D25</f>
        <v>20.054810609768037</v>
      </c>
      <c r="P25" s="35">
        <v>100</v>
      </c>
    </row>
    <row r="26" spans="1:16" x14ac:dyDescent="0.2">
      <c r="A26" s="34" t="s">
        <v>213</v>
      </c>
      <c r="B26" s="33">
        <v>16</v>
      </c>
      <c r="C26" s="32">
        <v>1</v>
      </c>
      <c r="D26" s="30">
        <v>5.9210000000000003</v>
      </c>
      <c r="E26" s="30"/>
      <c r="F26" s="30">
        <f>0.851+J26</f>
        <v>1.8069999999999999</v>
      </c>
      <c r="G26" s="31">
        <f>100*F26/D26</f>
        <v>30.518493497719977</v>
      </c>
      <c r="H26" s="30">
        <v>100</v>
      </c>
      <c r="I26" s="30"/>
      <c r="J26" s="30">
        <f>0.074+N26</f>
        <v>0.95599999999999985</v>
      </c>
      <c r="K26" s="31">
        <f>100*J26/D26</f>
        <v>16.145921297078193</v>
      </c>
      <c r="L26" s="30">
        <v>100</v>
      </c>
      <c r="M26" s="30"/>
      <c r="N26" s="30">
        <f>0.18+0.196+0.437+0.069</f>
        <v>0.8819999999999999</v>
      </c>
      <c r="O26" s="29">
        <f>100*N26/D26</f>
        <v>14.896132410065865</v>
      </c>
      <c r="P26" s="28">
        <v>50</v>
      </c>
    </row>
    <row r="27" spans="1:16" ht="17" thickBot="1" x14ac:dyDescent="0.25">
      <c r="A27" s="20"/>
      <c r="B27" s="19">
        <v>17</v>
      </c>
      <c r="C27" s="18">
        <v>2</v>
      </c>
      <c r="D27" s="16">
        <v>1.972</v>
      </c>
      <c r="E27" s="16"/>
      <c r="F27" s="16">
        <f>0.275+0.167+J27</f>
        <v>0.63800000000000012</v>
      </c>
      <c r="G27" s="17">
        <f>100*F27/D27</f>
        <v>32.352941176470594</v>
      </c>
      <c r="H27" s="16"/>
      <c r="I27" s="16"/>
      <c r="J27" s="16">
        <v>0.19600000000000001</v>
      </c>
      <c r="K27" s="17">
        <f>100*J27/D27</f>
        <v>9.939148073022313</v>
      </c>
      <c r="L27" s="16"/>
      <c r="M27" s="16"/>
      <c r="N27" s="16">
        <v>0</v>
      </c>
      <c r="O27" s="15">
        <f>100*N27/D27</f>
        <v>0</v>
      </c>
      <c r="P27" s="14"/>
    </row>
    <row r="28" spans="1:16" x14ac:dyDescent="0.2">
      <c r="A28" s="34" t="s">
        <v>231</v>
      </c>
      <c r="B28" s="33">
        <v>18</v>
      </c>
      <c r="C28" s="33">
        <v>1</v>
      </c>
      <c r="D28" s="30">
        <v>18.864000000000001</v>
      </c>
      <c r="E28" s="30"/>
      <c r="F28" s="30">
        <f>0.544+0.488+0.781+0.378+0.524+J28</f>
        <v>3.4800000000000004</v>
      </c>
      <c r="G28" s="31">
        <f>100*F28/D28</f>
        <v>18.447837150127228</v>
      </c>
      <c r="H28" s="30">
        <v>100</v>
      </c>
      <c r="I28" s="30"/>
      <c r="J28" s="30">
        <f>N28</f>
        <v>0.76500000000000001</v>
      </c>
      <c r="K28" s="31">
        <f>100*J28/D28</f>
        <v>4.0553435114503813</v>
      </c>
      <c r="L28" s="30">
        <v>100</v>
      </c>
      <c r="M28" s="30"/>
      <c r="N28" s="30">
        <f>0.327+0.438</f>
        <v>0.76500000000000001</v>
      </c>
      <c r="O28" s="29">
        <f>100*N28/D28</f>
        <v>4.0553435114503813</v>
      </c>
      <c r="P28" s="28">
        <v>50</v>
      </c>
    </row>
    <row r="29" spans="1:16" ht="17" thickBot="1" x14ac:dyDescent="0.25">
      <c r="A29" s="20"/>
      <c r="B29" s="19">
        <v>19</v>
      </c>
      <c r="C29" s="19">
        <v>2</v>
      </c>
      <c r="D29" s="16">
        <v>2.4060000000000001</v>
      </c>
      <c r="E29" s="16"/>
      <c r="F29" s="16">
        <f>0.315+J29</f>
        <v>0.46199999999999997</v>
      </c>
      <c r="G29" s="17">
        <f>100*F29/D29</f>
        <v>19.201995012468824</v>
      </c>
      <c r="H29" s="16"/>
      <c r="I29" s="16"/>
      <c r="J29" s="16">
        <v>0.14699999999999999</v>
      </c>
      <c r="K29" s="17">
        <f>100*J29/D29</f>
        <v>6.1097256857855351</v>
      </c>
      <c r="L29" s="16"/>
      <c r="M29" s="16"/>
      <c r="N29" s="16">
        <v>0</v>
      </c>
      <c r="O29" s="15">
        <f>100*N29/D29</f>
        <v>0</v>
      </c>
      <c r="P29" s="14"/>
    </row>
    <row r="30" spans="1:16" x14ac:dyDescent="0.2">
      <c r="A30" s="34" t="s">
        <v>230</v>
      </c>
      <c r="B30" s="33">
        <v>20</v>
      </c>
      <c r="C30" s="32">
        <v>1</v>
      </c>
      <c r="D30" s="30">
        <v>2.17</v>
      </c>
      <c r="E30" s="30"/>
      <c r="F30" s="30">
        <f>J30+0.362</f>
        <v>0.70899999999999996</v>
      </c>
      <c r="G30" s="31">
        <f>100*F30/D30</f>
        <v>32.672811059907829</v>
      </c>
      <c r="H30" s="30">
        <v>100</v>
      </c>
      <c r="I30" s="30"/>
      <c r="J30" s="30">
        <f>N30</f>
        <v>0.34699999999999998</v>
      </c>
      <c r="K30" s="31">
        <f>100*J30/D30</f>
        <v>15.990783410138247</v>
      </c>
      <c r="L30" s="30">
        <v>100</v>
      </c>
      <c r="M30" s="30"/>
      <c r="N30" s="30">
        <f>0.254+0.093</f>
        <v>0.34699999999999998</v>
      </c>
      <c r="O30" s="29">
        <f>100*N30/D30</f>
        <v>15.990783410138247</v>
      </c>
      <c r="P30" s="28">
        <v>50</v>
      </c>
    </row>
    <row r="31" spans="1:16" ht="17" thickBot="1" x14ac:dyDescent="0.25">
      <c r="A31" s="20"/>
      <c r="B31" s="19">
        <v>21</v>
      </c>
      <c r="C31" s="18">
        <v>2</v>
      </c>
      <c r="D31" s="16">
        <v>2.6779999999999999</v>
      </c>
      <c r="E31" s="16"/>
      <c r="F31" s="16">
        <f>J31+0.283+0.104</f>
        <v>0.53199999999999992</v>
      </c>
      <c r="G31" s="17">
        <f>100*F31/D31</f>
        <v>19.865571321881998</v>
      </c>
      <c r="H31" s="16"/>
      <c r="I31" s="16"/>
      <c r="J31" s="16">
        <v>0.14499999999999999</v>
      </c>
      <c r="K31" s="17">
        <f>100*J31/D31</f>
        <v>5.4144884241971614</v>
      </c>
      <c r="L31" s="16"/>
      <c r="M31" s="16"/>
      <c r="N31" s="16">
        <v>0</v>
      </c>
      <c r="O31" s="15">
        <f>100*N31/D31</f>
        <v>0</v>
      </c>
      <c r="P31" s="14"/>
    </row>
    <row r="32" spans="1:16" x14ac:dyDescent="0.2">
      <c r="A32" s="34" t="s">
        <v>229</v>
      </c>
      <c r="B32" s="33">
        <v>22</v>
      </c>
      <c r="C32" s="32">
        <v>1</v>
      </c>
      <c r="D32" s="30">
        <v>1.56</v>
      </c>
      <c r="E32" s="30"/>
      <c r="F32" s="30">
        <f>J32+0.138</f>
        <v>0.31900000000000001</v>
      </c>
      <c r="G32" s="31">
        <f>100*F32/D32</f>
        <v>20.448717948717949</v>
      </c>
      <c r="H32" s="30">
        <v>100</v>
      </c>
      <c r="I32" s="30"/>
      <c r="J32" s="30">
        <f>N32</f>
        <v>0.18099999999999999</v>
      </c>
      <c r="K32" s="31">
        <f>100*J32/D32</f>
        <v>11.6025641025641</v>
      </c>
      <c r="L32" s="30">
        <v>100</v>
      </c>
      <c r="M32" s="30"/>
      <c r="N32" s="30">
        <v>0.18099999999999999</v>
      </c>
      <c r="O32" s="29">
        <f>100*N32/D32</f>
        <v>11.6025641025641</v>
      </c>
      <c r="P32" s="28">
        <v>100</v>
      </c>
    </row>
    <row r="33" spans="1:16" ht="17" thickBot="1" x14ac:dyDescent="0.25">
      <c r="A33" s="20"/>
      <c r="B33" s="19">
        <v>23</v>
      </c>
      <c r="C33" s="18">
        <v>2</v>
      </c>
      <c r="D33" s="16">
        <v>7.1449999999999996</v>
      </c>
      <c r="E33" s="16"/>
      <c r="F33" s="16">
        <f>J33</f>
        <v>0.95599999999999996</v>
      </c>
      <c r="G33" s="17">
        <f>100*F33/D33</f>
        <v>13.37998600419874</v>
      </c>
      <c r="H33" s="16"/>
      <c r="I33" s="16"/>
      <c r="J33" s="16">
        <f>N33+0.416+0.238</f>
        <v>0.95599999999999996</v>
      </c>
      <c r="K33" s="17">
        <f>100*J33/D33</f>
        <v>13.37998600419874</v>
      </c>
      <c r="L33" s="16"/>
      <c r="M33" s="16"/>
      <c r="N33" s="16">
        <v>0.30199999999999999</v>
      </c>
      <c r="O33" s="15">
        <f>100*N33/D33</f>
        <v>4.2267319804058783</v>
      </c>
      <c r="P33" s="14"/>
    </row>
    <row r="34" spans="1:16" x14ac:dyDescent="0.2">
      <c r="A34" s="34" t="s">
        <v>228</v>
      </c>
      <c r="B34" s="33">
        <v>24</v>
      </c>
      <c r="C34" s="32">
        <v>1</v>
      </c>
      <c r="D34" s="30">
        <v>3.0979999999999999</v>
      </c>
      <c r="E34" s="30"/>
      <c r="F34" s="30">
        <f>0.096+J34</f>
        <v>0.30100000000000005</v>
      </c>
      <c r="G34" s="31">
        <f>100*F34/D34</f>
        <v>9.7159457714654636</v>
      </c>
      <c r="H34" s="30">
        <v>100</v>
      </c>
      <c r="I34" s="30"/>
      <c r="J34" s="30">
        <f>0.117+N34</f>
        <v>0.20500000000000002</v>
      </c>
      <c r="K34" s="31">
        <f>100*J34/D34</f>
        <v>6.6171723692704978</v>
      </c>
      <c r="L34" s="30">
        <v>100</v>
      </c>
      <c r="M34" s="30"/>
      <c r="N34" s="30">
        <v>8.7999999999999995E-2</v>
      </c>
      <c r="O34" s="29">
        <f>100*N34/D34</f>
        <v>2.8405422853453839</v>
      </c>
      <c r="P34" s="28">
        <f>100*2/3</f>
        <v>66.666666666666671</v>
      </c>
    </row>
    <row r="35" spans="1:16" x14ac:dyDescent="0.2">
      <c r="A35" s="27"/>
      <c r="B35" s="26">
        <v>25</v>
      </c>
      <c r="C35" s="25">
        <v>2</v>
      </c>
      <c r="D35" s="23">
        <v>2.8519999999999999</v>
      </c>
      <c r="E35" s="23"/>
      <c r="F35" s="23">
        <f>0.142+0.155</f>
        <v>0.29699999999999999</v>
      </c>
      <c r="G35" s="24">
        <f>100*F35/D35</f>
        <v>10.413744740532959</v>
      </c>
      <c r="H35" s="23"/>
      <c r="I35" s="23"/>
      <c r="J35" s="23">
        <v>0.13</v>
      </c>
      <c r="K35" s="24">
        <f>100*J35/D35</f>
        <v>4.5582047685834501</v>
      </c>
      <c r="L35" s="23"/>
      <c r="M35" s="23"/>
      <c r="N35" s="23">
        <v>0</v>
      </c>
      <c r="O35" s="22">
        <f>100*N35/D35</f>
        <v>0</v>
      </c>
      <c r="P35" s="21"/>
    </row>
    <row r="36" spans="1:16" ht="17" thickBot="1" x14ac:dyDescent="0.25">
      <c r="A36" s="20"/>
      <c r="B36" s="19">
        <v>26</v>
      </c>
      <c r="C36" s="18">
        <v>3</v>
      </c>
      <c r="D36" s="16">
        <v>1.7230000000000001</v>
      </c>
      <c r="E36" s="16"/>
      <c r="F36" s="16">
        <f>J36</f>
        <v>0.80600000000000005</v>
      </c>
      <c r="G36" s="17">
        <f>100*F36/D36</f>
        <v>46.778874056877541</v>
      </c>
      <c r="H36" s="16"/>
      <c r="I36" s="16"/>
      <c r="J36" s="16">
        <f>N36+0.201+0.445</f>
        <v>0.80600000000000005</v>
      </c>
      <c r="K36" s="17">
        <f>100*J36/D36</f>
        <v>46.778874056877541</v>
      </c>
      <c r="L36" s="16"/>
      <c r="M36" s="16"/>
      <c r="N36" s="16">
        <v>0.16</v>
      </c>
      <c r="O36" s="15">
        <f>100*N36/D36</f>
        <v>9.2861288450377248</v>
      </c>
      <c r="P36" s="14"/>
    </row>
    <row r="37" spans="1:16" x14ac:dyDescent="0.2">
      <c r="A37" s="34" t="s">
        <v>227</v>
      </c>
      <c r="B37" s="33">
        <v>27</v>
      </c>
      <c r="C37" s="32">
        <v>1</v>
      </c>
      <c r="D37" s="30">
        <v>3.226</v>
      </c>
      <c r="E37" s="30"/>
      <c r="F37" s="30">
        <v>0</v>
      </c>
      <c r="G37" s="31">
        <f>100*F37/D37</f>
        <v>0</v>
      </c>
      <c r="H37" s="30">
        <f>100*2/3</f>
        <v>66.666666666666671</v>
      </c>
      <c r="I37" s="30"/>
      <c r="J37" s="30">
        <v>0</v>
      </c>
      <c r="K37" s="31">
        <f>100*J37/D37</f>
        <v>0</v>
      </c>
      <c r="L37" s="30">
        <f>100*2/3</f>
        <v>66.666666666666671</v>
      </c>
      <c r="M37" s="30"/>
      <c r="N37" s="30">
        <v>0</v>
      </c>
      <c r="O37" s="29">
        <f>100*N37/D37</f>
        <v>0</v>
      </c>
      <c r="P37" s="28">
        <f>100*2/3</f>
        <v>66.666666666666671</v>
      </c>
    </row>
    <row r="38" spans="1:16" x14ac:dyDescent="0.2">
      <c r="A38" s="27"/>
      <c r="B38" s="26">
        <v>28</v>
      </c>
      <c r="C38" s="25">
        <v>2</v>
      </c>
      <c r="D38" s="23">
        <v>1.847</v>
      </c>
      <c r="E38" s="23"/>
      <c r="F38" s="23">
        <f>J38</f>
        <v>0.24099999999999999</v>
      </c>
      <c r="G38" s="24">
        <f>100*F38/D38</f>
        <v>13.04818624796968</v>
      </c>
      <c r="H38" s="23"/>
      <c r="I38" s="23"/>
      <c r="J38" s="23">
        <f>N38</f>
        <v>0.24099999999999999</v>
      </c>
      <c r="K38" s="24">
        <f>100*J38/D38</f>
        <v>13.04818624796968</v>
      </c>
      <c r="L38" s="23"/>
      <c r="M38" s="23"/>
      <c r="N38" s="23">
        <v>0.24099999999999999</v>
      </c>
      <c r="O38" s="22">
        <f>100*N38/D38</f>
        <v>13.04818624796968</v>
      </c>
      <c r="P38" s="21"/>
    </row>
    <row r="39" spans="1:16" ht="17" thickBot="1" x14ac:dyDescent="0.25">
      <c r="A39" s="20"/>
      <c r="B39" s="19">
        <v>29</v>
      </c>
      <c r="C39" s="18">
        <v>3</v>
      </c>
      <c r="D39" s="16">
        <v>10.632999999999999</v>
      </c>
      <c r="E39" s="16"/>
      <c r="F39" s="16">
        <f>J39+0.216+0.194</f>
        <v>2.0350000000000001</v>
      </c>
      <c r="G39" s="17">
        <f>100*F39/D39</f>
        <v>19.13853098843224</v>
      </c>
      <c r="H39" s="16"/>
      <c r="I39" s="16"/>
      <c r="J39" s="16">
        <f>N39+0.36+0.519</f>
        <v>1.625</v>
      </c>
      <c r="K39" s="17">
        <f>100*J39/D39</f>
        <v>15.282610740148595</v>
      </c>
      <c r="L39" s="16"/>
      <c r="M39" s="16"/>
      <c r="N39" s="16">
        <v>0.746</v>
      </c>
      <c r="O39" s="15">
        <f>100*N39/D39</f>
        <v>7.0158939151697544</v>
      </c>
      <c r="P39" s="14"/>
    </row>
    <row r="40" spans="1:16" ht="17" thickBot="1" x14ac:dyDescent="0.25">
      <c r="A40" s="40" t="s">
        <v>226</v>
      </c>
      <c r="B40" s="39">
        <v>30</v>
      </c>
      <c r="C40" s="39">
        <v>1</v>
      </c>
      <c r="D40" s="37">
        <v>9.68</v>
      </c>
      <c r="E40" s="37"/>
      <c r="F40" s="37">
        <f>J40+0.859</f>
        <v>1.1080000000000001</v>
      </c>
      <c r="G40" s="38">
        <f>100*F40/D40</f>
        <v>11.446280991735538</v>
      </c>
      <c r="H40" s="37">
        <v>100</v>
      </c>
      <c r="I40" s="37"/>
      <c r="J40" s="37">
        <f>N40</f>
        <v>0.249</v>
      </c>
      <c r="K40" s="38">
        <f>100*J40/D40</f>
        <v>2.5723140495867769</v>
      </c>
      <c r="L40" s="37">
        <v>100</v>
      </c>
      <c r="M40" s="37"/>
      <c r="N40" s="37">
        <v>0.249</v>
      </c>
      <c r="O40" s="36">
        <f>100*N40/D40</f>
        <v>2.5723140495867769</v>
      </c>
      <c r="P40" s="35">
        <v>100</v>
      </c>
    </row>
    <row r="41" spans="1:16" x14ac:dyDescent="0.2">
      <c r="A41" s="34" t="s">
        <v>225</v>
      </c>
      <c r="B41" s="33">
        <v>31</v>
      </c>
      <c r="C41" s="32">
        <v>1</v>
      </c>
      <c r="D41" s="30">
        <v>2.1230000000000002</v>
      </c>
      <c r="E41" s="30"/>
      <c r="F41" s="30">
        <f>J41</f>
        <v>0.30399999999999999</v>
      </c>
      <c r="G41" s="31">
        <f>100*F41/D41</f>
        <v>14.319359397079602</v>
      </c>
      <c r="H41" s="30">
        <v>100</v>
      </c>
      <c r="I41" s="30"/>
      <c r="J41" s="30">
        <f>N41</f>
        <v>0.30399999999999999</v>
      </c>
      <c r="K41" s="31">
        <f>100*J41/D41</f>
        <v>14.319359397079602</v>
      </c>
      <c r="L41" s="30">
        <v>100</v>
      </c>
      <c r="M41" s="30"/>
      <c r="N41" s="30">
        <v>0.30399999999999999</v>
      </c>
      <c r="O41" s="29">
        <f>100*N41/D41</f>
        <v>14.319359397079602</v>
      </c>
      <c r="P41" s="28">
        <v>100</v>
      </c>
    </row>
    <row r="42" spans="1:16" x14ac:dyDescent="0.2">
      <c r="A42" s="27"/>
      <c r="B42" s="26">
        <v>32</v>
      </c>
      <c r="C42" s="25">
        <v>2</v>
      </c>
      <c r="D42" s="23">
        <v>4.5359999999999996</v>
      </c>
      <c r="E42" s="23"/>
      <c r="F42" s="23">
        <f>J42</f>
        <v>1.6079999999999999</v>
      </c>
      <c r="G42" s="24">
        <f>100*F42/D42</f>
        <v>35.449735449735449</v>
      </c>
      <c r="H42" s="23"/>
      <c r="I42" s="23"/>
      <c r="J42" s="23">
        <f>N42+0.16+0.445</f>
        <v>1.6079999999999999</v>
      </c>
      <c r="K42" s="24">
        <f>100*J42/D42</f>
        <v>35.449735449735449</v>
      </c>
      <c r="L42" s="23"/>
      <c r="M42" s="23"/>
      <c r="N42" s="23">
        <v>1.0029999999999999</v>
      </c>
      <c r="O42" s="22">
        <f>100*N42/D42</f>
        <v>22.111992945326278</v>
      </c>
      <c r="P42" s="21"/>
    </row>
    <row r="43" spans="1:16" x14ac:dyDescent="0.2">
      <c r="A43" s="27"/>
      <c r="B43" s="26">
        <v>33</v>
      </c>
      <c r="C43" s="25">
        <v>3</v>
      </c>
      <c r="D43" s="23">
        <v>1.607</v>
      </c>
      <c r="E43" s="23"/>
      <c r="F43" s="23">
        <f>J43</f>
        <v>0.247</v>
      </c>
      <c r="G43" s="24">
        <f>100*F43/D43</f>
        <v>15.370255133789669</v>
      </c>
      <c r="H43" s="23"/>
      <c r="I43" s="23"/>
      <c r="J43" s="23">
        <f>N43+0.131</f>
        <v>0.247</v>
      </c>
      <c r="K43" s="24">
        <f>100*J43/D43</f>
        <v>15.370255133789669</v>
      </c>
      <c r="L43" s="23"/>
      <c r="M43" s="23"/>
      <c r="N43" s="23">
        <v>0.11600000000000001</v>
      </c>
      <c r="O43" s="22">
        <f>100*N43/D43</f>
        <v>7.2184194150591177</v>
      </c>
      <c r="P43" s="21"/>
    </row>
    <row r="44" spans="1:16" x14ac:dyDescent="0.2">
      <c r="A44" s="27"/>
      <c r="B44" s="26">
        <v>34</v>
      </c>
      <c r="C44" s="25">
        <v>4</v>
      </c>
      <c r="D44" s="23">
        <v>2.8730000000000002</v>
      </c>
      <c r="E44" s="23"/>
      <c r="F44" s="23">
        <f>J44</f>
        <v>0.35300000000000004</v>
      </c>
      <c r="G44" s="24">
        <f>100*F44/D44</f>
        <v>12.286808214410025</v>
      </c>
      <c r="H44" s="23"/>
      <c r="I44" s="23"/>
      <c r="J44" s="23">
        <f>N44</f>
        <v>0.35300000000000004</v>
      </c>
      <c r="K44" s="24">
        <f>100*J44/D44</f>
        <v>12.286808214410025</v>
      </c>
      <c r="L44" s="23"/>
      <c r="M44" s="23"/>
      <c r="N44" s="23">
        <f>0.084+0.269</f>
        <v>0.35300000000000004</v>
      </c>
      <c r="O44" s="22">
        <f>100*N44/D44</f>
        <v>12.286808214410025</v>
      </c>
      <c r="P44" s="21"/>
    </row>
    <row r="45" spans="1:16" ht="17" thickBot="1" x14ac:dyDescent="0.25">
      <c r="A45" s="20"/>
      <c r="B45" s="19">
        <v>35</v>
      </c>
      <c r="C45" s="18">
        <v>5</v>
      </c>
      <c r="D45" s="16">
        <v>6.0890000000000004</v>
      </c>
      <c r="E45" s="16"/>
      <c r="F45" s="16">
        <f>J45</f>
        <v>2.395</v>
      </c>
      <c r="G45" s="17">
        <f>100*F45/D45</f>
        <v>39.333223846280177</v>
      </c>
      <c r="H45" s="16"/>
      <c r="I45" s="16"/>
      <c r="J45" s="16">
        <f>N45</f>
        <v>2.395</v>
      </c>
      <c r="K45" s="17">
        <f>100*J45/D45</f>
        <v>39.333223846280177</v>
      </c>
      <c r="L45" s="16"/>
      <c r="M45" s="16"/>
      <c r="N45" s="16">
        <f>1.335+1.06</f>
        <v>2.395</v>
      </c>
      <c r="O45" s="15">
        <f>100*N45/D45</f>
        <v>39.333223846280177</v>
      </c>
      <c r="P45" s="14"/>
    </row>
    <row r="46" spans="1:16" x14ac:dyDescent="0.2">
      <c r="A46" s="34" t="s">
        <v>224</v>
      </c>
      <c r="B46" s="33">
        <v>36</v>
      </c>
      <c r="C46" s="32">
        <v>1</v>
      </c>
      <c r="D46" s="30">
        <v>3.0489999999999999</v>
      </c>
      <c r="E46" s="30"/>
      <c r="F46" s="30">
        <f>N46+0.291+0.379+0.219</f>
        <v>1.262</v>
      </c>
      <c r="G46" s="31">
        <f>100*F46/D46</f>
        <v>41.390619875368976</v>
      </c>
      <c r="H46" s="30">
        <v>100</v>
      </c>
      <c r="I46" s="30"/>
      <c r="J46" s="30">
        <f>N46</f>
        <v>0.373</v>
      </c>
      <c r="K46" s="31">
        <f>100*J46/D46</f>
        <v>12.233519186618564</v>
      </c>
      <c r="L46" s="30">
        <v>100</v>
      </c>
      <c r="M46" s="30"/>
      <c r="N46" s="30">
        <v>0.373</v>
      </c>
      <c r="O46" s="29">
        <f>100*N46/D46</f>
        <v>12.233519186618564</v>
      </c>
      <c r="P46" s="28">
        <v>100</v>
      </c>
    </row>
    <row r="47" spans="1:16" x14ac:dyDescent="0.2">
      <c r="A47" s="27"/>
      <c r="B47" s="26">
        <v>37</v>
      </c>
      <c r="C47" s="25">
        <v>2</v>
      </c>
      <c r="D47" s="23">
        <v>5.3230000000000004</v>
      </c>
      <c r="E47" s="23"/>
      <c r="F47" s="23">
        <f>J47+0.14+0.146+0.337</f>
        <v>1.9309999999999998</v>
      </c>
      <c r="G47" s="24">
        <f>100*F47/D47</f>
        <v>36.276535788089419</v>
      </c>
      <c r="H47" s="23"/>
      <c r="I47" s="23"/>
      <c r="J47" s="23">
        <f>N47+0.151+0.111</f>
        <v>1.3080000000000001</v>
      </c>
      <c r="K47" s="24">
        <f>100*J47/D47</f>
        <v>24.572609430772122</v>
      </c>
      <c r="L47" s="23"/>
      <c r="M47" s="23"/>
      <c r="N47" s="23">
        <f>0.117+0.929</f>
        <v>1.046</v>
      </c>
      <c r="O47" s="22">
        <f>100*N47/D47</f>
        <v>19.650572985158746</v>
      </c>
      <c r="P47" s="21"/>
    </row>
    <row r="48" spans="1:16" x14ac:dyDescent="0.2">
      <c r="A48" s="27"/>
      <c r="B48" s="26">
        <v>38</v>
      </c>
      <c r="C48" s="25">
        <v>3</v>
      </c>
      <c r="D48" s="23">
        <v>3.633</v>
      </c>
      <c r="E48" s="23"/>
      <c r="F48" s="23">
        <f>J48+0.196+0.282</f>
        <v>1.0469999999999999</v>
      </c>
      <c r="G48" s="24">
        <f>100*F48/D48</f>
        <v>28.819157720891823</v>
      </c>
      <c r="H48" s="23"/>
      <c r="I48" s="23"/>
      <c r="J48" s="23">
        <f>N48+0.21</f>
        <v>0.56899999999999995</v>
      </c>
      <c r="K48" s="24">
        <f>100*J48/D48</f>
        <v>15.661987338287913</v>
      </c>
      <c r="L48" s="23"/>
      <c r="M48" s="23"/>
      <c r="N48" s="23">
        <f>0.077+0.282</f>
        <v>0.35899999999999999</v>
      </c>
      <c r="O48" s="22">
        <f>100*N48/D48</f>
        <v>9.881640517478667</v>
      </c>
      <c r="P48" s="21"/>
    </row>
    <row r="49" spans="1:16" ht="17" thickBot="1" x14ac:dyDescent="0.25">
      <c r="A49" s="20"/>
      <c r="B49" s="19">
        <v>39</v>
      </c>
      <c r="C49" s="18">
        <v>4</v>
      </c>
      <c r="D49" s="16">
        <v>2.3660000000000001</v>
      </c>
      <c r="E49" s="16"/>
      <c r="F49" s="16">
        <f>J49+0.55</f>
        <v>0.97000000000000008</v>
      </c>
      <c r="G49" s="17">
        <f>100*F49/D49</f>
        <v>40.997464074387153</v>
      </c>
      <c r="H49" s="16"/>
      <c r="I49" s="16"/>
      <c r="J49" s="16">
        <f>N49+0.091</f>
        <v>0.42000000000000004</v>
      </c>
      <c r="K49" s="17">
        <f>100*J49/D49</f>
        <v>17.751479289940832</v>
      </c>
      <c r="L49" s="16"/>
      <c r="M49" s="16"/>
      <c r="N49" s="16">
        <f>0.092+0.122+0.115</f>
        <v>0.32900000000000001</v>
      </c>
      <c r="O49" s="15">
        <f>100*N49/D49</f>
        <v>13.905325443786982</v>
      </c>
      <c r="P49" s="14"/>
    </row>
    <row r="50" spans="1:16" x14ac:dyDescent="0.2">
      <c r="A50" s="34" t="s">
        <v>205</v>
      </c>
      <c r="B50" s="33">
        <v>40</v>
      </c>
      <c r="C50" s="32">
        <v>1</v>
      </c>
      <c r="D50" s="30">
        <v>3.5990000000000002</v>
      </c>
      <c r="E50" s="30"/>
      <c r="F50" s="30">
        <f>J50</f>
        <v>0.66400000000000003</v>
      </c>
      <c r="G50" s="31">
        <f>100*F50/D50</f>
        <v>18.449569324812447</v>
      </c>
      <c r="H50" s="30">
        <v>100</v>
      </c>
      <c r="I50" s="30"/>
      <c r="J50" s="30">
        <f>N50+0.387</f>
        <v>0.66400000000000003</v>
      </c>
      <c r="K50" s="31">
        <f>100*J50/D50</f>
        <v>18.449569324812447</v>
      </c>
      <c r="L50" s="30">
        <v>100</v>
      </c>
      <c r="M50" s="30"/>
      <c r="N50" s="30">
        <v>0.27700000000000002</v>
      </c>
      <c r="O50" s="29">
        <f>100*N50/D50</f>
        <v>7.6965823839955547</v>
      </c>
      <c r="P50" s="28">
        <f>100*2/3</f>
        <v>66.666666666666671</v>
      </c>
    </row>
    <row r="51" spans="1:16" x14ac:dyDescent="0.2">
      <c r="A51" s="27"/>
      <c r="B51" s="26">
        <v>41</v>
      </c>
      <c r="C51" s="25">
        <v>2</v>
      </c>
      <c r="D51" s="23">
        <v>3.0449999999999999</v>
      </c>
      <c r="E51" s="23"/>
      <c r="F51" s="23">
        <f>J51</f>
        <v>0.90500000000000003</v>
      </c>
      <c r="G51" s="24">
        <f>100*F51/D51</f>
        <v>29.720853858784896</v>
      </c>
      <c r="H51" s="23"/>
      <c r="I51" s="23"/>
      <c r="J51" s="23">
        <f>0.614+N51</f>
        <v>0.90500000000000003</v>
      </c>
      <c r="K51" s="24">
        <f>100*J51/D51</f>
        <v>29.720853858784896</v>
      </c>
      <c r="L51" s="23"/>
      <c r="M51" s="23"/>
      <c r="N51" s="23">
        <v>0.29099999999999998</v>
      </c>
      <c r="O51" s="22">
        <f>100*N51/D51</f>
        <v>9.5566502463054182</v>
      </c>
      <c r="P51" s="21"/>
    </row>
    <row r="52" spans="1:16" ht="17" thickBot="1" x14ac:dyDescent="0.25">
      <c r="A52" s="20"/>
      <c r="B52" s="19">
        <v>42</v>
      </c>
      <c r="C52" s="18">
        <v>3</v>
      </c>
      <c r="D52" s="16">
        <v>3.431</v>
      </c>
      <c r="E52" s="16"/>
      <c r="F52" s="16">
        <f>J52+0.126</f>
        <v>1.202</v>
      </c>
      <c r="G52" s="17">
        <f>100*F52/D52</f>
        <v>35.033517924803263</v>
      </c>
      <c r="H52" s="16"/>
      <c r="I52" s="16"/>
      <c r="J52" s="16">
        <f>0.989+0.087</f>
        <v>1.0760000000000001</v>
      </c>
      <c r="K52" s="17">
        <f>100*J52/D52</f>
        <v>31.361119207228214</v>
      </c>
      <c r="L52" s="16"/>
      <c r="M52" s="16"/>
      <c r="N52" s="16">
        <v>0</v>
      </c>
      <c r="O52" s="15">
        <f>100*N52/D52</f>
        <v>0</v>
      </c>
      <c r="P52" s="14"/>
    </row>
    <row r="53" spans="1:16" x14ac:dyDescent="0.2">
      <c r="A53" s="34" t="s">
        <v>204</v>
      </c>
      <c r="B53" s="33">
        <v>43</v>
      </c>
      <c r="C53" s="32">
        <v>1</v>
      </c>
      <c r="D53" s="30">
        <v>4.8239999999999998</v>
      </c>
      <c r="E53" s="30"/>
      <c r="F53" s="30">
        <f>J53+0.129+0.129+0.142</f>
        <v>1.256</v>
      </c>
      <c r="G53" s="31">
        <f>100*F53/D53</f>
        <v>26.036484245439468</v>
      </c>
      <c r="H53" s="30">
        <v>100</v>
      </c>
      <c r="I53" s="30"/>
      <c r="J53" s="30">
        <f>N53+0.165+0.138</f>
        <v>0.85600000000000009</v>
      </c>
      <c r="K53" s="31">
        <f>100*J53/D53</f>
        <v>17.744610281923716</v>
      </c>
      <c r="L53" s="30">
        <v>100</v>
      </c>
      <c r="M53" s="30"/>
      <c r="N53" s="30">
        <v>0.55300000000000005</v>
      </c>
      <c r="O53" s="29">
        <f>100*N53/D53</f>
        <v>11.463515754560532</v>
      </c>
      <c r="P53" s="28">
        <v>75</v>
      </c>
    </row>
    <row r="54" spans="1:16" x14ac:dyDescent="0.2">
      <c r="A54" s="27"/>
      <c r="B54" s="26">
        <v>44</v>
      </c>
      <c r="C54" s="25">
        <v>2</v>
      </c>
      <c r="D54" s="23">
        <v>1.9410000000000001</v>
      </c>
      <c r="E54" s="23"/>
      <c r="F54" s="23">
        <v>0.51700000000000002</v>
      </c>
      <c r="G54" s="24">
        <f>100*F54/D54</f>
        <v>26.63575476558475</v>
      </c>
      <c r="H54" s="23"/>
      <c r="I54" s="23"/>
      <c r="J54" s="23">
        <v>0.51700000000000002</v>
      </c>
      <c r="K54" s="24">
        <f>100*J54/D54</f>
        <v>26.63575476558475</v>
      </c>
      <c r="L54" s="23"/>
      <c r="M54" s="23"/>
      <c r="N54" s="23">
        <v>0</v>
      </c>
      <c r="O54" s="22">
        <f>100*N54/D54</f>
        <v>0</v>
      </c>
      <c r="P54" s="21"/>
    </row>
    <row r="55" spans="1:16" x14ac:dyDescent="0.2">
      <c r="A55" s="27"/>
      <c r="B55" s="26">
        <v>45</v>
      </c>
      <c r="C55" s="25">
        <v>3</v>
      </c>
      <c r="D55" s="23">
        <v>1.86</v>
      </c>
      <c r="E55" s="23"/>
      <c r="F55" s="23">
        <f>J55</f>
        <v>0.61399999999999999</v>
      </c>
      <c r="G55" s="24">
        <f>100*F55/D55</f>
        <v>33.01075268817204</v>
      </c>
      <c r="H55" s="23"/>
      <c r="I55" s="23"/>
      <c r="J55" s="23">
        <f>0.474+N55</f>
        <v>0.61399999999999999</v>
      </c>
      <c r="K55" s="24">
        <f>100*J55/D55</f>
        <v>33.01075268817204</v>
      </c>
      <c r="L55" s="23"/>
      <c r="M55" s="23"/>
      <c r="N55" s="23">
        <v>0.14000000000000001</v>
      </c>
      <c r="O55" s="22">
        <f>100*N55/D55</f>
        <v>7.5268817204301079</v>
      </c>
      <c r="P55" s="21"/>
    </row>
    <row r="56" spans="1:16" ht="17" thickBot="1" x14ac:dyDescent="0.25">
      <c r="A56" s="20"/>
      <c r="B56" s="19">
        <v>46</v>
      </c>
      <c r="C56" s="18">
        <v>4</v>
      </c>
      <c r="D56" s="16">
        <v>7.2359999999999998</v>
      </c>
      <c r="E56" s="16"/>
      <c r="F56" s="16">
        <f>J56+0.344</f>
        <v>1.2410000000000001</v>
      </c>
      <c r="G56" s="17">
        <f>100*F56/D56</f>
        <v>17.15035931453842</v>
      </c>
      <c r="H56" s="16"/>
      <c r="I56" s="16"/>
      <c r="J56" s="16">
        <f>N56+0.633+0.139</f>
        <v>0.89700000000000002</v>
      </c>
      <c r="K56" s="17">
        <f>100*J56/D56</f>
        <v>12.396351575456054</v>
      </c>
      <c r="L56" s="16"/>
      <c r="M56" s="16"/>
      <c r="N56" s="16">
        <v>0.125</v>
      </c>
      <c r="O56" s="15">
        <f>100*N56/D56</f>
        <v>1.7274737423991156</v>
      </c>
      <c r="P56" s="14"/>
    </row>
    <row r="57" spans="1:16" x14ac:dyDescent="0.2">
      <c r="A57" s="34" t="s">
        <v>223</v>
      </c>
      <c r="B57" s="33">
        <v>47</v>
      </c>
      <c r="C57" s="32">
        <v>1</v>
      </c>
      <c r="D57" s="30">
        <v>6.4169999999999998</v>
      </c>
      <c r="E57" s="30"/>
      <c r="F57" s="30">
        <f>J57+0.065</f>
        <v>1.236</v>
      </c>
      <c r="G57" s="31">
        <f>100*F57/D57</f>
        <v>19.261337073398785</v>
      </c>
      <c r="H57" s="30">
        <v>100</v>
      </c>
      <c r="I57" s="30"/>
      <c r="J57" s="30">
        <f>N57+0.101+0.132+0.129+0.755+0.054</f>
        <v>1.171</v>
      </c>
      <c r="K57" s="31">
        <f>100*J57/D57</f>
        <v>18.248402680380241</v>
      </c>
      <c r="L57" s="30">
        <v>100</v>
      </c>
      <c r="M57" s="30"/>
      <c r="N57" s="30">
        <v>0</v>
      </c>
      <c r="O57" s="29">
        <f>100*N57/D57</f>
        <v>0</v>
      </c>
      <c r="P57" s="28">
        <f>100*6/10</f>
        <v>60</v>
      </c>
    </row>
    <row r="58" spans="1:16" x14ac:dyDescent="0.2">
      <c r="A58" s="27"/>
      <c r="B58" s="26">
        <v>48</v>
      </c>
      <c r="C58" s="25">
        <v>2</v>
      </c>
      <c r="D58" s="23">
        <v>0.94399999999999995</v>
      </c>
      <c r="E58" s="23"/>
      <c r="F58" s="23">
        <f>J58+0.069+0.036</f>
        <v>0.18900000000000003</v>
      </c>
      <c r="G58" s="24">
        <f>100*F58/D58</f>
        <v>20.021186440677969</v>
      </c>
      <c r="H58" s="23"/>
      <c r="I58" s="23"/>
      <c r="J58" s="23">
        <f>N58</f>
        <v>8.4000000000000005E-2</v>
      </c>
      <c r="K58" s="24">
        <f>100*J58/D58</f>
        <v>8.898305084745763</v>
      </c>
      <c r="L58" s="23"/>
      <c r="M58" s="23"/>
      <c r="N58" s="23">
        <v>8.4000000000000005E-2</v>
      </c>
      <c r="O58" s="22">
        <f>100*N58/D58</f>
        <v>8.898305084745763</v>
      </c>
      <c r="P58" s="21"/>
    </row>
    <row r="59" spans="1:16" x14ac:dyDescent="0.2">
      <c r="A59" s="27"/>
      <c r="B59" s="26">
        <v>49</v>
      </c>
      <c r="C59" s="25">
        <v>3</v>
      </c>
      <c r="D59" s="23">
        <v>1.2150000000000001</v>
      </c>
      <c r="E59" s="23"/>
      <c r="F59" s="23">
        <f>J59+0.185</f>
        <v>0.36899999999999999</v>
      </c>
      <c r="G59" s="24">
        <f>100*F59/D59</f>
        <v>30.370370370370367</v>
      </c>
      <c r="H59" s="23"/>
      <c r="I59" s="23"/>
      <c r="J59" s="23">
        <f>N59+0.129</f>
        <v>0.184</v>
      </c>
      <c r="K59" s="24">
        <f>100*J59/D59</f>
        <v>15.144032921810698</v>
      </c>
      <c r="L59" s="23"/>
      <c r="M59" s="23"/>
      <c r="N59" s="23">
        <f>0.055</f>
        <v>5.5E-2</v>
      </c>
      <c r="O59" s="22">
        <f>100*N59/D59</f>
        <v>4.526748971193415</v>
      </c>
      <c r="P59" s="21"/>
    </row>
    <row r="60" spans="1:16" x14ac:dyDescent="0.2">
      <c r="A60" s="27"/>
      <c r="B60" s="26">
        <v>50</v>
      </c>
      <c r="C60" s="25">
        <v>4</v>
      </c>
      <c r="D60" s="23">
        <v>3.2719999999999998</v>
      </c>
      <c r="E60" s="23"/>
      <c r="F60" s="23">
        <f>J60+0.318+0.091</f>
        <v>0.72299999999999998</v>
      </c>
      <c r="G60" s="24">
        <f>100*F60/D60</f>
        <v>22.096577017114914</v>
      </c>
      <c r="H60" s="23"/>
      <c r="I60" s="23"/>
      <c r="J60" s="23">
        <f>N60</f>
        <v>0.314</v>
      </c>
      <c r="K60" s="24">
        <f>100*J60/D60</f>
        <v>9.5965770171149138</v>
      </c>
      <c r="L60" s="23"/>
      <c r="M60" s="23"/>
      <c r="N60" s="23">
        <v>0.314</v>
      </c>
      <c r="O60" s="22">
        <f>100*N60/D60</f>
        <v>9.5965770171149138</v>
      </c>
      <c r="P60" s="21"/>
    </row>
    <row r="61" spans="1:16" x14ac:dyDescent="0.2">
      <c r="A61" s="27"/>
      <c r="B61" s="26">
        <v>51</v>
      </c>
      <c r="C61" s="25">
        <v>5</v>
      </c>
      <c r="D61" s="23">
        <v>1.5289999999999999</v>
      </c>
      <c r="E61" s="23"/>
      <c r="F61" s="23">
        <v>0.38300000000000001</v>
      </c>
      <c r="G61" s="24">
        <f>100*F61/D61</f>
        <v>25.049051667756704</v>
      </c>
      <c r="H61" s="23"/>
      <c r="I61" s="23"/>
      <c r="J61" s="23">
        <v>0.38300000000000001</v>
      </c>
      <c r="K61" s="24">
        <f>100*J61/D61</f>
        <v>25.049051667756704</v>
      </c>
      <c r="L61" s="23"/>
      <c r="M61" s="23"/>
      <c r="N61" s="23">
        <v>0</v>
      </c>
      <c r="O61" s="22">
        <f>100*N61/D61</f>
        <v>0</v>
      </c>
      <c r="P61" s="21"/>
    </row>
    <row r="62" spans="1:16" x14ac:dyDescent="0.2">
      <c r="A62" s="27"/>
      <c r="B62" s="26">
        <v>52</v>
      </c>
      <c r="C62" s="25">
        <v>6</v>
      </c>
      <c r="D62" s="23">
        <v>1.639</v>
      </c>
      <c r="E62" s="23"/>
      <c r="F62" s="23">
        <v>0.32900000000000001</v>
      </c>
      <c r="G62" s="24">
        <f>100*F62/D62</f>
        <v>20.073215375228799</v>
      </c>
      <c r="H62" s="23"/>
      <c r="I62" s="23"/>
      <c r="J62" s="23">
        <v>0.32900000000000001</v>
      </c>
      <c r="K62" s="24">
        <f>100*J62/D62</f>
        <v>20.073215375228799</v>
      </c>
      <c r="L62" s="23"/>
      <c r="M62" s="23"/>
      <c r="N62" s="23">
        <v>0</v>
      </c>
      <c r="O62" s="22">
        <f>100*N62/D62</f>
        <v>0</v>
      </c>
      <c r="P62" s="21"/>
    </row>
    <row r="63" spans="1:16" x14ac:dyDescent="0.2">
      <c r="A63" s="27"/>
      <c r="B63" s="26">
        <v>53</v>
      </c>
      <c r="C63" s="25">
        <v>7</v>
      </c>
      <c r="D63" s="23">
        <v>1.7949999999999999</v>
      </c>
      <c r="E63" s="23"/>
      <c r="F63" s="23">
        <f>J63+0.272</f>
        <v>0.90700000000000003</v>
      </c>
      <c r="G63" s="24">
        <f>100*F63/D63</f>
        <v>50.529247910863511</v>
      </c>
      <c r="H63" s="23"/>
      <c r="I63" s="23"/>
      <c r="J63" s="23">
        <f>0.348+0.287</f>
        <v>0.63500000000000001</v>
      </c>
      <c r="K63" s="24">
        <f>100*J63/D63</f>
        <v>35.376044568245128</v>
      </c>
      <c r="L63" s="23"/>
      <c r="M63" s="23"/>
      <c r="N63" s="23">
        <v>0</v>
      </c>
      <c r="O63" s="22">
        <f>100*N63/D63</f>
        <v>0</v>
      </c>
      <c r="P63" s="21"/>
    </row>
    <row r="64" spans="1:16" x14ac:dyDescent="0.2">
      <c r="A64" s="27"/>
      <c r="B64" s="26">
        <v>54</v>
      </c>
      <c r="C64" s="25">
        <v>8</v>
      </c>
      <c r="D64" s="23">
        <v>3.1850000000000001</v>
      </c>
      <c r="E64" s="23"/>
      <c r="F64" s="23">
        <f>J64+0.272</f>
        <v>1.377</v>
      </c>
      <c r="G64" s="24">
        <f>100*F64/D64</f>
        <v>43.23390894819466</v>
      </c>
      <c r="H64" s="23"/>
      <c r="I64" s="23"/>
      <c r="J64" s="23">
        <f>N64+0.225+0.143+0.615</f>
        <v>1.105</v>
      </c>
      <c r="K64" s="24">
        <f>100*J64/D64</f>
        <v>34.693877551020407</v>
      </c>
      <c r="L64" s="23"/>
      <c r="M64" s="23"/>
      <c r="N64" s="23">
        <v>0.122</v>
      </c>
      <c r="O64" s="22">
        <f>100*N64/D64</f>
        <v>3.8304552590266874</v>
      </c>
      <c r="P64" s="21"/>
    </row>
    <row r="65" spans="1:16" x14ac:dyDescent="0.2">
      <c r="A65" s="27"/>
      <c r="B65" s="26">
        <v>55</v>
      </c>
      <c r="C65" s="25">
        <v>9</v>
      </c>
      <c r="D65" s="23">
        <v>9.8040000000000003</v>
      </c>
      <c r="E65" s="23"/>
      <c r="F65" s="23">
        <f>J65+0.143+0.122+0.144</f>
        <v>3.2089999999999996</v>
      </c>
      <c r="G65" s="24">
        <f>100*F65/D65</f>
        <v>32.731538147694813</v>
      </c>
      <c r="H65" s="23"/>
      <c r="I65" s="23"/>
      <c r="J65" s="23">
        <f>N65+0.769+0.363+0.268</f>
        <v>2.8</v>
      </c>
      <c r="K65" s="24">
        <f>100*J65/D65</f>
        <v>28.559771521827823</v>
      </c>
      <c r="L65" s="23"/>
      <c r="M65" s="23"/>
      <c r="N65" s="23">
        <f>0.25+0.159+0.991</f>
        <v>1.4</v>
      </c>
      <c r="O65" s="22">
        <f>100*N65/D65</f>
        <v>14.279885760913912</v>
      </c>
      <c r="P65" s="21"/>
    </row>
    <row r="66" spans="1:16" ht="17" thickBot="1" x14ac:dyDescent="0.25">
      <c r="A66" s="20"/>
      <c r="B66" s="19">
        <v>56</v>
      </c>
      <c r="C66" s="18">
        <v>10</v>
      </c>
      <c r="D66" s="16">
        <v>2.4889999999999999</v>
      </c>
      <c r="E66" s="16"/>
      <c r="F66" s="16">
        <f>J66</f>
        <v>0.89799999999999991</v>
      </c>
      <c r="G66" s="17">
        <f>100*F66/D66</f>
        <v>36.078746484531941</v>
      </c>
      <c r="H66" s="16"/>
      <c r="I66" s="16"/>
      <c r="J66" s="16">
        <f>N66+0.188+0.189</f>
        <v>0.89799999999999991</v>
      </c>
      <c r="K66" s="17">
        <f>100*J66/D66</f>
        <v>36.078746484531941</v>
      </c>
      <c r="L66" s="16"/>
      <c r="M66" s="16"/>
      <c r="N66" s="16">
        <f>0.286+0.235</f>
        <v>0.52099999999999991</v>
      </c>
      <c r="O66" s="15">
        <f>100*N66/D66</f>
        <v>20.932101245480112</v>
      </c>
      <c r="P66" s="14"/>
    </row>
    <row r="67" spans="1:16" x14ac:dyDescent="0.2">
      <c r="A67" s="34" t="s">
        <v>222</v>
      </c>
      <c r="B67" s="33">
        <v>57</v>
      </c>
      <c r="C67" s="32">
        <v>1</v>
      </c>
      <c r="D67" s="30">
        <v>1.7949999999999999</v>
      </c>
      <c r="E67" s="30"/>
      <c r="F67" s="30">
        <f>J67</f>
        <v>1.2010000000000001</v>
      </c>
      <c r="G67" s="31">
        <f>100*F67/D67</f>
        <v>66.908077994428979</v>
      </c>
      <c r="H67" s="30">
        <v>100</v>
      </c>
      <c r="I67" s="30"/>
      <c r="J67" s="30">
        <f>N67+0.229+0.233</f>
        <v>1.2010000000000001</v>
      </c>
      <c r="K67" s="31">
        <f>100*J67/D67</f>
        <v>66.908077994428979</v>
      </c>
      <c r="L67" s="30">
        <v>100</v>
      </c>
      <c r="M67" s="30"/>
      <c r="N67" s="30">
        <v>0.73899999999999999</v>
      </c>
      <c r="O67" s="29">
        <f>100*N67/D67</f>
        <v>41.169916434540397</v>
      </c>
      <c r="P67" s="28">
        <f>100*11/13</f>
        <v>84.615384615384613</v>
      </c>
    </row>
    <row r="68" spans="1:16" x14ac:dyDescent="0.2">
      <c r="A68" s="27"/>
      <c r="B68" s="26">
        <v>58</v>
      </c>
      <c r="C68" s="25">
        <v>2</v>
      </c>
      <c r="D68" s="23">
        <v>1.4930000000000001</v>
      </c>
      <c r="E68" s="23"/>
      <c r="F68" s="23">
        <f>J68</f>
        <v>0.219</v>
      </c>
      <c r="G68" s="24">
        <f>100*F68/D68</f>
        <v>14.66845277963831</v>
      </c>
      <c r="H68" s="23"/>
      <c r="I68" s="23"/>
      <c r="J68" s="23">
        <f>N68</f>
        <v>0.219</v>
      </c>
      <c r="K68" s="24">
        <f>100*J68/D68</f>
        <v>14.66845277963831</v>
      </c>
      <c r="L68" s="23"/>
      <c r="M68" s="23"/>
      <c r="N68" s="23">
        <v>0.219</v>
      </c>
      <c r="O68" s="22">
        <f>100*N68/D68</f>
        <v>14.66845277963831</v>
      </c>
      <c r="P68" s="21"/>
    </row>
    <row r="69" spans="1:16" x14ac:dyDescent="0.2">
      <c r="A69" s="27"/>
      <c r="B69" s="26">
        <v>59</v>
      </c>
      <c r="C69" s="25">
        <v>3</v>
      </c>
      <c r="D69" s="23">
        <v>14.09</v>
      </c>
      <c r="E69" s="23"/>
      <c r="F69" s="23">
        <f>J69+0.247+0.29+0.977</f>
        <v>8.3420000000000005</v>
      </c>
      <c r="G69" s="24">
        <f>100*F69/D69</f>
        <v>59.205110007097232</v>
      </c>
      <c r="H69" s="23"/>
      <c r="I69" s="23"/>
      <c r="J69" s="23">
        <f>N69+1.242+0.801+1.265+0.291</f>
        <v>6.8280000000000003</v>
      </c>
      <c r="K69" s="24">
        <f>100*J69/D69</f>
        <v>48.459900638750895</v>
      </c>
      <c r="L69" s="23"/>
      <c r="M69" s="23"/>
      <c r="N69" s="23">
        <f>0.731+0.656+1.004+0.838</f>
        <v>3.2290000000000001</v>
      </c>
      <c r="O69" s="22">
        <f>100*N69/D69</f>
        <v>22.916962384669983</v>
      </c>
      <c r="P69" s="21"/>
    </row>
    <row r="70" spans="1:16" x14ac:dyDescent="0.2">
      <c r="A70" s="27"/>
      <c r="B70" s="26">
        <v>60</v>
      </c>
      <c r="C70" s="26">
        <v>4</v>
      </c>
      <c r="D70" s="23">
        <v>2.141</v>
      </c>
      <c r="E70" s="23"/>
      <c r="F70" s="23">
        <f>J70+0.147</f>
        <v>1.238</v>
      </c>
      <c r="G70" s="24">
        <f>100*F70/D70</f>
        <v>57.823446987389069</v>
      </c>
      <c r="H70" s="23"/>
      <c r="I70" s="23"/>
      <c r="J70" s="23">
        <f>N70+0.524</f>
        <v>1.091</v>
      </c>
      <c r="K70" s="24">
        <f>100*J70/D70</f>
        <v>50.957496496964033</v>
      </c>
      <c r="L70" s="23"/>
      <c r="M70" s="23"/>
      <c r="N70" s="23">
        <v>0.56699999999999995</v>
      </c>
      <c r="O70" s="22">
        <f>100*N70/D70</f>
        <v>26.48295189163942</v>
      </c>
      <c r="P70" s="21"/>
    </row>
    <row r="71" spans="1:16" x14ac:dyDescent="0.2">
      <c r="A71" s="27"/>
      <c r="B71" s="26">
        <v>61</v>
      </c>
      <c r="C71" s="26">
        <v>5</v>
      </c>
      <c r="D71" s="23">
        <v>4.7770000000000001</v>
      </c>
      <c r="E71" s="23"/>
      <c r="F71" s="23">
        <f>J71+0.27</f>
        <v>2.6479999999999997</v>
      </c>
      <c r="G71" s="24">
        <f>100*F71/D71</f>
        <v>55.432279673435197</v>
      </c>
      <c r="H71" s="23"/>
      <c r="I71" s="23"/>
      <c r="J71" s="23">
        <f>N71+0.973+0.284</f>
        <v>2.3779999999999997</v>
      </c>
      <c r="K71" s="24">
        <f>100*J71/D71</f>
        <v>49.780196776219377</v>
      </c>
      <c r="L71" s="23"/>
      <c r="M71" s="23"/>
      <c r="N71" s="23">
        <v>1.121</v>
      </c>
      <c r="O71" s="22">
        <f>100*N71/D71</f>
        <v>23.466610843625705</v>
      </c>
      <c r="P71" s="21"/>
    </row>
    <row r="72" spans="1:16" x14ac:dyDescent="0.2">
      <c r="A72" s="27"/>
      <c r="B72" s="26">
        <v>62</v>
      </c>
      <c r="C72" s="26">
        <v>6</v>
      </c>
      <c r="D72" s="23">
        <v>2.278</v>
      </c>
      <c r="E72" s="23"/>
      <c r="F72" s="23">
        <f>J72+0.294</f>
        <v>1.536</v>
      </c>
      <c r="G72" s="24">
        <f>100*F72/D72</f>
        <v>67.427568042142227</v>
      </c>
      <c r="H72" s="23"/>
      <c r="I72" s="23"/>
      <c r="J72" s="23">
        <f>N72+0.43</f>
        <v>1.242</v>
      </c>
      <c r="K72" s="24">
        <f>100*J72/D72</f>
        <v>54.521510096575945</v>
      </c>
      <c r="L72" s="23"/>
      <c r="M72" s="23"/>
      <c r="N72" s="23">
        <f>0.46+0.352</f>
        <v>0.81200000000000006</v>
      </c>
      <c r="O72" s="22">
        <f>100*N72/D72</f>
        <v>35.645302897278313</v>
      </c>
      <c r="P72" s="21"/>
    </row>
    <row r="73" spans="1:16" x14ac:dyDescent="0.2">
      <c r="A73" s="27"/>
      <c r="B73" s="26">
        <v>63</v>
      </c>
      <c r="C73" s="26">
        <v>7</v>
      </c>
      <c r="D73" s="23">
        <v>2.3090000000000002</v>
      </c>
      <c r="E73" s="23"/>
      <c r="F73" s="23">
        <f>J73</f>
        <v>1.01</v>
      </c>
      <c r="G73" s="24">
        <f>100*F73/D73</f>
        <v>43.741879601559113</v>
      </c>
      <c r="H73" s="23"/>
      <c r="I73" s="23"/>
      <c r="J73" s="23">
        <f>N73+0.39+0.385</f>
        <v>1.01</v>
      </c>
      <c r="K73" s="24">
        <f>100*J73/D73</f>
        <v>43.741879601559113</v>
      </c>
      <c r="L73" s="23"/>
      <c r="M73" s="23"/>
      <c r="N73" s="23">
        <v>0.23499999999999999</v>
      </c>
      <c r="O73" s="22">
        <f>100*N73/D73</f>
        <v>10.177566045907318</v>
      </c>
      <c r="P73" s="21"/>
    </row>
    <row r="74" spans="1:16" x14ac:dyDescent="0.2">
      <c r="A74" s="27"/>
      <c r="B74" s="26">
        <v>64</v>
      </c>
      <c r="C74" s="26">
        <v>8</v>
      </c>
      <c r="D74" s="23">
        <v>6.3650000000000002</v>
      </c>
      <c r="E74" s="23"/>
      <c r="F74" s="23">
        <f>J74</f>
        <v>3.4000000000000004</v>
      </c>
      <c r="G74" s="24">
        <f>100*F74/D74</f>
        <v>53.417124901806766</v>
      </c>
      <c r="H74" s="23"/>
      <c r="I74" s="23"/>
      <c r="J74" s="23">
        <f>N74+2.289+0.226+0.109</f>
        <v>3.4000000000000004</v>
      </c>
      <c r="K74" s="24">
        <f>100*J74/D74</f>
        <v>53.417124901806766</v>
      </c>
      <c r="L74" s="23"/>
      <c r="M74" s="23"/>
      <c r="N74" s="23">
        <f>0.212+0.27+0.294</f>
        <v>0.77600000000000002</v>
      </c>
      <c r="O74" s="22">
        <f>100*N74/D74</f>
        <v>12.191673212882955</v>
      </c>
      <c r="P74" s="21"/>
    </row>
    <row r="75" spans="1:16" x14ac:dyDescent="0.2">
      <c r="A75" s="27"/>
      <c r="B75" s="26">
        <v>65</v>
      </c>
      <c r="C75" s="26">
        <v>9</v>
      </c>
      <c r="D75" s="23">
        <v>3.9260000000000002</v>
      </c>
      <c r="E75" s="23"/>
      <c r="F75" s="23">
        <f>J75+0.337</f>
        <v>2.125</v>
      </c>
      <c r="G75" s="24">
        <f>100*F75/D75</f>
        <v>54.126337238920016</v>
      </c>
      <c r="H75" s="23"/>
      <c r="I75" s="23"/>
      <c r="J75" s="23">
        <f>N75+0.601+0.723</f>
        <v>1.7879999999999998</v>
      </c>
      <c r="K75" s="24">
        <f>100*J75/D75</f>
        <v>45.542536933265403</v>
      </c>
      <c r="L75" s="23"/>
      <c r="M75" s="23"/>
      <c r="N75" s="23">
        <v>0.46400000000000002</v>
      </c>
      <c r="O75" s="22">
        <f>100*N75/D75</f>
        <v>11.818644931227714</v>
      </c>
      <c r="P75" s="21"/>
    </row>
    <row r="76" spans="1:16" x14ac:dyDescent="0.2">
      <c r="A76" s="27"/>
      <c r="B76" s="26">
        <v>66</v>
      </c>
      <c r="C76" s="26">
        <v>10</v>
      </c>
      <c r="D76" s="23">
        <v>5.7869999999999999</v>
      </c>
      <c r="E76" s="23"/>
      <c r="F76" s="23">
        <f>J76</f>
        <v>2.8860000000000001</v>
      </c>
      <c r="G76" s="24">
        <f>100*F76/D76</f>
        <v>49.870399170554698</v>
      </c>
      <c r="H76" s="23"/>
      <c r="I76" s="23"/>
      <c r="J76" s="23">
        <f>0.257+1.125+1.504</f>
        <v>2.8860000000000001</v>
      </c>
      <c r="K76" s="24">
        <f>100*J76/D76</f>
        <v>49.870399170554698</v>
      </c>
      <c r="L76" s="23"/>
      <c r="M76" s="23"/>
      <c r="N76" s="23">
        <v>0</v>
      </c>
      <c r="O76" s="22">
        <f>100*N76/D76</f>
        <v>0</v>
      </c>
      <c r="P76" s="21"/>
    </row>
    <row r="77" spans="1:16" x14ac:dyDescent="0.2">
      <c r="A77" s="27"/>
      <c r="B77" s="26">
        <v>67</v>
      </c>
      <c r="C77" s="26">
        <v>11</v>
      </c>
      <c r="D77" s="23">
        <v>5.0890000000000004</v>
      </c>
      <c r="E77" s="23"/>
      <c r="F77" s="23">
        <f>J77</f>
        <v>2.319</v>
      </c>
      <c r="G77" s="24">
        <f>100*F77/D77</f>
        <v>45.568874042051483</v>
      </c>
      <c r="H77" s="23"/>
      <c r="I77" s="23"/>
      <c r="J77" s="23">
        <f>1.16+1.159</f>
        <v>2.319</v>
      </c>
      <c r="K77" s="24">
        <f>100*J77/D77</f>
        <v>45.568874042051483</v>
      </c>
      <c r="L77" s="23"/>
      <c r="M77" s="23"/>
      <c r="N77" s="23">
        <v>0</v>
      </c>
      <c r="O77" s="22">
        <f>100*N77/D77</f>
        <v>0</v>
      </c>
      <c r="P77" s="21"/>
    </row>
    <row r="78" spans="1:16" x14ac:dyDescent="0.2">
      <c r="A78" s="27"/>
      <c r="B78" s="26">
        <v>68</v>
      </c>
      <c r="C78" s="26">
        <v>12</v>
      </c>
      <c r="D78" s="23">
        <v>1.4850000000000001</v>
      </c>
      <c r="E78" s="23"/>
      <c r="F78" s="23">
        <f>J78</f>
        <v>0.89599999999999991</v>
      </c>
      <c r="G78" s="24">
        <f>100*F78/D78</f>
        <v>60.336700336700332</v>
      </c>
      <c r="H78" s="23"/>
      <c r="I78" s="23"/>
      <c r="J78" s="23">
        <f>N78+0.337</f>
        <v>0.89599999999999991</v>
      </c>
      <c r="K78" s="24">
        <f>100*J78/D78</f>
        <v>60.336700336700332</v>
      </c>
      <c r="L78" s="23"/>
      <c r="M78" s="23"/>
      <c r="N78" s="23">
        <f>0.265+0.294</f>
        <v>0.55899999999999994</v>
      </c>
      <c r="O78" s="22">
        <f>100*N78/D78</f>
        <v>37.643097643097633</v>
      </c>
      <c r="P78" s="21"/>
    </row>
    <row r="79" spans="1:16" ht="17" thickBot="1" x14ac:dyDescent="0.25">
      <c r="A79" s="20"/>
      <c r="B79" s="19">
        <v>69</v>
      </c>
      <c r="C79" s="19">
        <v>13</v>
      </c>
      <c r="D79" s="16">
        <v>2.2090000000000001</v>
      </c>
      <c r="E79" s="16"/>
      <c r="F79" s="16">
        <f>J79+0.297</f>
        <v>0.82699999999999996</v>
      </c>
      <c r="G79" s="17">
        <f>100*F79/D79</f>
        <v>37.437754640108643</v>
      </c>
      <c r="H79" s="16"/>
      <c r="I79" s="16"/>
      <c r="J79" s="16">
        <f>N79+0.374</f>
        <v>0.53</v>
      </c>
      <c r="K79" s="17">
        <f>100*J79/D79</f>
        <v>23.992756903576279</v>
      </c>
      <c r="L79" s="16"/>
      <c r="M79" s="16"/>
      <c r="N79" s="16">
        <v>0.156</v>
      </c>
      <c r="O79" s="15">
        <f>100*N79/D79</f>
        <v>7.0620190131281122</v>
      </c>
      <c r="P79" s="14"/>
    </row>
    <row r="80" spans="1:16" x14ac:dyDescent="0.2">
      <c r="A80" s="34" t="s">
        <v>221</v>
      </c>
      <c r="B80" s="33">
        <v>70</v>
      </c>
      <c r="C80" s="32">
        <v>1</v>
      </c>
      <c r="D80" s="30">
        <v>2.2389999999999999</v>
      </c>
      <c r="E80" s="30"/>
      <c r="F80" s="30">
        <f>J80</f>
        <v>0.69699999999999995</v>
      </c>
      <c r="G80" s="31">
        <f>100*F80/D80</f>
        <v>31.129968736042873</v>
      </c>
      <c r="H80" s="30">
        <v>100</v>
      </c>
      <c r="I80" s="30"/>
      <c r="J80" s="30">
        <f>N80</f>
        <v>0.69699999999999995</v>
      </c>
      <c r="K80" s="31">
        <f>100*J80/D80</f>
        <v>31.129968736042873</v>
      </c>
      <c r="L80" s="30">
        <v>100</v>
      </c>
      <c r="M80" s="30"/>
      <c r="N80" s="30">
        <v>0.69699999999999995</v>
      </c>
      <c r="O80" s="29">
        <f>100*N80/D80</f>
        <v>31.129968736042873</v>
      </c>
      <c r="P80" s="28">
        <v>75</v>
      </c>
    </row>
    <row r="81" spans="1:16" x14ac:dyDescent="0.2">
      <c r="A81" s="27"/>
      <c r="B81" s="26">
        <v>71</v>
      </c>
      <c r="C81" s="25">
        <v>2</v>
      </c>
      <c r="D81" s="23">
        <v>2.577</v>
      </c>
      <c r="E81" s="23"/>
      <c r="F81" s="23">
        <f>J81</f>
        <v>1.109</v>
      </c>
      <c r="G81" s="24">
        <f>100*F81/D81</f>
        <v>43.034536282499033</v>
      </c>
      <c r="H81" s="23"/>
      <c r="I81" s="23"/>
      <c r="J81" s="23">
        <f>N81+0.6</f>
        <v>1.109</v>
      </c>
      <c r="K81" s="24">
        <f>100*J81/D81</f>
        <v>43.034536282499033</v>
      </c>
      <c r="L81" s="23"/>
      <c r="M81" s="23"/>
      <c r="N81" s="23">
        <v>0.50900000000000001</v>
      </c>
      <c r="O81" s="22">
        <f>100*N81/D81</f>
        <v>19.751649204501359</v>
      </c>
      <c r="P81" s="21"/>
    </row>
    <row r="82" spans="1:16" x14ac:dyDescent="0.2">
      <c r="A82" s="27"/>
      <c r="B82" s="26">
        <v>72</v>
      </c>
      <c r="C82" s="25">
        <v>3</v>
      </c>
      <c r="D82" s="23">
        <v>2.74</v>
      </c>
      <c r="E82" s="23"/>
      <c r="F82" s="23">
        <v>0.46400000000000002</v>
      </c>
      <c r="G82" s="24">
        <f>100*F82/D82</f>
        <v>16.934306569343068</v>
      </c>
      <c r="H82" s="23"/>
      <c r="I82" s="23"/>
      <c r="J82" s="23">
        <v>0.46400000000000002</v>
      </c>
      <c r="K82" s="24">
        <f>100*J82/D82</f>
        <v>16.934306569343068</v>
      </c>
      <c r="L82" s="23"/>
      <c r="M82" s="23"/>
      <c r="N82" s="23">
        <v>0.46400000000000002</v>
      </c>
      <c r="O82" s="22">
        <f>100*N82/D82</f>
        <v>16.934306569343068</v>
      </c>
      <c r="P82" s="21"/>
    </row>
    <row r="83" spans="1:16" x14ac:dyDescent="0.2">
      <c r="A83" s="27"/>
      <c r="B83" s="26">
        <v>73</v>
      </c>
      <c r="C83" s="25">
        <v>4</v>
      </c>
      <c r="D83" s="23">
        <v>2.2719999999999998</v>
      </c>
      <c r="E83" s="23"/>
      <c r="F83" s="23">
        <f>J83</f>
        <v>1.879</v>
      </c>
      <c r="G83" s="24">
        <f>100*F83/D83</f>
        <v>82.702464788732399</v>
      </c>
      <c r="H83" s="23"/>
      <c r="I83" s="23"/>
      <c r="J83" s="23">
        <f>N83+0.161+1.296</f>
        <v>1.879</v>
      </c>
      <c r="K83" s="24">
        <f>100*J83/D83</f>
        <v>82.702464788732399</v>
      </c>
      <c r="L83" s="23"/>
      <c r="M83" s="23"/>
      <c r="N83" s="23">
        <v>0.42199999999999999</v>
      </c>
      <c r="O83" s="22">
        <f>100*N83/D83</f>
        <v>18.573943661971832</v>
      </c>
      <c r="P83" s="21"/>
    </row>
    <row r="84" spans="1:16" x14ac:dyDescent="0.2">
      <c r="A84" s="27"/>
      <c r="B84" s="26">
        <v>74</v>
      </c>
      <c r="C84" s="25">
        <v>5</v>
      </c>
      <c r="D84" s="23">
        <v>2.8620000000000001</v>
      </c>
      <c r="E84" s="23"/>
      <c r="F84" s="23">
        <f>J84</f>
        <v>1.3770000000000002</v>
      </c>
      <c r="G84" s="24">
        <f>100*F84/D84</f>
        <v>48.113207547169814</v>
      </c>
      <c r="H84" s="23"/>
      <c r="I84" s="23"/>
      <c r="J84" s="23">
        <f>N84+0.447+0.67</f>
        <v>1.3770000000000002</v>
      </c>
      <c r="K84" s="24">
        <f>100*J84/D84</f>
        <v>48.113207547169814</v>
      </c>
      <c r="L84" s="23"/>
      <c r="M84" s="23"/>
      <c r="N84" s="23">
        <v>0.26</v>
      </c>
      <c r="O84" s="22">
        <f>100*N84/D84</f>
        <v>9.0845562543675751</v>
      </c>
      <c r="P84" s="21"/>
    </row>
    <row r="85" spans="1:16" x14ac:dyDescent="0.2">
      <c r="A85" s="27"/>
      <c r="B85" s="26">
        <v>75</v>
      </c>
      <c r="C85" s="25">
        <v>6</v>
      </c>
      <c r="D85" s="23">
        <v>1.8160000000000001</v>
      </c>
      <c r="E85" s="23"/>
      <c r="F85" s="23">
        <v>1.2</v>
      </c>
      <c r="G85" s="24">
        <f>100*F85/D85</f>
        <v>66.079295154185019</v>
      </c>
      <c r="H85" s="23"/>
      <c r="I85" s="23"/>
      <c r="J85" s="23">
        <v>1.2</v>
      </c>
      <c r="K85" s="24">
        <f>100*J85/D85</f>
        <v>66.079295154185019</v>
      </c>
      <c r="L85" s="23"/>
      <c r="M85" s="23"/>
      <c r="N85" s="23">
        <v>0</v>
      </c>
      <c r="O85" s="22">
        <f>100*N85/D85</f>
        <v>0</v>
      </c>
      <c r="P85" s="21"/>
    </row>
    <row r="86" spans="1:16" x14ac:dyDescent="0.2">
      <c r="A86" s="27"/>
      <c r="B86" s="26">
        <v>76</v>
      </c>
      <c r="C86" s="25">
        <v>7</v>
      </c>
      <c r="D86" s="23">
        <v>4.9470000000000001</v>
      </c>
      <c r="E86" s="23"/>
      <c r="F86" s="23">
        <f>J86</f>
        <v>1.944</v>
      </c>
      <c r="G86" s="24">
        <f>100*F86/D86</f>
        <v>39.296543359611888</v>
      </c>
      <c r="H86" s="23"/>
      <c r="I86" s="23"/>
      <c r="J86" s="23">
        <v>1.944</v>
      </c>
      <c r="K86" s="24">
        <f>100*J86/D86</f>
        <v>39.296543359611888</v>
      </c>
      <c r="L86" s="23"/>
      <c r="M86" s="23"/>
      <c r="N86" s="23">
        <v>0</v>
      </c>
      <c r="O86" s="22">
        <f>100*N86/D86</f>
        <v>0</v>
      </c>
      <c r="P86" s="21"/>
    </row>
    <row r="87" spans="1:16" ht="17" thickBot="1" x14ac:dyDescent="0.25">
      <c r="A87" s="20"/>
      <c r="B87" s="19">
        <v>77</v>
      </c>
      <c r="C87" s="18">
        <v>8</v>
      </c>
      <c r="D87" s="16">
        <v>2.7770000000000001</v>
      </c>
      <c r="E87" s="16"/>
      <c r="F87" s="16">
        <f>J87</f>
        <v>0.93299999999999994</v>
      </c>
      <c r="G87" s="17">
        <f>100*F87/D87</f>
        <v>33.597407274036726</v>
      </c>
      <c r="H87" s="16"/>
      <c r="I87" s="16"/>
      <c r="J87" s="16">
        <f>N87+0.349</f>
        <v>0.93299999999999994</v>
      </c>
      <c r="K87" s="17">
        <f>100*J87/D87</f>
        <v>33.597407274036726</v>
      </c>
      <c r="L87" s="16"/>
      <c r="M87" s="16"/>
      <c r="N87" s="16">
        <v>0.58399999999999996</v>
      </c>
      <c r="O87" s="15">
        <f>100*N87/D87</f>
        <v>21.029888368743247</v>
      </c>
      <c r="P87" s="14"/>
    </row>
    <row r="88" spans="1:16" x14ac:dyDescent="0.2">
      <c r="A88" s="34" t="s">
        <v>220</v>
      </c>
      <c r="B88" s="33">
        <v>78</v>
      </c>
      <c r="C88" s="32">
        <v>1</v>
      </c>
      <c r="D88" s="30">
        <v>1.74</v>
      </c>
      <c r="E88" s="30"/>
      <c r="F88" s="30">
        <f>J88</f>
        <v>0.46899999999999997</v>
      </c>
      <c r="G88" s="31">
        <f>100*F88/D88</f>
        <v>26.954022988505745</v>
      </c>
      <c r="H88" s="30"/>
      <c r="I88" s="30"/>
      <c r="J88" s="30">
        <f>N88+0.282</f>
        <v>0.46899999999999997</v>
      </c>
      <c r="K88" s="31">
        <f>100*J88/D88</f>
        <v>26.954022988505745</v>
      </c>
      <c r="L88" s="30"/>
      <c r="M88" s="30"/>
      <c r="N88" s="30">
        <v>0.187</v>
      </c>
      <c r="O88" s="29">
        <f>100*N88/D88</f>
        <v>10.74712643678161</v>
      </c>
      <c r="P88" s="28"/>
    </row>
    <row r="89" spans="1:16" x14ac:dyDescent="0.2">
      <c r="A89" s="27"/>
      <c r="B89" s="26">
        <v>79</v>
      </c>
      <c r="C89" s="25">
        <v>2</v>
      </c>
      <c r="D89" s="23">
        <v>1.9159999999999999</v>
      </c>
      <c r="E89" s="23"/>
      <c r="F89" s="23">
        <f>J89+0.214</f>
        <v>0.53900000000000003</v>
      </c>
      <c r="G89" s="24">
        <f>100*F89/D89</f>
        <v>28.131524008350734</v>
      </c>
      <c r="H89" s="23"/>
      <c r="I89" s="23"/>
      <c r="J89" s="23">
        <f>N89+0.111</f>
        <v>0.32500000000000001</v>
      </c>
      <c r="K89" s="24">
        <f>100*J89/D89</f>
        <v>16.962421711899793</v>
      </c>
      <c r="L89" s="23"/>
      <c r="M89" s="23"/>
      <c r="N89" s="23">
        <f>0.07+0.144</f>
        <v>0.214</v>
      </c>
      <c r="O89" s="22">
        <f>100*N89/D89</f>
        <v>11.169102296450939</v>
      </c>
      <c r="P89" s="21"/>
    </row>
    <row r="90" spans="1:16" x14ac:dyDescent="0.2">
      <c r="A90" s="27"/>
      <c r="B90" s="26">
        <v>80</v>
      </c>
      <c r="C90" s="25">
        <v>3</v>
      </c>
      <c r="D90" s="23">
        <v>4.0490000000000004</v>
      </c>
      <c r="E90" s="23"/>
      <c r="F90" s="23">
        <f>0.49+J90</f>
        <v>1.32</v>
      </c>
      <c r="G90" s="24">
        <f>100*F90/D90</f>
        <v>32.600642133860212</v>
      </c>
      <c r="H90" s="23"/>
      <c r="I90" s="23"/>
      <c r="J90" s="23">
        <f>0.179+N90</f>
        <v>0.83000000000000007</v>
      </c>
      <c r="K90" s="24">
        <f>100*J90/D90</f>
        <v>20.498888614472708</v>
      </c>
      <c r="L90" s="23"/>
      <c r="M90" s="23"/>
      <c r="N90" s="23">
        <v>0.65100000000000002</v>
      </c>
      <c r="O90" s="22">
        <f>100*N90/D90</f>
        <v>16.07804396147197</v>
      </c>
      <c r="P90" s="21"/>
    </row>
    <row r="91" spans="1:16" x14ac:dyDescent="0.2">
      <c r="A91" s="27"/>
      <c r="B91" s="26">
        <v>81</v>
      </c>
      <c r="C91" s="25">
        <v>4</v>
      </c>
      <c r="D91" s="23">
        <v>3.1549999999999998</v>
      </c>
      <c r="E91" s="23"/>
      <c r="F91" s="23">
        <f>J91+0.177+0.127</f>
        <v>0.81299999999999994</v>
      </c>
      <c r="G91" s="24">
        <f>100*F91/D91</f>
        <v>25.768621236133121</v>
      </c>
      <c r="H91" s="23"/>
      <c r="I91" s="23"/>
      <c r="J91" s="23">
        <f>N91</f>
        <v>0.50900000000000001</v>
      </c>
      <c r="K91" s="24">
        <f>100*J91/D91</f>
        <v>16.133122028526149</v>
      </c>
      <c r="L91" s="23"/>
      <c r="M91" s="23"/>
      <c r="N91" s="23">
        <f>0.34+0.169</f>
        <v>0.50900000000000001</v>
      </c>
      <c r="O91" s="22">
        <f>100*N91/D91</f>
        <v>16.133122028526149</v>
      </c>
      <c r="P91" s="21"/>
    </row>
    <row r="92" spans="1:16" x14ac:dyDescent="0.2">
      <c r="A92" s="27"/>
      <c r="B92" s="26">
        <v>82</v>
      </c>
      <c r="C92" s="25">
        <v>5</v>
      </c>
      <c r="D92" s="23">
        <v>2.8730000000000002</v>
      </c>
      <c r="E92" s="23"/>
      <c r="F92" s="23">
        <f>J92</f>
        <v>1.022</v>
      </c>
      <c r="G92" s="24">
        <f>100*F92/D92</f>
        <v>35.572572224155934</v>
      </c>
      <c r="H92" s="23"/>
      <c r="I92" s="23"/>
      <c r="J92" s="23">
        <v>1.022</v>
      </c>
      <c r="K92" s="24">
        <f>100*J92/D92</f>
        <v>35.572572224155934</v>
      </c>
      <c r="L92" s="23"/>
      <c r="M92" s="23"/>
      <c r="N92" s="23">
        <v>0</v>
      </c>
      <c r="O92" s="22">
        <f>100*N92/D92</f>
        <v>0</v>
      </c>
      <c r="P92" s="21"/>
    </row>
    <row r="93" spans="1:16" ht="17" thickBot="1" x14ac:dyDescent="0.25">
      <c r="A93" s="20"/>
      <c r="B93" s="19">
        <v>83</v>
      </c>
      <c r="C93" s="18">
        <v>6</v>
      </c>
      <c r="D93" s="16">
        <v>5.8849999999999998</v>
      </c>
      <c r="E93" s="16"/>
      <c r="F93" s="16">
        <f>J93</f>
        <v>1.234</v>
      </c>
      <c r="G93" s="17">
        <f>100*F93/D93</f>
        <v>20.968564146134241</v>
      </c>
      <c r="H93" s="16"/>
      <c r="I93" s="16"/>
      <c r="J93" s="16">
        <f>N93+0.816</f>
        <v>1.234</v>
      </c>
      <c r="K93" s="17">
        <f>100*J93/D93</f>
        <v>20.968564146134241</v>
      </c>
      <c r="L93" s="16"/>
      <c r="M93" s="16"/>
      <c r="N93" s="16">
        <v>0.41799999999999998</v>
      </c>
      <c r="O93" s="15">
        <f>100*N93/D93</f>
        <v>7.1028037383177569</v>
      </c>
      <c r="P93" s="14"/>
    </row>
    <row r="94" spans="1:16" x14ac:dyDescent="0.2">
      <c r="G94" s="13"/>
      <c r="H94" s="13"/>
      <c r="I94" s="13"/>
      <c r="J94" s="13"/>
      <c r="K94" s="13"/>
      <c r="L94" s="13"/>
      <c r="M94" s="13"/>
      <c r="N94" s="13"/>
      <c r="O94" s="13"/>
    </row>
    <row r="95" spans="1:16" x14ac:dyDescent="0.2">
      <c r="D95" t="s">
        <v>1</v>
      </c>
      <c r="G95" s="2">
        <f>AVERAGE(G11:G93)</f>
        <v>32.40300554872222</v>
      </c>
      <c r="H95" s="2">
        <f>AVERAGE(H11:H93)</f>
        <v>97.354497354497354</v>
      </c>
      <c r="K95" s="2">
        <f>AVERAGE(K11:K93)</f>
        <v>26.370613928189911</v>
      </c>
      <c r="L95" s="2">
        <f>AVERAGE(L11:L93)</f>
        <v>97.354497354497354</v>
      </c>
      <c r="O95" s="2">
        <f>AVERAGE(O11:O93)</f>
        <v>10.321001799973311</v>
      </c>
      <c r="P95" s="2">
        <f>AVERAGE(P11:P93)</f>
        <v>75.494505494505489</v>
      </c>
    </row>
    <row r="96" spans="1:16" x14ac:dyDescent="0.2">
      <c r="D96" t="s">
        <v>0</v>
      </c>
      <c r="G96" s="2">
        <f>STDEV(G11:G93)</f>
        <v>16.896308036363543</v>
      </c>
      <c r="H96" s="2">
        <f>STDEV(H11:H93)</f>
        <v>8.363845257351521</v>
      </c>
      <c r="K96" s="2">
        <f>STDEV(K11:K93)</f>
        <v>17.929967659956272</v>
      </c>
      <c r="L96" s="2">
        <f>STDEV(L11:L93)</f>
        <v>8.363845257351521</v>
      </c>
      <c r="O96" s="2">
        <f>STDEV(O11:O93)</f>
        <v>9.9939326738054746</v>
      </c>
      <c r="P96" s="2">
        <f>STDEV(P11:P93)</f>
        <v>24.802290930852852</v>
      </c>
    </row>
    <row r="97" spans="1:16" x14ac:dyDescent="0.2">
      <c r="G97" s="13"/>
      <c r="H97" s="13"/>
      <c r="I97" s="13"/>
      <c r="J97" s="13"/>
      <c r="K97" s="13"/>
      <c r="L97" s="13"/>
      <c r="M97" s="13"/>
      <c r="N97" s="13"/>
      <c r="O97" s="13"/>
    </row>
    <row r="98" spans="1:16" ht="17" thickBot="1" x14ac:dyDescent="0.25">
      <c r="A98" t="s">
        <v>219</v>
      </c>
      <c r="G98" s="13"/>
      <c r="H98" s="13"/>
      <c r="I98" s="13"/>
      <c r="J98" s="13"/>
      <c r="K98" s="13"/>
      <c r="L98" s="13"/>
      <c r="M98" s="13"/>
      <c r="N98" s="13"/>
      <c r="O98" s="13"/>
    </row>
    <row r="99" spans="1:16" x14ac:dyDescent="0.2">
      <c r="A99" s="34" t="s">
        <v>218</v>
      </c>
      <c r="B99" s="33">
        <v>1</v>
      </c>
      <c r="C99" s="33">
        <v>1</v>
      </c>
      <c r="D99" s="30">
        <v>1.379</v>
      </c>
      <c r="E99" s="30"/>
      <c r="F99" s="30">
        <f>J99</f>
        <v>0.36599999999999999</v>
      </c>
      <c r="G99" s="31">
        <f>100*F99/D99</f>
        <v>26.540971718636694</v>
      </c>
      <c r="H99" s="30">
        <f>100*4/6</f>
        <v>66.666666666666671</v>
      </c>
      <c r="I99" s="30"/>
      <c r="J99" s="30">
        <f>0.235+0.131</f>
        <v>0.36599999999999999</v>
      </c>
      <c r="K99" s="31">
        <f>100*J99/D99</f>
        <v>26.540971718636694</v>
      </c>
      <c r="L99" s="30">
        <f>100*3/6</f>
        <v>50</v>
      </c>
      <c r="M99" s="30"/>
      <c r="N99" s="30">
        <v>0</v>
      </c>
      <c r="O99" s="29">
        <f>100*N99/D99</f>
        <v>0</v>
      </c>
      <c r="P99" s="28">
        <f>100*2/6</f>
        <v>33.333333333333336</v>
      </c>
    </row>
    <row r="100" spans="1:16" x14ac:dyDescent="0.2">
      <c r="A100" s="27"/>
      <c r="B100" s="26">
        <v>2</v>
      </c>
      <c r="C100" s="26">
        <v>2</v>
      </c>
      <c r="D100" s="23">
        <v>1.4450000000000001</v>
      </c>
      <c r="E100" s="23"/>
      <c r="F100" s="23">
        <f>J100</f>
        <v>0.38300000000000001</v>
      </c>
      <c r="G100" s="24">
        <f>100*F100/D100</f>
        <v>26.505190311418684</v>
      </c>
      <c r="H100" s="23"/>
      <c r="I100" s="23"/>
      <c r="J100" s="23">
        <f>N100+0.115+0.172</f>
        <v>0.38300000000000001</v>
      </c>
      <c r="K100" s="24">
        <f>100*J100/D100</f>
        <v>26.505190311418684</v>
      </c>
      <c r="L100" s="23"/>
      <c r="M100" s="23"/>
      <c r="N100" s="23">
        <v>9.6000000000000002E-2</v>
      </c>
      <c r="O100" s="22">
        <f>100*N100/D100</f>
        <v>6.6435986159169547</v>
      </c>
      <c r="P100" s="21"/>
    </row>
    <row r="101" spans="1:16" x14ac:dyDescent="0.2">
      <c r="A101" s="27"/>
      <c r="B101" s="26">
        <v>3</v>
      </c>
      <c r="C101" s="26">
        <v>3</v>
      </c>
      <c r="D101" s="23">
        <v>1.1839999999999999</v>
      </c>
      <c r="E101" s="23"/>
      <c r="F101" s="23">
        <v>0</v>
      </c>
      <c r="G101" s="24">
        <f>100*F101/D101</f>
        <v>0</v>
      </c>
      <c r="H101" s="23"/>
      <c r="I101" s="23"/>
      <c r="J101" s="23">
        <v>0</v>
      </c>
      <c r="K101" s="24">
        <f>100*J101/D101</f>
        <v>0</v>
      </c>
      <c r="L101" s="23"/>
      <c r="M101" s="23"/>
      <c r="N101" s="23">
        <v>0</v>
      </c>
      <c r="O101" s="22">
        <f>100*N101/D101</f>
        <v>0</v>
      </c>
      <c r="P101" s="21"/>
    </row>
    <row r="102" spans="1:16" x14ac:dyDescent="0.2">
      <c r="A102" s="27"/>
      <c r="B102" s="26">
        <v>4</v>
      </c>
      <c r="C102" s="26">
        <v>4</v>
      </c>
      <c r="D102" s="23">
        <v>1.1220000000000001</v>
      </c>
      <c r="E102" s="23"/>
      <c r="F102" s="23">
        <v>0</v>
      </c>
      <c r="G102" s="24">
        <f>100*F102/D102</f>
        <v>0</v>
      </c>
      <c r="H102" s="23"/>
      <c r="I102" s="23"/>
      <c r="J102" s="23">
        <v>0</v>
      </c>
      <c r="K102" s="24">
        <f>100*J102/D102</f>
        <v>0</v>
      </c>
      <c r="L102" s="23"/>
      <c r="M102" s="23"/>
      <c r="N102" s="23">
        <v>0</v>
      </c>
      <c r="O102" s="22">
        <f>100*N102/D102</f>
        <v>0</v>
      </c>
      <c r="P102" s="21"/>
    </row>
    <row r="103" spans="1:16" x14ac:dyDescent="0.2">
      <c r="A103" s="27"/>
      <c r="B103" s="26">
        <v>5</v>
      </c>
      <c r="C103" s="26">
        <v>5</v>
      </c>
      <c r="D103" s="23">
        <v>2.282</v>
      </c>
      <c r="E103" s="23"/>
      <c r="F103" s="23">
        <f>J103</f>
        <v>0.217</v>
      </c>
      <c r="G103" s="24">
        <f>100*F103/D103</f>
        <v>9.5092024539877293</v>
      </c>
      <c r="H103" s="23"/>
      <c r="I103" s="23"/>
      <c r="J103" s="23">
        <f>N103</f>
        <v>0.217</v>
      </c>
      <c r="K103" s="24">
        <f>100*J103/D103</f>
        <v>9.5092024539877293</v>
      </c>
      <c r="L103" s="23"/>
      <c r="M103" s="23"/>
      <c r="N103" s="23">
        <f>0.106+0.111</f>
        <v>0.217</v>
      </c>
      <c r="O103" s="22">
        <f>100*N103/D103</f>
        <v>9.5092024539877293</v>
      </c>
      <c r="P103" s="21"/>
    </row>
    <row r="104" spans="1:16" ht="17" thickBot="1" x14ac:dyDescent="0.25">
      <c r="A104" s="20"/>
      <c r="B104" s="19">
        <v>6</v>
      </c>
      <c r="C104" s="19">
        <v>6</v>
      </c>
      <c r="D104" s="16">
        <v>2.1160000000000001</v>
      </c>
      <c r="E104" s="16"/>
      <c r="F104" s="16">
        <v>0.17699999999999999</v>
      </c>
      <c r="G104" s="17">
        <f>100*F104/D104</f>
        <v>8.3648393194706987</v>
      </c>
      <c r="H104" s="16"/>
      <c r="I104" s="16"/>
      <c r="J104" s="16">
        <v>0</v>
      </c>
      <c r="K104" s="17">
        <f>100*J104/D104</f>
        <v>0</v>
      </c>
      <c r="L104" s="16"/>
      <c r="M104" s="16"/>
      <c r="N104" s="16">
        <v>0</v>
      </c>
      <c r="O104" s="15">
        <f>100*N104/D104</f>
        <v>0</v>
      </c>
      <c r="P104" s="14"/>
    </row>
    <row r="105" spans="1:16" x14ac:dyDescent="0.2">
      <c r="A105" s="34" t="s">
        <v>217</v>
      </c>
      <c r="B105" s="33">
        <v>7</v>
      </c>
      <c r="C105" s="32">
        <v>1</v>
      </c>
      <c r="D105" s="30">
        <v>2.89</v>
      </c>
      <c r="E105" s="30"/>
      <c r="F105" s="30">
        <v>0.11799999999999999</v>
      </c>
      <c r="G105" s="31">
        <f>100*F105/D105</f>
        <v>4.0830449826989614</v>
      </c>
      <c r="H105" s="30">
        <f>100*1/2</f>
        <v>50</v>
      </c>
      <c r="I105" s="30"/>
      <c r="J105" s="30">
        <v>0.11799999999999999</v>
      </c>
      <c r="K105" s="31">
        <f>100*J105/D105</f>
        <v>4.0830449826989614</v>
      </c>
      <c r="L105" s="30">
        <f>100*1/2</f>
        <v>50</v>
      </c>
      <c r="M105" s="30"/>
      <c r="N105" s="30">
        <v>0</v>
      </c>
      <c r="O105" s="29">
        <f>100*N105/D105</f>
        <v>0</v>
      </c>
      <c r="P105" s="28">
        <v>0</v>
      </c>
    </row>
    <row r="106" spans="1:16" ht="17" thickBot="1" x14ac:dyDescent="0.25">
      <c r="A106" s="20"/>
      <c r="B106" s="19">
        <v>8</v>
      </c>
      <c r="C106" s="18">
        <v>2</v>
      </c>
      <c r="D106" s="16">
        <v>1.8340000000000001</v>
      </c>
      <c r="E106" s="16"/>
      <c r="F106" s="16">
        <v>0</v>
      </c>
      <c r="G106" s="17">
        <f>100*F106/D106</f>
        <v>0</v>
      </c>
      <c r="H106" s="16"/>
      <c r="I106" s="16"/>
      <c r="J106" s="16">
        <v>0</v>
      </c>
      <c r="K106" s="17">
        <f>100*J106/D106</f>
        <v>0</v>
      </c>
      <c r="L106" s="16"/>
      <c r="M106" s="16"/>
      <c r="N106" s="16">
        <v>0</v>
      </c>
      <c r="O106" s="15">
        <f>100*N106/D106</f>
        <v>0</v>
      </c>
      <c r="P106" s="14"/>
    </row>
    <row r="107" spans="1:16" x14ac:dyDescent="0.2">
      <c r="A107" s="34" t="s">
        <v>216</v>
      </c>
      <c r="B107" s="33">
        <v>9</v>
      </c>
      <c r="C107" s="32">
        <v>1</v>
      </c>
      <c r="D107" s="30">
        <v>1.8340000000000001</v>
      </c>
      <c r="E107" s="30"/>
      <c r="F107" s="30">
        <v>9.2999999999999999E-2</v>
      </c>
      <c r="G107" s="31">
        <f>100*F107/D107</f>
        <v>5.0708833151581247</v>
      </c>
      <c r="H107" s="30">
        <f>100*4/8</f>
        <v>50</v>
      </c>
      <c r="I107" s="30"/>
      <c r="J107" s="30">
        <v>9.2999999999999999E-2</v>
      </c>
      <c r="K107" s="31">
        <f>100*J107/D107</f>
        <v>5.0708833151581247</v>
      </c>
      <c r="L107" s="30">
        <f>100*1/8</f>
        <v>12.5</v>
      </c>
      <c r="M107" s="30"/>
      <c r="N107" s="30">
        <v>0</v>
      </c>
      <c r="O107" s="29">
        <f>100*N107/D107</f>
        <v>0</v>
      </c>
      <c r="P107" s="28">
        <v>0</v>
      </c>
    </row>
    <row r="108" spans="1:16" x14ac:dyDescent="0.2">
      <c r="A108" s="27"/>
      <c r="B108" s="26">
        <v>10</v>
      </c>
      <c r="C108" s="25">
        <v>2</v>
      </c>
      <c r="D108" s="23">
        <v>1.278</v>
      </c>
      <c r="E108" s="23"/>
      <c r="F108" s="23">
        <v>0.23599999999999999</v>
      </c>
      <c r="G108" s="24">
        <f>100*F108/D108</f>
        <v>18.466353677621282</v>
      </c>
      <c r="H108" s="23"/>
      <c r="I108" s="23"/>
      <c r="J108" s="23">
        <v>0</v>
      </c>
      <c r="K108" s="24">
        <f>100*J108/D108</f>
        <v>0</v>
      </c>
      <c r="L108" s="23"/>
      <c r="M108" s="23"/>
      <c r="N108" s="23">
        <v>0</v>
      </c>
      <c r="O108" s="22">
        <f>100*N108/D108</f>
        <v>0</v>
      </c>
      <c r="P108" s="21"/>
    </row>
    <row r="109" spans="1:16" x14ac:dyDescent="0.2">
      <c r="A109" s="27"/>
      <c r="B109" s="26">
        <v>11</v>
      </c>
      <c r="C109" s="25">
        <v>3</v>
      </c>
      <c r="D109" s="23">
        <v>1.8839999999999999</v>
      </c>
      <c r="E109" s="23"/>
      <c r="F109" s="23">
        <v>0</v>
      </c>
      <c r="G109" s="24">
        <f>100*F109/D109</f>
        <v>0</v>
      </c>
      <c r="H109" s="23"/>
      <c r="I109" s="23"/>
      <c r="J109" s="23">
        <v>0</v>
      </c>
      <c r="K109" s="24">
        <f>100*J109/D109</f>
        <v>0</v>
      </c>
      <c r="L109" s="23"/>
      <c r="M109" s="23"/>
      <c r="N109" s="23">
        <v>0</v>
      </c>
      <c r="O109" s="22">
        <f>100*N109/D109</f>
        <v>0</v>
      </c>
      <c r="P109" s="21"/>
    </row>
    <row r="110" spans="1:16" x14ac:dyDescent="0.2">
      <c r="A110" s="27"/>
      <c r="B110" s="26">
        <v>12</v>
      </c>
      <c r="C110" s="25">
        <v>4</v>
      </c>
      <c r="D110" s="23">
        <v>1.71</v>
      </c>
      <c r="E110" s="23"/>
      <c r="F110" s="23">
        <v>0</v>
      </c>
      <c r="G110" s="24">
        <f>100*F110/D110</f>
        <v>0</v>
      </c>
      <c r="H110" s="23"/>
      <c r="I110" s="23"/>
      <c r="J110" s="23">
        <v>0</v>
      </c>
      <c r="K110" s="24">
        <f>100*J110/D110</f>
        <v>0</v>
      </c>
      <c r="L110" s="23"/>
      <c r="M110" s="23"/>
      <c r="N110" s="23">
        <v>0</v>
      </c>
      <c r="O110" s="22">
        <f>100*N110/D110</f>
        <v>0</v>
      </c>
      <c r="P110" s="21"/>
    </row>
    <row r="111" spans="1:16" x14ac:dyDescent="0.2">
      <c r="A111" s="27"/>
      <c r="B111" s="26">
        <v>13</v>
      </c>
      <c r="C111" s="25">
        <v>5</v>
      </c>
      <c r="D111" s="23">
        <v>1.306</v>
      </c>
      <c r="E111" s="23"/>
      <c r="F111" s="23">
        <v>0.20599999999999999</v>
      </c>
      <c r="G111" s="24">
        <f>100*F111/D111</f>
        <v>15.773353751914239</v>
      </c>
      <c r="H111" s="23"/>
      <c r="I111" s="23"/>
      <c r="J111" s="23">
        <v>0</v>
      </c>
      <c r="K111" s="24">
        <f>100*J111/D111</f>
        <v>0</v>
      </c>
      <c r="L111" s="23"/>
      <c r="M111" s="23"/>
      <c r="N111" s="23">
        <v>0</v>
      </c>
      <c r="O111" s="22">
        <f>100*N111/D111</f>
        <v>0</v>
      </c>
      <c r="P111" s="21"/>
    </row>
    <row r="112" spans="1:16" x14ac:dyDescent="0.2">
      <c r="A112" s="27"/>
      <c r="B112" s="26">
        <v>14</v>
      </c>
      <c r="C112" s="25">
        <v>6</v>
      </c>
      <c r="D112" s="23">
        <v>1.1719999999999999</v>
      </c>
      <c r="E112" s="23"/>
      <c r="F112" s="23">
        <v>0</v>
      </c>
      <c r="G112" s="24">
        <f>100*F112/D112</f>
        <v>0</v>
      </c>
      <c r="H112" s="23"/>
      <c r="I112" s="23"/>
      <c r="J112" s="23">
        <v>0</v>
      </c>
      <c r="K112" s="24">
        <f>100*J112/D112</f>
        <v>0</v>
      </c>
      <c r="L112" s="23"/>
      <c r="M112" s="23"/>
      <c r="N112" s="23">
        <v>0</v>
      </c>
      <c r="O112" s="22">
        <f>100*N112/D112</f>
        <v>0</v>
      </c>
      <c r="P112" s="21"/>
    </row>
    <row r="113" spans="1:16" x14ac:dyDescent="0.2">
      <c r="A113" s="27"/>
      <c r="B113" s="26">
        <v>15</v>
      </c>
      <c r="C113" s="25">
        <v>7</v>
      </c>
      <c r="D113" s="23">
        <v>1.9570000000000001</v>
      </c>
      <c r="E113" s="23"/>
      <c r="F113" s="23">
        <v>0</v>
      </c>
      <c r="G113" s="24">
        <f>100*F113/D113</f>
        <v>0</v>
      </c>
      <c r="H113" s="23"/>
      <c r="I113" s="23"/>
      <c r="J113" s="23">
        <v>0</v>
      </c>
      <c r="K113" s="24">
        <f>100*J113/D113</f>
        <v>0</v>
      </c>
      <c r="L113" s="23"/>
      <c r="M113" s="23"/>
      <c r="N113" s="23">
        <v>0</v>
      </c>
      <c r="O113" s="22">
        <f>100*N113/D113</f>
        <v>0</v>
      </c>
      <c r="P113" s="21"/>
    </row>
    <row r="114" spans="1:16" ht="17" thickBot="1" x14ac:dyDescent="0.25">
      <c r="A114" s="20"/>
      <c r="B114" s="19">
        <v>16</v>
      </c>
      <c r="C114" s="18">
        <v>8</v>
      </c>
      <c r="D114" s="16">
        <v>2.2050000000000001</v>
      </c>
      <c r="E114" s="16"/>
      <c r="F114" s="16">
        <f>0.263+0.388</f>
        <v>0.65100000000000002</v>
      </c>
      <c r="G114" s="17">
        <f>100*F114/D114</f>
        <v>29.523809523809526</v>
      </c>
      <c r="H114" s="16"/>
      <c r="I114" s="16"/>
      <c r="J114" s="16">
        <v>0</v>
      </c>
      <c r="K114" s="17">
        <f>100*J114/D114</f>
        <v>0</v>
      </c>
      <c r="L114" s="16"/>
      <c r="M114" s="16"/>
      <c r="N114" s="16">
        <v>0</v>
      </c>
      <c r="O114" s="15">
        <f>100*N114/D114</f>
        <v>0</v>
      </c>
      <c r="P114" s="14"/>
    </row>
    <row r="115" spans="1:16" x14ac:dyDescent="0.2">
      <c r="A115" s="34" t="s">
        <v>215</v>
      </c>
      <c r="B115" s="33">
        <v>17</v>
      </c>
      <c r="C115" s="32">
        <v>1</v>
      </c>
      <c r="D115" s="30">
        <v>2.016</v>
      </c>
      <c r="E115" s="30"/>
      <c r="F115" s="30">
        <v>0.16200000000000001</v>
      </c>
      <c r="G115" s="31">
        <f>100*F115/D115</f>
        <v>8.0357142857142847</v>
      </c>
      <c r="H115" s="30">
        <f>100*7/13</f>
        <v>53.846153846153847</v>
      </c>
      <c r="I115" s="30"/>
      <c r="J115" s="30">
        <v>0</v>
      </c>
      <c r="K115" s="31">
        <f>100*J115/D115</f>
        <v>0</v>
      </c>
      <c r="L115" s="30">
        <f>100*6/13</f>
        <v>46.153846153846153</v>
      </c>
      <c r="M115" s="30"/>
      <c r="N115" s="30">
        <v>0</v>
      </c>
      <c r="O115" s="29">
        <f>100*N115/D115</f>
        <v>0</v>
      </c>
      <c r="P115" s="28">
        <f>100*5/13</f>
        <v>38.46153846153846</v>
      </c>
    </row>
    <row r="116" spans="1:16" x14ac:dyDescent="0.2">
      <c r="A116" s="27"/>
      <c r="B116" s="26">
        <v>18</v>
      </c>
      <c r="C116" s="25">
        <v>2</v>
      </c>
      <c r="D116" s="23">
        <v>1.4039999999999999</v>
      </c>
      <c r="E116" s="23"/>
      <c r="F116" s="23">
        <v>0</v>
      </c>
      <c r="G116" s="24">
        <f>100*F116/D116</f>
        <v>0</v>
      </c>
      <c r="H116" s="23"/>
      <c r="I116" s="23"/>
      <c r="J116" s="23">
        <v>0</v>
      </c>
      <c r="K116" s="24">
        <f>100*J116/D116</f>
        <v>0</v>
      </c>
      <c r="L116" s="23"/>
      <c r="M116" s="23"/>
      <c r="N116" s="23">
        <v>0</v>
      </c>
      <c r="O116" s="22">
        <f>100*N116/D116</f>
        <v>0</v>
      </c>
      <c r="P116" s="21"/>
    </row>
    <row r="117" spans="1:16" x14ac:dyDescent="0.2">
      <c r="A117" s="27"/>
      <c r="B117" s="26">
        <v>19</v>
      </c>
      <c r="C117" s="25">
        <v>3</v>
      </c>
      <c r="D117" s="23">
        <v>1.629</v>
      </c>
      <c r="E117" s="23"/>
      <c r="F117" s="23">
        <v>0</v>
      </c>
      <c r="G117" s="24">
        <f>100*F117/D117</f>
        <v>0</v>
      </c>
      <c r="H117" s="23"/>
      <c r="I117" s="23"/>
      <c r="J117" s="23">
        <v>0</v>
      </c>
      <c r="K117" s="24">
        <f>100*J117/D117</f>
        <v>0</v>
      </c>
      <c r="L117" s="23"/>
      <c r="M117" s="23"/>
      <c r="N117" s="23">
        <v>0</v>
      </c>
      <c r="O117" s="22">
        <f>100*N117/D117</f>
        <v>0</v>
      </c>
      <c r="P117" s="21"/>
    </row>
    <row r="118" spans="1:16" x14ac:dyDescent="0.2">
      <c r="A118" s="27"/>
      <c r="B118" s="26">
        <v>20</v>
      </c>
      <c r="C118" s="25">
        <v>4</v>
      </c>
      <c r="D118" s="23">
        <v>2.7629999999999999</v>
      </c>
      <c r="E118" s="23"/>
      <c r="F118" s="23">
        <v>0</v>
      </c>
      <c r="G118" s="24">
        <f>100*F118/D118</f>
        <v>0</v>
      </c>
      <c r="H118" s="23"/>
      <c r="I118" s="23"/>
      <c r="J118" s="23">
        <v>0</v>
      </c>
      <c r="K118" s="24">
        <f>100*J118/D118</f>
        <v>0</v>
      </c>
      <c r="L118" s="23"/>
      <c r="M118" s="23"/>
      <c r="N118" s="23">
        <v>0</v>
      </c>
      <c r="O118" s="22">
        <f>100*N118/D118</f>
        <v>0</v>
      </c>
      <c r="P118" s="21"/>
    </row>
    <row r="119" spans="1:16" x14ac:dyDescent="0.2">
      <c r="A119" s="27"/>
      <c r="B119" s="26">
        <v>21</v>
      </c>
      <c r="C119" s="25">
        <v>5</v>
      </c>
      <c r="D119" s="23">
        <v>2.5219999999999998</v>
      </c>
      <c r="E119" s="23"/>
      <c r="F119" s="23">
        <v>0</v>
      </c>
      <c r="G119" s="24">
        <f>100*F119/D119</f>
        <v>0</v>
      </c>
      <c r="H119" s="23"/>
      <c r="I119" s="23"/>
      <c r="J119" s="23">
        <v>0</v>
      </c>
      <c r="K119" s="24">
        <f>100*J119/D119</f>
        <v>0</v>
      </c>
      <c r="L119" s="23"/>
      <c r="M119" s="23"/>
      <c r="N119" s="23">
        <v>0</v>
      </c>
      <c r="O119" s="22">
        <f>100*N119/D119</f>
        <v>0</v>
      </c>
      <c r="P119" s="21"/>
    </row>
    <row r="120" spans="1:16" x14ac:dyDescent="0.2">
      <c r="A120" s="27"/>
      <c r="B120" s="26">
        <v>22</v>
      </c>
      <c r="C120" s="25">
        <v>6</v>
      </c>
      <c r="D120" s="23">
        <v>1.1830000000000001</v>
      </c>
      <c r="E120" s="23"/>
      <c r="F120" s="23">
        <v>5.5E-2</v>
      </c>
      <c r="G120" s="24">
        <f>100*F120/D120</f>
        <v>4.6491969568892646</v>
      </c>
      <c r="H120" s="23"/>
      <c r="I120" s="23"/>
      <c r="J120" s="23">
        <v>5.5E-2</v>
      </c>
      <c r="K120" s="24">
        <f>100*J120/D120</f>
        <v>4.6491969568892646</v>
      </c>
      <c r="L120" s="23"/>
      <c r="M120" s="23"/>
      <c r="N120" s="23">
        <v>5.5E-2</v>
      </c>
      <c r="O120" s="22">
        <f>100*N120/D120</f>
        <v>4.6491969568892646</v>
      </c>
      <c r="P120" s="21"/>
    </row>
    <row r="121" spans="1:16" x14ac:dyDescent="0.2">
      <c r="A121" s="27"/>
      <c r="B121" s="26">
        <v>23</v>
      </c>
      <c r="C121" s="25">
        <v>7</v>
      </c>
      <c r="D121" s="23">
        <v>2.5299999999999998</v>
      </c>
      <c r="E121" s="23"/>
      <c r="F121" s="23">
        <v>0.115</v>
      </c>
      <c r="G121" s="24">
        <f>100*F121/D121</f>
        <v>4.5454545454545459</v>
      </c>
      <c r="H121" s="23"/>
      <c r="I121" s="23"/>
      <c r="J121" s="23">
        <v>0.115</v>
      </c>
      <c r="K121" s="24">
        <f>100*J121/D121</f>
        <v>4.5454545454545459</v>
      </c>
      <c r="L121" s="23"/>
      <c r="M121" s="23"/>
      <c r="N121" s="23">
        <v>0.115</v>
      </c>
      <c r="O121" s="22">
        <f>100*N121/D121</f>
        <v>4.5454545454545459</v>
      </c>
      <c r="P121" s="21"/>
    </row>
    <row r="122" spans="1:16" x14ac:dyDescent="0.2">
      <c r="A122" s="27"/>
      <c r="B122" s="26">
        <v>24</v>
      </c>
      <c r="C122" s="25">
        <v>8</v>
      </c>
      <c r="D122" s="23">
        <v>3.903</v>
      </c>
      <c r="E122" s="23"/>
      <c r="F122" s="23">
        <v>0.26200000000000001</v>
      </c>
      <c r="G122" s="24">
        <f>100*F122/D122</f>
        <v>6.7127850371509101</v>
      </c>
      <c r="H122" s="23"/>
      <c r="I122" s="23"/>
      <c r="J122" s="23">
        <v>0.26200000000000001</v>
      </c>
      <c r="K122" s="24">
        <f>100*J122/D122</f>
        <v>6.7127850371509101</v>
      </c>
      <c r="L122" s="23"/>
      <c r="M122" s="23"/>
      <c r="N122" s="23">
        <v>0.26200000000000001</v>
      </c>
      <c r="O122" s="22">
        <f>100*N122/D122</f>
        <v>6.7127850371509101</v>
      </c>
      <c r="P122" s="21"/>
    </row>
    <row r="123" spans="1:16" x14ac:dyDescent="0.2">
      <c r="A123" s="27"/>
      <c r="B123" s="26">
        <v>25</v>
      </c>
      <c r="C123" s="25">
        <v>9</v>
      </c>
      <c r="D123" s="23">
        <v>2.29</v>
      </c>
      <c r="E123" s="23"/>
      <c r="F123" s="23">
        <f>J123+0.225</f>
        <v>0.39100000000000001</v>
      </c>
      <c r="G123" s="24">
        <f>100*F123/D123</f>
        <v>17.074235807860262</v>
      </c>
      <c r="H123" s="23"/>
      <c r="I123" s="23"/>
      <c r="J123" s="23">
        <v>0.16600000000000001</v>
      </c>
      <c r="K123" s="24">
        <f>100*J123/D123</f>
        <v>7.2489082969432319</v>
      </c>
      <c r="L123" s="23"/>
      <c r="M123" s="23"/>
      <c r="N123" s="23">
        <v>0</v>
      </c>
      <c r="O123" s="22">
        <f>100*N123/D123</f>
        <v>0</v>
      </c>
      <c r="P123" s="21"/>
    </row>
    <row r="124" spans="1:16" x14ac:dyDescent="0.2">
      <c r="A124" s="27"/>
      <c r="B124" s="26">
        <v>26</v>
      </c>
      <c r="C124" s="25">
        <v>10</v>
      </c>
      <c r="D124" s="23">
        <v>2.0590000000000002</v>
      </c>
      <c r="E124" s="23"/>
      <c r="F124" s="23">
        <v>6.0999999999999999E-2</v>
      </c>
      <c r="G124" s="24">
        <f>100*F124/D124</f>
        <v>2.9626032054395335</v>
      </c>
      <c r="H124" s="23"/>
      <c r="I124" s="23"/>
      <c r="J124" s="23">
        <v>6.0999999999999999E-2</v>
      </c>
      <c r="K124" s="24">
        <f>100*J124/D124</f>
        <v>2.9626032054395335</v>
      </c>
      <c r="L124" s="23"/>
      <c r="M124" s="23"/>
      <c r="N124" s="23">
        <v>6.0999999999999999E-2</v>
      </c>
      <c r="O124" s="22">
        <f>100*N124/D124</f>
        <v>2.9626032054395335</v>
      </c>
      <c r="P124" s="21"/>
    </row>
    <row r="125" spans="1:16" x14ac:dyDescent="0.2">
      <c r="A125" s="27"/>
      <c r="B125" s="26">
        <v>27</v>
      </c>
      <c r="C125" s="25">
        <v>11</v>
      </c>
      <c r="D125" s="23">
        <v>2.0350000000000001</v>
      </c>
      <c r="E125" s="23"/>
      <c r="F125" s="23">
        <v>0</v>
      </c>
      <c r="G125" s="24">
        <f>100*F125/D125</f>
        <v>0</v>
      </c>
      <c r="H125" s="23"/>
      <c r="I125" s="23"/>
      <c r="J125" s="23">
        <v>0</v>
      </c>
      <c r="K125" s="24">
        <f>100*J125/D125</f>
        <v>0</v>
      </c>
      <c r="L125" s="23"/>
      <c r="M125" s="23"/>
      <c r="N125" s="23">
        <v>0</v>
      </c>
      <c r="O125" s="22">
        <f>100*N125/D125</f>
        <v>0</v>
      </c>
      <c r="P125" s="21"/>
    </row>
    <row r="126" spans="1:16" x14ac:dyDescent="0.2">
      <c r="A126" s="27"/>
      <c r="B126" s="26">
        <v>28</v>
      </c>
      <c r="C126" s="25">
        <v>12</v>
      </c>
      <c r="D126" s="23">
        <v>1.3879999999999999</v>
      </c>
      <c r="E126" s="23"/>
      <c r="F126" s="23">
        <v>0</v>
      </c>
      <c r="G126" s="24">
        <f>100*F126/D126</f>
        <v>0</v>
      </c>
      <c r="H126" s="23"/>
      <c r="I126" s="23"/>
      <c r="J126" s="23">
        <v>0</v>
      </c>
      <c r="K126" s="24">
        <f>100*J126/D126</f>
        <v>0</v>
      </c>
      <c r="L126" s="23"/>
      <c r="M126" s="23"/>
      <c r="N126" s="23">
        <v>0</v>
      </c>
      <c r="O126" s="22">
        <f>100*N126/D126</f>
        <v>0</v>
      </c>
      <c r="P126" s="21"/>
    </row>
    <row r="127" spans="1:16" ht="17" thickBot="1" x14ac:dyDescent="0.25">
      <c r="A127" s="20"/>
      <c r="B127" s="19">
        <v>29</v>
      </c>
      <c r="C127" s="18">
        <v>13</v>
      </c>
      <c r="D127" s="16">
        <v>1.7110000000000001</v>
      </c>
      <c r="E127" s="16"/>
      <c r="F127" s="16">
        <f>J127</f>
        <v>0.128</v>
      </c>
      <c r="G127" s="17">
        <f>100*F127/D127</f>
        <v>7.4810052600818233</v>
      </c>
      <c r="H127" s="16"/>
      <c r="I127" s="16"/>
      <c r="J127" s="16">
        <f>N127+0.063</f>
        <v>0.128</v>
      </c>
      <c r="K127" s="17">
        <f>100*J127/D127</f>
        <v>7.4810052600818233</v>
      </c>
      <c r="L127" s="16"/>
      <c r="M127" s="16"/>
      <c r="N127" s="16">
        <v>6.5000000000000002E-2</v>
      </c>
      <c r="O127" s="15">
        <f>100*N127/D127</f>
        <v>3.7989479836353008</v>
      </c>
      <c r="P127" s="14"/>
    </row>
    <row r="128" spans="1:16" x14ac:dyDescent="0.2">
      <c r="A128" s="34" t="s">
        <v>214</v>
      </c>
      <c r="B128" s="33">
        <v>30</v>
      </c>
      <c r="C128" s="32">
        <v>1</v>
      </c>
      <c r="D128" s="30">
        <v>3.359</v>
      </c>
      <c r="E128" s="30"/>
      <c r="F128" s="30">
        <v>0.13</v>
      </c>
      <c r="G128" s="31">
        <f>100*F128/D128</f>
        <v>3.8701994641262281</v>
      </c>
      <c r="H128" s="30">
        <f>100*4/6</f>
        <v>66.666666666666671</v>
      </c>
      <c r="I128" s="30"/>
      <c r="J128" s="30">
        <v>0.13</v>
      </c>
      <c r="K128" s="31">
        <f>100*J128/D128</f>
        <v>3.8701994641262281</v>
      </c>
      <c r="L128" s="30">
        <f>100*2/6</f>
        <v>33.333333333333336</v>
      </c>
      <c r="M128" s="30"/>
      <c r="N128" s="30">
        <v>0</v>
      </c>
      <c r="O128" s="29">
        <f>100*N128/D128</f>
        <v>0</v>
      </c>
      <c r="P128" s="28">
        <v>0</v>
      </c>
    </row>
    <row r="129" spans="1:16" x14ac:dyDescent="0.2">
      <c r="A129" s="27"/>
      <c r="B129" s="26">
        <v>31</v>
      </c>
      <c r="C129" s="25">
        <v>2</v>
      </c>
      <c r="D129" s="23">
        <v>3.9649999999999999</v>
      </c>
      <c r="E129" s="23"/>
      <c r="F129" s="23">
        <v>0</v>
      </c>
      <c r="G129" s="24">
        <f>100*F129/D129</f>
        <v>0</v>
      </c>
      <c r="H129" s="23"/>
      <c r="I129" s="23"/>
      <c r="J129" s="23">
        <v>0</v>
      </c>
      <c r="K129" s="24">
        <f>100*J129/D129</f>
        <v>0</v>
      </c>
      <c r="L129" s="23"/>
      <c r="M129" s="23"/>
      <c r="N129" s="23">
        <v>0</v>
      </c>
      <c r="O129" s="22">
        <f>100*N129/D129</f>
        <v>0</v>
      </c>
      <c r="P129" s="21"/>
    </row>
    <row r="130" spans="1:16" x14ac:dyDescent="0.2">
      <c r="A130" s="27"/>
      <c r="B130" s="26">
        <v>32</v>
      </c>
      <c r="C130" s="25">
        <v>3</v>
      </c>
      <c r="D130" s="23">
        <v>1.861</v>
      </c>
      <c r="E130" s="23"/>
      <c r="F130" s="23">
        <f>J130</f>
        <v>0.33999999999999997</v>
      </c>
      <c r="G130" s="24">
        <f>100*F130/D130</f>
        <v>18.269747447608811</v>
      </c>
      <c r="H130" s="23"/>
      <c r="I130" s="23"/>
      <c r="J130" s="23">
        <f>0.131+0.209</f>
        <v>0.33999999999999997</v>
      </c>
      <c r="K130" s="24">
        <f>100*J130/D130</f>
        <v>18.269747447608811</v>
      </c>
      <c r="L130" s="23"/>
      <c r="M130" s="23"/>
      <c r="N130" s="23">
        <v>0</v>
      </c>
      <c r="O130" s="22">
        <f>100*N130/D130</f>
        <v>0</v>
      </c>
      <c r="P130" s="21"/>
    </row>
    <row r="131" spans="1:16" x14ac:dyDescent="0.2">
      <c r="A131" s="27"/>
      <c r="B131" s="26">
        <v>33</v>
      </c>
      <c r="C131" s="25">
        <v>4</v>
      </c>
      <c r="D131" s="23">
        <v>3.6080000000000001</v>
      </c>
      <c r="E131" s="23"/>
      <c r="F131" s="23">
        <v>0.28199999999999997</v>
      </c>
      <c r="G131" s="24">
        <f>100*F131/D131</f>
        <v>7.8159645232815951</v>
      </c>
      <c r="H131" s="23"/>
      <c r="I131" s="23"/>
      <c r="J131" s="23">
        <v>0</v>
      </c>
      <c r="K131" s="24">
        <f>100*J131/D131</f>
        <v>0</v>
      </c>
      <c r="L131" s="23"/>
      <c r="M131" s="23"/>
      <c r="N131" s="23">
        <v>0</v>
      </c>
      <c r="O131" s="22">
        <f>100*N131/D131</f>
        <v>0</v>
      </c>
      <c r="P131" s="21"/>
    </row>
    <row r="132" spans="1:16" x14ac:dyDescent="0.2">
      <c r="A132" s="27"/>
      <c r="B132" s="26">
        <v>34</v>
      </c>
      <c r="C132" s="25">
        <v>5</v>
      </c>
      <c r="D132" s="23">
        <v>2.512</v>
      </c>
      <c r="E132" s="23"/>
      <c r="F132" s="23">
        <v>0</v>
      </c>
      <c r="G132" s="24">
        <f>100*F132/D132</f>
        <v>0</v>
      </c>
      <c r="H132" s="23"/>
      <c r="I132" s="23"/>
      <c r="J132" s="23">
        <v>0</v>
      </c>
      <c r="K132" s="24">
        <f>100*J132/D132</f>
        <v>0</v>
      </c>
      <c r="L132" s="23"/>
      <c r="M132" s="23"/>
      <c r="N132" s="23">
        <v>0</v>
      </c>
      <c r="O132" s="22">
        <f>100*N132/D132</f>
        <v>0</v>
      </c>
      <c r="P132" s="21"/>
    </row>
    <row r="133" spans="1:16" ht="17" thickBot="1" x14ac:dyDescent="0.25">
      <c r="A133" s="20"/>
      <c r="B133" s="19">
        <v>35</v>
      </c>
      <c r="C133" s="18">
        <v>6</v>
      </c>
      <c r="D133" s="16">
        <v>2.1720000000000002</v>
      </c>
      <c r="E133" s="16"/>
      <c r="F133" s="16">
        <v>0.23200000000000001</v>
      </c>
      <c r="G133" s="17">
        <f>100*F133/D133</f>
        <v>10.681399631675875</v>
      </c>
      <c r="H133" s="16"/>
      <c r="I133" s="16"/>
      <c r="J133" s="16">
        <v>0</v>
      </c>
      <c r="K133" s="17">
        <f>100*J133/D133</f>
        <v>0</v>
      </c>
      <c r="L133" s="16"/>
      <c r="M133" s="16"/>
      <c r="N133" s="16">
        <v>0</v>
      </c>
      <c r="O133" s="15">
        <f>100*N133/D133</f>
        <v>0</v>
      </c>
      <c r="P133" s="14"/>
    </row>
    <row r="134" spans="1:16" x14ac:dyDescent="0.2">
      <c r="A134" s="34" t="s">
        <v>213</v>
      </c>
      <c r="B134" s="33">
        <v>36</v>
      </c>
      <c r="C134" s="32">
        <v>1</v>
      </c>
      <c r="D134" s="30">
        <v>3.4449999999999998</v>
      </c>
      <c r="E134" s="30"/>
      <c r="F134" s="30">
        <v>0.14499999999999999</v>
      </c>
      <c r="G134" s="31">
        <f>100*F134/D134</f>
        <v>4.2089985486211896</v>
      </c>
      <c r="H134" s="30">
        <f>100*5/8</f>
        <v>62.5</v>
      </c>
      <c r="I134" s="30"/>
      <c r="J134" s="30">
        <v>0.14499999999999999</v>
      </c>
      <c r="K134" s="31">
        <f>100*J134/D134</f>
        <v>4.2089985486211896</v>
      </c>
      <c r="L134" s="30">
        <f>100*2/8</f>
        <v>25</v>
      </c>
      <c r="M134" s="30"/>
      <c r="N134" s="30">
        <v>0</v>
      </c>
      <c r="O134" s="29">
        <f>100*N134/D134</f>
        <v>0</v>
      </c>
      <c r="P134" s="28">
        <f>100*1/8</f>
        <v>12.5</v>
      </c>
    </row>
    <row r="135" spans="1:16" x14ac:dyDescent="0.2">
      <c r="A135" s="27"/>
      <c r="B135" s="26">
        <v>37</v>
      </c>
      <c r="C135" s="25">
        <v>2</v>
      </c>
      <c r="D135" s="23">
        <v>3.1040000000000001</v>
      </c>
      <c r="E135" s="23"/>
      <c r="F135" s="23">
        <v>0.13400000000000001</v>
      </c>
      <c r="G135" s="24">
        <f>100*F135/D135</f>
        <v>4.3170103092783503</v>
      </c>
      <c r="H135" s="23"/>
      <c r="I135" s="23"/>
      <c r="J135" s="23">
        <v>0</v>
      </c>
      <c r="K135" s="24">
        <f>100*J135/D135</f>
        <v>0</v>
      </c>
      <c r="L135" s="23"/>
      <c r="M135" s="23"/>
      <c r="N135" s="23">
        <v>0</v>
      </c>
      <c r="O135" s="22">
        <f>100*N135/D135</f>
        <v>0</v>
      </c>
      <c r="P135" s="21"/>
    </row>
    <row r="136" spans="1:16" x14ac:dyDescent="0.2">
      <c r="A136" s="27"/>
      <c r="B136" s="26">
        <v>38</v>
      </c>
      <c r="C136" s="25">
        <v>3</v>
      </c>
      <c r="D136" s="23">
        <v>1.6279999999999999</v>
      </c>
      <c r="E136" s="23"/>
      <c r="F136" s="23">
        <f>J136+0.085</f>
        <v>0.41200000000000003</v>
      </c>
      <c r="G136" s="24">
        <f>100*F136/D136</f>
        <v>25.307125307125311</v>
      </c>
      <c r="H136" s="23"/>
      <c r="I136" s="23"/>
      <c r="J136" s="23">
        <f>N136</f>
        <v>0.32700000000000001</v>
      </c>
      <c r="K136" s="24">
        <f>100*J136/D136</f>
        <v>20.085995085995091</v>
      </c>
      <c r="L136" s="23"/>
      <c r="M136" s="23"/>
      <c r="N136" s="23">
        <v>0.32700000000000001</v>
      </c>
      <c r="O136" s="22">
        <f>100*N136/D136</f>
        <v>20.085995085995091</v>
      </c>
      <c r="P136" s="21"/>
    </row>
    <row r="137" spans="1:16" x14ac:dyDescent="0.2">
      <c r="A137" s="27"/>
      <c r="B137" s="26">
        <v>39</v>
      </c>
      <c r="C137" s="25">
        <v>4</v>
      </c>
      <c r="D137" s="23">
        <v>2.0430000000000001</v>
      </c>
      <c r="E137" s="23"/>
      <c r="F137" s="23">
        <v>0.14799999999999999</v>
      </c>
      <c r="G137" s="24">
        <f>100*F137/D137</f>
        <v>7.2442486539402831</v>
      </c>
      <c r="H137" s="23"/>
      <c r="I137" s="23"/>
      <c r="J137" s="23">
        <v>0</v>
      </c>
      <c r="K137" s="24">
        <f>100*J137/D137</f>
        <v>0</v>
      </c>
      <c r="L137" s="23"/>
      <c r="M137" s="23"/>
      <c r="N137" s="23">
        <v>0</v>
      </c>
      <c r="O137" s="22">
        <f>100*N137/D137</f>
        <v>0</v>
      </c>
      <c r="P137" s="21"/>
    </row>
    <row r="138" spans="1:16" x14ac:dyDescent="0.2">
      <c r="A138" s="27"/>
      <c r="B138" s="26">
        <v>40</v>
      </c>
      <c r="C138" s="25">
        <v>5</v>
      </c>
      <c r="D138" s="23">
        <v>4.0469999999999997</v>
      </c>
      <c r="E138" s="23"/>
      <c r="F138" s="23">
        <v>0.17499999999999999</v>
      </c>
      <c r="G138" s="24">
        <f>100*F138/D138</f>
        <v>4.3241907585866075</v>
      </c>
      <c r="H138" s="23"/>
      <c r="I138" s="23"/>
      <c r="J138" s="23">
        <v>0</v>
      </c>
      <c r="K138" s="24">
        <f>100*J138/D138</f>
        <v>0</v>
      </c>
      <c r="L138" s="23"/>
      <c r="M138" s="23"/>
      <c r="N138" s="23">
        <v>0</v>
      </c>
      <c r="O138" s="22">
        <f>100*N138/D138</f>
        <v>0</v>
      </c>
      <c r="P138" s="21"/>
    </row>
    <row r="139" spans="1:16" x14ac:dyDescent="0.2">
      <c r="A139" s="27"/>
      <c r="B139" s="26">
        <v>41</v>
      </c>
      <c r="C139" s="25">
        <v>6</v>
      </c>
      <c r="D139" s="23">
        <v>1.698</v>
      </c>
      <c r="E139" s="23"/>
      <c r="F139" s="23">
        <v>0</v>
      </c>
      <c r="G139" s="24">
        <f>100*F139/D139</f>
        <v>0</v>
      </c>
      <c r="H139" s="23"/>
      <c r="I139" s="23"/>
      <c r="J139" s="23">
        <v>0</v>
      </c>
      <c r="K139" s="24">
        <f>100*J139/D139</f>
        <v>0</v>
      </c>
      <c r="L139" s="23"/>
      <c r="M139" s="23"/>
      <c r="N139" s="23">
        <v>0</v>
      </c>
      <c r="O139" s="22">
        <f>100*N139/D139</f>
        <v>0</v>
      </c>
      <c r="P139" s="21"/>
    </row>
    <row r="140" spans="1:16" x14ac:dyDescent="0.2">
      <c r="A140" s="27"/>
      <c r="B140" s="26">
        <v>42</v>
      </c>
      <c r="C140" s="25">
        <v>7</v>
      </c>
      <c r="D140" s="23">
        <v>3.4020000000000001</v>
      </c>
      <c r="E140" s="23"/>
      <c r="F140" s="23">
        <v>0</v>
      </c>
      <c r="G140" s="24">
        <f>100*F140/D140</f>
        <v>0</v>
      </c>
      <c r="H140" s="23"/>
      <c r="I140" s="23"/>
      <c r="J140" s="23">
        <v>0</v>
      </c>
      <c r="K140" s="24">
        <f>100*J140/D140</f>
        <v>0</v>
      </c>
      <c r="L140" s="23"/>
      <c r="M140" s="23"/>
      <c r="N140" s="23">
        <v>0</v>
      </c>
      <c r="O140" s="22">
        <f>100*N140/D140</f>
        <v>0</v>
      </c>
      <c r="P140" s="21"/>
    </row>
    <row r="141" spans="1:16" ht="17" thickBot="1" x14ac:dyDescent="0.25">
      <c r="A141" s="20"/>
      <c r="B141" s="19">
        <v>43</v>
      </c>
      <c r="C141" s="18">
        <v>8</v>
      </c>
      <c r="D141" s="16">
        <v>2.492</v>
      </c>
      <c r="E141" s="16"/>
      <c r="F141" s="16">
        <v>0</v>
      </c>
      <c r="G141" s="17">
        <f>100*F141/D141</f>
        <v>0</v>
      </c>
      <c r="H141" s="16"/>
      <c r="I141" s="16"/>
      <c r="J141" s="16">
        <v>0</v>
      </c>
      <c r="K141" s="17">
        <f>100*J141/D141</f>
        <v>0</v>
      </c>
      <c r="L141" s="16"/>
      <c r="M141" s="16"/>
      <c r="N141" s="16">
        <v>0</v>
      </c>
      <c r="O141" s="15">
        <f>100*N141/D141</f>
        <v>0</v>
      </c>
      <c r="P141" s="14"/>
    </row>
    <row r="142" spans="1:16" x14ac:dyDescent="0.2">
      <c r="A142" s="34" t="s">
        <v>212</v>
      </c>
      <c r="B142" s="33">
        <v>44</v>
      </c>
      <c r="C142" s="32">
        <v>1</v>
      </c>
      <c r="D142" s="30">
        <v>3.754</v>
      </c>
      <c r="E142" s="30"/>
      <c r="F142" s="30">
        <v>0.22</v>
      </c>
      <c r="G142" s="31">
        <f>100*F142/D142</f>
        <v>5.8604155567394782</v>
      </c>
      <c r="H142" s="30">
        <f>100*7/13</f>
        <v>53.846153846153847</v>
      </c>
      <c r="I142" s="30"/>
      <c r="J142" s="30">
        <v>0.22</v>
      </c>
      <c r="K142" s="31">
        <f>100*J142/D142</f>
        <v>5.8604155567394782</v>
      </c>
      <c r="L142" s="30">
        <f>100*4/13</f>
        <v>30.76923076923077</v>
      </c>
      <c r="M142" s="30"/>
      <c r="N142" s="30">
        <v>0</v>
      </c>
      <c r="O142" s="29">
        <f>100*N142/D142</f>
        <v>0</v>
      </c>
      <c r="P142" s="28">
        <f>100*2/13</f>
        <v>15.384615384615385</v>
      </c>
    </row>
    <row r="143" spans="1:16" x14ac:dyDescent="0.2">
      <c r="A143" s="27"/>
      <c r="B143" s="26">
        <v>45</v>
      </c>
      <c r="C143" s="25">
        <v>2</v>
      </c>
      <c r="D143" s="23">
        <v>1.4650000000000001</v>
      </c>
      <c r="E143" s="23"/>
      <c r="F143" s="23">
        <v>0</v>
      </c>
      <c r="G143" s="24">
        <f>100*F143/D143</f>
        <v>0</v>
      </c>
      <c r="H143" s="23"/>
      <c r="I143" s="23"/>
      <c r="J143" s="23">
        <v>0</v>
      </c>
      <c r="K143" s="24">
        <f>100*J143/D143</f>
        <v>0</v>
      </c>
      <c r="L143" s="23"/>
      <c r="M143" s="23"/>
      <c r="N143" s="23">
        <v>0</v>
      </c>
      <c r="O143" s="22">
        <f>100*N143/D143</f>
        <v>0</v>
      </c>
      <c r="P143" s="21"/>
    </row>
    <row r="144" spans="1:16" x14ac:dyDescent="0.2">
      <c r="A144" s="27"/>
      <c r="B144" s="26">
        <v>46</v>
      </c>
      <c r="C144" s="25">
        <v>3</v>
      </c>
      <c r="D144" s="23">
        <v>1.901</v>
      </c>
      <c r="E144" s="23"/>
      <c r="F144" s="23">
        <v>0.21099999999999999</v>
      </c>
      <c r="G144" s="24">
        <f>100*F144/D144</f>
        <v>11.099421357180431</v>
      </c>
      <c r="H144" s="23"/>
      <c r="I144" s="23"/>
      <c r="J144" s="23">
        <v>0.21099999999999999</v>
      </c>
      <c r="K144" s="24">
        <f>100*J144/D144</f>
        <v>11.099421357180431</v>
      </c>
      <c r="L144" s="23"/>
      <c r="M144" s="23"/>
      <c r="N144" s="23">
        <v>0.21099999999999999</v>
      </c>
      <c r="O144" s="22">
        <f>100*N144/D144</f>
        <v>11.099421357180431</v>
      </c>
      <c r="P144" s="21"/>
    </row>
    <row r="145" spans="1:16" x14ac:dyDescent="0.2">
      <c r="A145" s="27"/>
      <c r="B145" s="26">
        <v>47</v>
      </c>
      <c r="C145" s="25">
        <v>4</v>
      </c>
      <c r="D145" s="23">
        <v>2.367</v>
      </c>
      <c r="E145" s="23"/>
      <c r="F145" s="23">
        <v>7.3999999999999996E-2</v>
      </c>
      <c r="G145" s="24">
        <f>100*F145/D145</f>
        <v>3.126320236586396</v>
      </c>
      <c r="H145" s="23"/>
      <c r="I145" s="23"/>
      <c r="J145" s="23">
        <v>7.3999999999999996E-2</v>
      </c>
      <c r="K145" s="24">
        <f>100*J145/D145</f>
        <v>3.126320236586396</v>
      </c>
      <c r="L145" s="23"/>
      <c r="M145" s="23"/>
      <c r="N145" s="23">
        <v>7.3999999999999996E-2</v>
      </c>
      <c r="O145" s="22">
        <f>100*N145/D145</f>
        <v>3.126320236586396</v>
      </c>
      <c r="P145" s="21"/>
    </row>
    <row r="146" spans="1:16" x14ac:dyDescent="0.2">
      <c r="A146" s="27"/>
      <c r="B146" s="26">
        <v>48</v>
      </c>
      <c r="C146" s="25">
        <v>5</v>
      </c>
      <c r="D146" s="23">
        <v>5.6719999999999997</v>
      </c>
      <c r="E146" s="23"/>
      <c r="F146" s="23">
        <v>0.40100000000000002</v>
      </c>
      <c r="G146" s="24">
        <f>100*F146/D146</f>
        <v>7.0698166431593803</v>
      </c>
      <c r="H146" s="23"/>
      <c r="I146" s="23"/>
      <c r="J146" s="23">
        <v>0</v>
      </c>
      <c r="K146" s="24">
        <f>100*J146/D146</f>
        <v>0</v>
      </c>
      <c r="L146" s="23"/>
      <c r="M146" s="23"/>
      <c r="N146" s="23">
        <v>0</v>
      </c>
      <c r="O146" s="22">
        <f>100*N146/D146</f>
        <v>0</v>
      </c>
      <c r="P146" s="21"/>
    </row>
    <row r="147" spans="1:16" x14ac:dyDescent="0.2">
      <c r="A147" s="27"/>
      <c r="B147" s="26">
        <v>49</v>
      </c>
      <c r="C147" s="25">
        <v>8</v>
      </c>
      <c r="D147" s="23">
        <v>3.9460000000000002</v>
      </c>
      <c r="E147" s="23"/>
      <c r="F147" s="23">
        <v>0.11799999999999999</v>
      </c>
      <c r="G147" s="24">
        <f>100*F147/D147</f>
        <v>2.9903699949315761</v>
      </c>
      <c r="H147" s="23"/>
      <c r="I147" s="23"/>
      <c r="J147" s="23">
        <v>0.11799999999999999</v>
      </c>
      <c r="K147" s="24">
        <f>100*J147/D147</f>
        <v>2.9903699949315761</v>
      </c>
      <c r="L147" s="23"/>
      <c r="M147" s="23"/>
      <c r="N147" s="23">
        <v>0</v>
      </c>
      <c r="O147" s="22">
        <f>100*N147/D147</f>
        <v>0</v>
      </c>
      <c r="P147" s="21"/>
    </row>
    <row r="148" spans="1:16" x14ac:dyDescent="0.2">
      <c r="A148" s="27"/>
      <c r="B148" s="26">
        <v>50</v>
      </c>
      <c r="C148" s="25">
        <v>9</v>
      </c>
      <c r="D148" s="23">
        <v>2.8730000000000002</v>
      </c>
      <c r="E148" s="23"/>
      <c r="F148" s="23">
        <v>0</v>
      </c>
      <c r="G148" s="24">
        <f>100*F148/D148</f>
        <v>0</v>
      </c>
      <c r="H148" s="23"/>
      <c r="I148" s="23"/>
      <c r="J148" s="23">
        <v>0</v>
      </c>
      <c r="K148" s="24">
        <f>100*J148/D148</f>
        <v>0</v>
      </c>
      <c r="L148" s="23"/>
      <c r="M148" s="23"/>
      <c r="N148" s="23">
        <v>0</v>
      </c>
      <c r="O148" s="22">
        <f>100*N148/D148</f>
        <v>0</v>
      </c>
      <c r="P148" s="21"/>
    </row>
    <row r="149" spans="1:16" x14ac:dyDescent="0.2">
      <c r="A149" s="27"/>
      <c r="B149" s="26">
        <v>51</v>
      </c>
      <c r="C149" s="25">
        <v>10</v>
      </c>
      <c r="D149" s="23">
        <v>3.4660000000000002</v>
      </c>
      <c r="E149" s="23"/>
      <c r="F149" s="23">
        <v>0</v>
      </c>
      <c r="G149" s="24">
        <f>100*F149/D149</f>
        <v>0</v>
      </c>
      <c r="H149" s="23"/>
      <c r="I149" s="23"/>
      <c r="J149" s="23">
        <v>0</v>
      </c>
      <c r="K149" s="24">
        <f>100*J149/D149</f>
        <v>0</v>
      </c>
      <c r="L149" s="23"/>
      <c r="M149" s="23"/>
      <c r="N149" s="23">
        <v>0</v>
      </c>
      <c r="O149" s="22">
        <f>100*N149/D149</f>
        <v>0</v>
      </c>
      <c r="P149" s="21"/>
    </row>
    <row r="150" spans="1:16" x14ac:dyDescent="0.2">
      <c r="A150" s="27"/>
      <c r="B150" s="26">
        <v>52</v>
      </c>
      <c r="C150" s="25">
        <v>11</v>
      </c>
      <c r="D150" s="23">
        <v>3.4359999999999999</v>
      </c>
      <c r="E150" s="23"/>
      <c r="F150" s="23">
        <v>0.122</v>
      </c>
      <c r="G150" s="24">
        <f>100*F150/D150</f>
        <v>3.5506402793946448</v>
      </c>
      <c r="H150" s="23"/>
      <c r="I150" s="23"/>
      <c r="J150" s="23">
        <v>0</v>
      </c>
      <c r="K150" s="24">
        <f>100*J150/D150</f>
        <v>0</v>
      </c>
      <c r="L150" s="23"/>
      <c r="M150" s="23"/>
      <c r="N150" s="23">
        <v>0</v>
      </c>
      <c r="O150" s="22">
        <f>100*N150/D150</f>
        <v>0</v>
      </c>
      <c r="P150" s="21"/>
    </row>
    <row r="151" spans="1:16" x14ac:dyDescent="0.2">
      <c r="A151" s="27"/>
      <c r="B151" s="26">
        <v>53</v>
      </c>
      <c r="C151" s="25">
        <v>12</v>
      </c>
      <c r="D151" s="23">
        <v>1.2909999999999999</v>
      </c>
      <c r="E151" s="23"/>
      <c r="F151" s="23">
        <v>0.122</v>
      </c>
      <c r="G151" s="24">
        <f>100*F151/D151</f>
        <v>9.4500387296669253</v>
      </c>
      <c r="H151" s="23"/>
      <c r="I151" s="23"/>
      <c r="J151" s="23">
        <v>0</v>
      </c>
      <c r="K151" s="24">
        <f>100*J151/D151</f>
        <v>0</v>
      </c>
      <c r="L151" s="23"/>
      <c r="M151" s="23"/>
      <c r="N151" s="23">
        <v>0</v>
      </c>
      <c r="O151" s="22">
        <f>100*N151/D151</f>
        <v>0</v>
      </c>
      <c r="P151" s="21"/>
    </row>
    <row r="152" spans="1:16" ht="17" thickBot="1" x14ac:dyDescent="0.25">
      <c r="A152" s="20"/>
      <c r="B152" s="19">
        <v>54</v>
      </c>
      <c r="C152" s="18">
        <v>13</v>
      </c>
      <c r="D152" s="16">
        <v>3.3490000000000002</v>
      </c>
      <c r="E152" s="16"/>
      <c r="F152" s="16">
        <v>0</v>
      </c>
      <c r="G152" s="17">
        <f>100*F152/D152</f>
        <v>0</v>
      </c>
      <c r="H152" s="16"/>
      <c r="I152" s="16"/>
      <c r="J152" s="16">
        <v>0</v>
      </c>
      <c r="K152" s="17">
        <f>100*J152/D152</f>
        <v>0</v>
      </c>
      <c r="L152" s="16"/>
      <c r="M152" s="16"/>
      <c r="N152" s="16">
        <v>0</v>
      </c>
      <c r="O152" s="15">
        <f>100*N152/D152</f>
        <v>0</v>
      </c>
      <c r="P152" s="14"/>
    </row>
    <row r="153" spans="1:16" x14ac:dyDescent="0.2">
      <c r="A153" s="34" t="s">
        <v>211</v>
      </c>
      <c r="B153" s="33">
        <v>55</v>
      </c>
      <c r="C153" s="32">
        <v>1</v>
      </c>
      <c r="D153" s="30">
        <v>1.7270000000000001</v>
      </c>
      <c r="E153" s="30"/>
      <c r="F153" s="30">
        <v>0</v>
      </c>
      <c r="G153" s="31">
        <f>100*F153/D153</f>
        <v>0</v>
      </c>
      <c r="H153" s="30">
        <f>100*6/10</f>
        <v>60</v>
      </c>
      <c r="I153" s="30"/>
      <c r="J153" s="30">
        <v>0</v>
      </c>
      <c r="K153" s="31">
        <f>100*J153/D153</f>
        <v>0</v>
      </c>
      <c r="L153" s="30">
        <f>100*3/10</f>
        <v>30</v>
      </c>
      <c r="M153" s="30"/>
      <c r="N153" s="30">
        <v>0</v>
      </c>
      <c r="O153" s="29">
        <f>100*N153/D153</f>
        <v>0</v>
      </c>
      <c r="P153" s="28">
        <f>100*3/10</f>
        <v>30</v>
      </c>
    </row>
    <row r="154" spans="1:16" x14ac:dyDescent="0.2">
      <c r="A154" s="27"/>
      <c r="B154" s="26">
        <v>56</v>
      </c>
      <c r="C154" s="25">
        <v>2</v>
      </c>
      <c r="D154" s="23">
        <v>3.07</v>
      </c>
      <c r="E154" s="23"/>
      <c r="F154" s="23">
        <v>0</v>
      </c>
      <c r="G154" s="24">
        <f>100*F154/D154</f>
        <v>0</v>
      </c>
      <c r="H154" s="23"/>
      <c r="I154" s="23"/>
      <c r="J154" s="23">
        <v>0</v>
      </c>
      <c r="K154" s="24">
        <f>100*J154/D154</f>
        <v>0</v>
      </c>
      <c r="L154" s="23"/>
      <c r="M154" s="23"/>
      <c r="N154" s="23">
        <v>0</v>
      </c>
      <c r="O154" s="22">
        <f>100*N154/D154</f>
        <v>0</v>
      </c>
      <c r="P154" s="21"/>
    </row>
    <row r="155" spans="1:16" x14ac:dyDescent="0.2">
      <c r="A155" s="27"/>
      <c r="B155" s="26">
        <v>57</v>
      </c>
      <c r="C155" s="25">
        <v>3</v>
      </c>
      <c r="D155" s="23">
        <v>1.4319999999999999</v>
      </c>
      <c r="E155" s="23"/>
      <c r="F155" s="23">
        <v>0</v>
      </c>
      <c r="G155" s="24">
        <f>100*F155/D155</f>
        <v>0</v>
      </c>
      <c r="H155" s="23"/>
      <c r="I155" s="23"/>
      <c r="J155" s="23">
        <v>0</v>
      </c>
      <c r="K155" s="24">
        <f>100*J155/D155</f>
        <v>0</v>
      </c>
      <c r="L155" s="23"/>
      <c r="M155" s="23"/>
      <c r="N155" s="23">
        <v>0</v>
      </c>
      <c r="O155" s="22">
        <f>100*N155/D155</f>
        <v>0</v>
      </c>
      <c r="P155" s="21"/>
    </row>
    <row r="156" spans="1:16" x14ac:dyDescent="0.2">
      <c r="A156" s="27"/>
      <c r="B156" s="26">
        <v>58</v>
      </c>
      <c r="C156" s="25">
        <v>4</v>
      </c>
      <c r="D156" s="23">
        <v>1.841</v>
      </c>
      <c r="E156" s="23"/>
      <c r="F156" s="23">
        <v>0.25800000000000001</v>
      </c>
      <c r="G156" s="24">
        <f>100*F156/D156</f>
        <v>14.014122759369908</v>
      </c>
      <c r="H156" s="23"/>
      <c r="I156" s="23"/>
      <c r="J156" s="23">
        <v>0.25800000000000001</v>
      </c>
      <c r="K156" s="24">
        <f>100*J156/D156</f>
        <v>14.014122759369908</v>
      </c>
      <c r="L156" s="23"/>
      <c r="M156" s="23"/>
      <c r="N156" s="23">
        <v>0.25800000000000001</v>
      </c>
      <c r="O156" s="22">
        <f>100*N156/D156</f>
        <v>14.014122759369908</v>
      </c>
      <c r="P156" s="21"/>
    </row>
    <row r="157" spans="1:16" x14ac:dyDescent="0.2">
      <c r="A157" s="27"/>
      <c r="B157" s="26">
        <v>59</v>
      </c>
      <c r="C157" s="25">
        <v>5</v>
      </c>
      <c r="D157" s="23">
        <v>2.5339999999999998</v>
      </c>
      <c r="E157" s="23"/>
      <c r="F157" s="23">
        <v>0.26900000000000002</v>
      </c>
      <c r="G157" s="24">
        <f>100*F157/D157</f>
        <v>10.615627466456198</v>
      </c>
      <c r="H157" s="23"/>
      <c r="I157" s="23"/>
      <c r="J157" s="23">
        <v>0.26900000000000002</v>
      </c>
      <c r="K157" s="24">
        <f>100*J157/D157</f>
        <v>10.615627466456198</v>
      </c>
      <c r="L157" s="23"/>
      <c r="M157" s="23"/>
      <c r="N157" s="23">
        <v>0.26900000000000002</v>
      </c>
      <c r="O157" s="22">
        <f>100*N157/D157</f>
        <v>10.615627466456198</v>
      </c>
      <c r="P157" s="21"/>
    </row>
    <row r="158" spans="1:16" x14ac:dyDescent="0.2">
      <c r="A158" s="27"/>
      <c r="B158" s="26">
        <v>60</v>
      </c>
      <c r="C158" s="25">
        <v>6</v>
      </c>
      <c r="D158" s="23">
        <v>3.1549999999999998</v>
      </c>
      <c r="E158" s="23"/>
      <c r="F158" s="23">
        <v>0.33700000000000002</v>
      </c>
      <c r="G158" s="24">
        <f>100*F158/D158</f>
        <v>10.681458003169574</v>
      </c>
      <c r="H158" s="23"/>
      <c r="I158" s="23"/>
      <c r="J158" s="23">
        <v>0.33700000000000002</v>
      </c>
      <c r="K158" s="24">
        <f>100*J158/D158</f>
        <v>10.681458003169574</v>
      </c>
      <c r="L158" s="23"/>
      <c r="M158" s="23"/>
      <c r="N158" s="23">
        <v>0.33700000000000002</v>
      </c>
      <c r="O158" s="22">
        <f>100*N158/D158</f>
        <v>10.681458003169574</v>
      </c>
      <c r="P158" s="21"/>
    </row>
    <row r="159" spans="1:16" x14ac:dyDescent="0.2">
      <c r="A159" s="27"/>
      <c r="B159" s="26">
        <v>61</v>
      </c>
      <c r="C159" s="25">
        <v>7</v>
      </c>
      <c r="D159" s="23">
        <v>1.7849999999999999</v>
      </c>
      <c r="E159" s="23"/>
      <c r="F159" s="23">
        <v>0</v>
      </c>
      <c r="G159" s="24">
        <f>100*F159/D159</f>
        <v>0</v>
      </c>
      <c r="H159" s="23"/>
      <c r="I159" s="23"/>
      <c r="J159" s="23">
        <v>0</v>
      </c>
      <c r="K159" s="24">
        <f>100*J159/D159</f>
        <v>0</v>
      </c>
      <c r="L159" s="23"/>
      <c r="M159" s="23"/>
      <c r="N159" s="23">
        <v>0</v>
      </c>
      <c r="O159" s="22">
        <f>100*N159/D159</f>
        <v>0</v>
      </c>
      <c r="P159" s="21"/>
    </row>
    <row r="160" spans="1:16" x14ac:dyDescent="0.2">
      <c r="A160" s="27"/>
      <c r="B160" s="26">
        <v>62</v>
      </c>
      <c r="C160" s="25">
        <v>8</v>
      </c>
      <c r="D160" s="23">
        <v>2.2559999999999998</v>
      </c>
      <c r="E160" s="23"/>
      <c r="F160" s="23">
        <v>0</v>
      </c>
      <c r="G160" s="24">
        <f>100*F160/D160</f>
        <v>0</v>
      </c>
      <c r="H160" s="23"/>
      <c r="I160" s="23"/>
      <c r="J160" s="23">
        <v>0</v>
      </c>
      <c r="K160" s="24">
        <f>100*J160/D160</f>
        <v>0</v>
      </c>
      <c r="L160" s="23"/>
      <c r="M160" s="23"/>
      <c r="N160" s="23">
        <v>0</v>
      </c>
      <c r="O160" s="22">
        <f>100*N160/D160</f>
        <v>0</v>
      </c>
      <c r="P160" s="21"/>
    </row>
    <row r="161" spans="1:16" x14ac:dyDescent="0.2">
      <c r="A161" s="27"/>
      <c r="B161" s="26">
        <v>63</v>
      </c>
      <c r="C161" s="25">
        <v>9</v>
      </c>
      <c r="D161" s="23">
        <v>1.5629999999999999</v>
      </c>
      <c r="E161" s="23"/>
      <c r="F161" s="23">
        <v>0.13400000000000001</v>
      </c>
      <c r="G161" s="24">
        <f>100*F161/D161</f>
        <v>8.5732565579014715</v>
      </c>
      <c r="H161" s="23"/>
      <c r="I161" s="23"/>
      <c r="J161" s="23">
        <v>0</v>
      </c>
      <c r="K161" s="24">
        <f>100*J161/D161</f>
        <v>0</v>
      </c>
      <c r="L161" s="23"/>
      <c r="M161" s="23"/>
      <c r="N161" s="23">
        <v>0</v>
      </c>
      <c r="O161" s="22">
        <f>100*N161/D161</f>
        <v>0</v>
      </c>
      <c r="P161" s="21"/>
    </row>
    <row r="162" spans="1:16" ht="17" thickBot="1" x14ac:dyDescent="0.25">
      <c r="A162" s="20"/>
      <c r="B162" s="19">
        <v>64</v>
      </c>
      <c r="C162" s="18">
        <v>10</v>
      </c>
      <c r="D162" s="16">
        <v>2.024</v>
      </c>
      <c r="E162" s="16"/>
      <c r="F162" s="16">
        <v>0</v>
      </c>
      <c r="G162" s="17">
        <f>100*F162/D162</f>
        <v>0</v>
      </c>
      <c r="H162" s="16"/>
      <c r="I162" s="16"/>
      <c r="J162" s="16">
        <v>0</v>
      </c>
      <c r="K162" s="17">
        <f>100*J162/D162</f>
        <v>0</v>
      </c>
      <c r="L162" s="16"/>
      <c r="M162" s="16"/>
      <c r="N162" s="16">
        <v>0</v>
      </c>
      <c r="O162" s="15">
        <f>100*N162/D162</f>
        <v>0</v>
      </c>
      <c r="P162" s="14"/>
    </row>
    <row r="163" spans="1:16" x14ac:dyDescent="0.2">
      <c r="A163" s="34" t="s">
        <v>210</v>
      </c>
      <c r="B163" s="33">
        <v>65</v>
      </c>
      <c r="C163" s="32">
        <v>1</v>
      </c>
      <c r="D163" s="30">
        <v>1.7490000000000001</v>
      </c>
      <c r="E163" s="30"/>
      <c r="F163" s="30">
        <f>J163+0.163+0.401</f>
        <v>0.98</v>
      </c>
      <c r="G163" s="31">
        <f>100*F163/D163</f>
        <v>56.032018296169234</v>
      </c>
      <c r="H163" s="30">
        <f>100*7/11</f>
        <v>63.636363636363633</v>
      </c>
      <c r="I163" s="30"/>
      <c r="J163" s="30">
        <f>N163+0.112</f>
        <v>0.41599999999999998</v>
      </c>
      <c r="K163" s="31">
        <f>100*J163/D163</f>
        <v>23.785020011435105</v>
      </c>
      <c r="L163" s="30">
        <f>100*6/11</f>
        <v>54.545454545454547</v>
      </c>
      <c r="M163" s="30"/>
      <c r="N163" s="30">
        <f>0.158+0.146</f>
        <v>0.30399999999999999</v>
      </c>
      <c r="O163" s="29">
        <f>100*N163/D163</f>
        <v>17.38136077758719</v>
      </c>
      <c r="P163" s="28">
        <f>100*3/11</f>
        <v>27.272727272727273</v>
      </c>
    </row>
    <row r="164" spans="1:16" x14ac:dyDescent="0.2">
      <c r="A164" s="27"/>
      <c r="B164" s="26">
        <v>66</v>
      </c>
      <c r="C164" s="25">
        <v>2</v>
      </c>
      <c r="D164" s="23">
        <v>2.0430000000000001</v>
      </c>
      <c r="E164" s="23"/>
      <c r="F164" s="23">
        <v>0</v>
      </c>
      <c r="G164" s="24">
        <f>100*F164/D164</f>
        <v>0</v>
      </c>
      <c r="H164" s="23"/>
      <c r="I164" s="23"/>
      <c r="J164" s="23">
        <v>0</v>
      </c>
      <c r="K164" s="24">
        <f>100*J164/D164</f>
        <v>0</v>
      </c>
      <c r="L164" s="23"/>
      <c r="M164" s="23"/>
      <c r="N164" s="23">
        <v>0</v>
      </c>
      <c r="O164" s="22">
        <f>100*N164/D164</f>
        <v>0</v>
      </c>
      <c r="P164" s="21"/>
    </row>
    <row r="165" spans="1:16" x14ac:dyDescent="0.2">
      <c r="A165" s="27"/>
      <c r="B165" s="26">
        <v>67</v>
      </c>
      <c r="C165" s="25">
        <v>3</v>
      </c>
      <c r="D165" s="23">
        <v>1.8819999999999999</v>
      </c>
      <c r="E165" s="23"/>
      <c r="F165" s="23">
        <v>0</v>
      </c>
      <c r="G165" s="24">
        <f>100*F165/D165</f>
        <v>0</v>
      </c>
      <c r="H165" s="23"/>
      <c r="I165" s="23"/>
      <c r="J165" s="23">
        <v>0</v>
      </c>
      <c r="K165" s="24">
        <f>100*J165/D165</f>
        <v>0</v>
      </c>
      <c r="L165" s="23"/>
      <c r="M165" s="23"/>
      <c r="N165" s="23">
        <v>0</v>
      </c>
      <c r="O165" s="22">
        <f>100*N165/D165</f>
        <v>0</v>
      </c>
      <c r="P165" s="21"/>
    </row>
    <row r="166" spans="1:16" x14ac:dyDescent="0.2">
      <c r="A166" s="27"/>
      <c r="B166" s="26">
        <v>68</v>
      </c>
      <c r="C166" s="25">
        <v>4</v>
      </c>
      <c r="D166" s="23">
        <v>3.984</v>
      </c>
      <c r="E166" s="23"/>
      <c r="F166" s="23">
        <f>J166+0.134+0.404</f>
        <v>0.63600000000000001</v>
      </c>
      <c r="G166" s="24">
        <f>100*F166/D166</f>
        <v>15.963855421686747</v>
      </c>
      <c r="H166" s="23"/>
      <c r="I166" s="23"/>
      <c r="J166" s="23">
        <f>N166</f>
        <v>9.8000000000000004E-2</v>
      </c>
      <c r="K166" s="24">
        <f>100*J166/D166</f>
        <v>2.4598393574297193</v>
      </c>
      <c r="L166" s="23"/>
      <c r="M166" s="23"/>
      <c r="N166" s="23">
        <v>9.8000000000000004E-2</v>
      </c>
      <c r="O166" s="22">
        <f>100*N166/D166</f>
        <v>2.4598393574297193</v>
      </c>
      <c r="P166" s="21"/>
    </row>
    <row r="167" spans="1:16" x14ac:dyDescent="0.2">
      <c r="A167" s="27"/>
      <c r="B167" s="26">
        <v>69</v>
      </c>
      <c r="C167" s="25">
        <v>5</v>
      </c>
      <c r="D167" s="23">
        <v>1.593</v>
      </c>
      <c r="E167" s="23"/>
      <c r="F167" s="23">
        <v>0.13100000000000001</v>
      </c>
      <c r="G167" s="24">
        <f>100*F167/D167</f>
        <v>8.2234777150031402</v>
      </c>
      <c r="H167" s="23"/>
      <c r="I167" s="23"/>
      <c r="J167" s="23">
        <v>0</v>
      </c>
      <c r="K167" s="24">
        <f>100*J167/D167</f>
        <v>0</v>
      </c>
      <c r="L167" s="23"/>
      <c r="M167" s="23"/>
      <c r="N167" s="23">
        <v>0</v>
      </c>
      <c r="O167" s="22">
        <f>100*N167/D167</f>
        <v>0</v>
      </c>
      <c r="P167" s="21"/>
    </row>
    <row r="168" spans="1:16" x14ac:dyDescent="0.2">
      <c r="A168" s="27"/>
      <c r="B168" s="26">
        <v>70</v>
      </c>
      <c r="C168" s="25">
        <v>6</v>
      </c>
      <c r="D168" s="23">
        <v>1.792</v>
      </c>
      <c r="E168" s="23"/>
      <c r="F168" s="23">
        <f>J168+0.111</f>
        <v>0.185</v>
      </c>
      <c r="G168" s="24">
        <f>100*F168/D168</f>
        <v>10.323660714285714</v>
      </c>
      <c r="H168" s="23"/>
      <c r="I168" s="23"/>
      <c r="J168" s="23">
        <v>7.3999999999999996E-2</v>
      </c>
      <c r="K168" s="24">
        <f>100*J168/D168</f>
        <v>4.1294642857142856</v>
      </c>
      <c r="L168" s="23"/>
      <c r="M168" s="23"/>
      <c r="N168" s="23">
        <v>0</v>
      </c>
      <c r="O168" s="22">
        <f>100*N168/D168</f>
        <v>0</v>
      </c>
      <c r="P168" s="21"/>
    </row>
    <row r="169" spans="1:16" x14ac:dyDescent="0.2">
      <c r="A169" s="27"/>
      <c r="B169" s="26">
        <v>71</v>
      </c>
      <c r="C169" s="25">
        <v>7</v>
      </c>
      <c r="D169" s="23">
        <v>2.78</v>
      </c>
      <c r="E169" s="23"/>
      <c r="F169" s="23">
        <v>0</v>
      </c>
      <c r="G169" s="24">
        <f>100*F169/D169</f>
        <v>0</v>
      </c>
      <c r="H169" s="23"/>
      <c r="I169" s="23"/>
      <c r="J169" s="23">
        <v>0</v>
      </c>
      <c r="K169" s="24">
        <f>100*J169/D169</f>
        <v>0</v>
      </c>
      <c r="L169" s="23"/>
      <c r="M169" s="23"/>
      <c r="N169" s="23">
        <v>0</v>
      </c>
      <c r="O169" s="22">
        <f>100*N169/D169</f>
        <v>0</v>
      </c>
      <c r="P169" s="21"/>
    </row>
    <row r="170" spans="1:16" x14ac:dyDescent="0.2">
      <c r="A170" s="27"/>
      <c r="B170" s="26">
        <v>72</v>
      </c>
      <c r="C170" s="25">
        <v>8</v>
      </c>
      <c r="D170" s="23">
        <v>2.589</v>
      </c>
      <c r="E170" s="23"/>
      <c r="F170" s="23">
        <v>0.39700000000000002</v>
      </c>
      <c r="G170" s="24">
        <f>100*F170/D170</f>
        <v>15.33410583236771</v>
      </c>
      <c r="H170" s="23"/>
      <c r="I170" s="23"/>
      <c r="J170" s="23">
        <v>0.39700000000000002</v>
      </c>
      <c r="K170" s="24">
        <f>100*J170/D170</f>
        <v>15.33410583236771</v>
      </c>
      <c r="L170" s="23"/>
      <c r="M170" s="23"/>
      <c r="N170" s="23">
        <v>0</v>
      </c>
      <c r="O170" s="22">
        <f>100*N170/D170</f>
        <v>0</v>
      </c>
      <c r="P170" s="21"/>
    </row>
    <row r="171" spans="1:16" x14ac:dyDescent="0.2">
      <c r="A171" s="27"/>
      <c r="B171" s="26">
        <v>73</v>
      </c>
      <c r="C171" s="25">
        <v>9</v>
      </c>
      <c r="D171" s="23">
        <v>2.2349999999999999</v>
      </c>
      <c r="E171" s="23"/>
      <c r="F171" s="23">
        <v>0.10299999999999999</v>
      </c>
      <c r="G171" s="24">
        <f>100*F171/D171</f>
        <v>4.6085011185682321</v>
      </c>
      <c r="H171" s="23"/>
      <c r="I171" s="23"/>
      <c r="J171" s="23">
        <v>0.10299999999999999</v>
      </c>
      <c r="K171" s="24">
        <f>100*J171/D171</f>
        <v>4.6085011185682321</v>
      </c>
      <c r="L171" s="23"/>
      <c r="M171" s="23"/>
      <c r="N171" s="23">
        <v>0</v>
      </c>
      <c r="O171" s="22">
        <f>100*N171/D171</f>
        <v>0</v>
      </c>
      <c r="P171" s="21"/>
    </row>
    <row r="172" spans="1:16" x14ac:dyDescent="0.2">
      <c r="A172" s="27"/>
      <c r="B172" s="26">
        <v>74</v>
      </c>
      <c r="C172" s="25">
        <v>10</v>
      </c>
      <c r="D172" s="23">
        <v>1.4239999999999999</v>
      </c>
      <c r="E172" s="23"/>
      <c r="F172" s="23">
        <v>0</v>
      </c>
      <c r="G172" s="24">
        <f>100*F172/D172</f>
        <v>0</v>
      </c>
      <c r="H172" s="23"/>
      <c r="I172" s="23"/>
      <c r="J172" s="23">
        <v>0</v>
      </c>
      <c r="K172" s="24">
        <f>100*J172/D172</f>
        <v>0</v>
      </c>
      <c r="L172" s="23"/>
      <c r="M172" s="23"/>
      <c r="N172" s="23">
        <v>0</v>
      </c>
      <c r="O172" s="22">
        <f>100*N172/D172</f>
        <v>0</v>
      </c>
      <c r="P172" s="21"/>
    </row>
    <row r="173" spans="1:16" ht="17" thickBot="1" x14ac:dyDescent="0.25">
      <c r="A173" s="20"/>
      <c r="B173" s="19">
        <v>75</v>
      </c>
      <c r="C173" s="18">
        <v>11</v>
      </c>
      <c r="D173" s="16">
        <v>4.3620000000000001</v>
      </c>
      <c r="E173" s="16"/>
      <c r="F173" s="16">
        <v>0.126</v>
      </c>
      <c r="G173" s="17">
        <f>100*F173/D173</f>
        <v>2.8885832187070148</v>
      </c>
      <c r="H173" s="16"/>
      <c r="I173" s="16"/>
      <c r="J173" s="16">
        <v>0.126</v>
      </c>
      <c r="K173" s="17">
        <f>100*J173/D173</f>
        <v>2.8885832187070148</v>
      </c>
      <c r="L173" s="16"/>
      <c r="M173" s="16"/>
      <c r="N173" s="16">
        <v>0.126</v>
      </c>
      <c r="O173" s="15">
        <f>100*N173/D173</f>
        <v>2.8885832187070148</v>
      </c>
      <c r="P173" s="14"/>
    </row>
    <row r="174" spans="1:16" x14ac:dyDescent="0.2">
      <c r="A174" s="34" t="s">
        <v>209</v>
      </c>
      <c r="B174" s="33">
        <v>76</v>
      </c>
      <c r="C174" s="32">
        <v>1</v>
      </c>
      <c r="D174" s="30">
        <v>4.5830000000000002</v>
      </c>
      <c r="E174" s="30"/>
      <c r="F174" s="30">
        <f>J174+0.147+0.122</f>
        <v>0.93100000000000005</v>
      </c>
      <c r="G174" s="31">
        <f>100*F174/D174</f>
        <v>20.314204669430506</v>
      </c>
      <c r="H174" s="30">
        <v>100</v>
      </c>
      <c r="I174" s="30"/>
      <c r="J174" s="30">
        <f>N174</f>
        <v>0.66200000000000003</v>
      </c>
      <c r="K174" s="31">
        <f>100*J174/D174</f>
        <v>14.444686886319005</v>
      </c>
      <c r="L174" s="30">
        <f>100*5/6</f>
        <v>83.333333333333329</v>
      </c>
      <c r="M174" s="30"/>
      <c r="N174" s="30">
        <v>0.66200000000000003</v>
      </c>
      <c r="O174" s="29">
        <f>100*N174/D174</f>
        <v>14.444686886319005</v>
      </c>
      <c r="P174" s="28">
        <f>100*2/6</f>
        <v>33.333333333333336</v>
      </c>
    </row>
    <row r="175" spans="1:16" x14ac:dyDescent="0.2">
      <c r="A175" s="27"/>
      <c r="B175" s="26">
        <v>77</v>
      </c>
      <c r="C175" s="25">
        <v>2</v>
      </c>
      <c r="D175" s="23">
        <v>1.5409999999999999</v>
      </c>
      <c r="E175" s="23"/>
      <c r="F175" s="23">
        <f>J175</f>
        <v>0.26900000000000002</v>
      </c>
      <c r="G175" s="24">
        <f>100*F175/D175</f>
        <v>17.456197274497082</v>
      </c>
      <c r="H175" s="23"/>
      <c r="I175" s="23"/>
      <c r="J175" s="23">
        <f>0.181+0.088</f>
        <v>0.26900000000000002</v>
      </c>
      <c r="K175" s="24">
        <f>100*J175/D175</f>
        <v>17.456197274497082</v>
      </c>
      <c r="L175" s="23"/>
      <c r="M175" s="23"/>
      <c r="N175" s="23">
        <v>0</v>
      </c>
      <c r="O175" s="22">
        <f>100*N175/D175</f>
        <v>0</v>
      </c>
      <c r="P175" s="21"/>
    </row>
    <row r="176" spans="1:16" x14ac:dyDescent="0.2">
      <c r="A176" s="27"/>
      <c r="B176" s="26">
        <v>78</v>
      </c>
      <c r="C176" s="25">
        <v>3</v>
      </c>
      <c r="D176" s="23">
        <v>1.7989999999999999</v>
      </c>
      <c r="E176" s="23"/>
      <c r="F176" s="23">
        <v>0.42499999999999999</v>
      </c>
      <c r="G176" s="24">
        <f>100*F176/D176</f>
        <v>23.624235686492497</v>
      </c>
      <c r="H176" s="23"/>
      <c r="I176" s="23"/>
      <c r="J176" s="23">
        <v>0.42499999999999999</v>
      </c>
      <c r="K176" s="24">
        <f>100*J176/D176</f>
        <v>23.624235686492497</v>
      </c>
      <c r="L176" s="23"/>
      <c r="M176" s="23"/>
      <c r="N176" s="23">
        <v>0</v>
      </c>
      <c r="O176" s="22">
        <f>100*N176/D176</f>
        <v>0</v>
      </c>
      <c r="P176" s="21"/>
    </row>
    <row r="177" spans="1:16" x14ac:dyDescent="0.2">
      <c r="A177" s="27"/>
      <c r="B177" s="26">
        <v>79</v>
      </c>
      <c r="C177" s="25">
        <v>4</v>
      </c>
      <c r="D177" s="23">
        <v>1.879</v>
      </c>
      <c r="E177" s="23"/>
      <c r="F177" s="23">
        <v>0.108</v>
      </c>
      <c r="G177" s="24">
        <f>100*F177/D177</f>
        <v>5.7477381585949976</v>
      </c>
      <c r="H177" s="23"/>
      <c r="I177" s="23"/>
      <c r="J177" s="23">
        <v>0.108</v>
      </c>
      <c r="K177" s="24">
        <f>100*J177/D177</f>
        <v>5.7477381585949976</v>
      </c>
      <c r="L177" s="23"/>
      <c r="M177" s="23"/>
      <c r="N177" s="23">
        <v>0.108</v>
      </c>
      <c r="O177" s="22">
        <f>100*N177/D177</f>
        <v>5.7477381585949976</v>
      </c>
      <c r="P177" s="21"/>
    </row>
    <row r="178" spans="1:16" x14ac:dyDescent="0.2">
      <c r="A178" s="27"/>
      <c r="B178" s="26">
        <v>80</v>
      </c>
      <c r="C178" s="25">
        <v>5</v>
      </c>
      <c r="D178" s="23">
        <v>3.0310000000000001</v>
      </c>
      <c r="E178" s="23"/>
      <c r="F178" s="23">
        <f>J178</f>
        <v>0.86499999999999999</v>
      </c>
      <c r="G178" s="24">
        <f>100*F178/D178</f>
        <v>28.538436159683272</v>
      </c>
      <c r="H178" s="23"/>
      <c r="I178" s="23"/>
      <c r="J178" s="23">
        <f>0.272+0.593</f>
        <v>0.86499999999999999</v>
      </c>
      <c r="K178" s="24">
        <f>100*J178/D178</f>
        <v>28.538436159683272</v>
      </c>
      <c r="L178" s="23"/>
      <c r="M178" s="23"/>
      <c r="N178" s="23">
        <v>0</v>
      </c>
      <c r="O178" s="22">
        <f>100*N178/D178</f>
        <v>0</v>
      </c>
      <c r="P178" s="21"/>
    </row>
    <row r="179" spans="1:16" ht="17" thickBot="1" x14ac:dyDescent="0.25">
      <c r="A179" s="20"/>
      <c r="B179" s="19">
        <v>81</v>
      </c>
      <c r="C179" s="18">
        <v>6</v>
      </c>
      <c r="D179" s="16">
        <v>2.415</v>
      </c>
      <c r="E179" s="16"/>
      <c r="F179" s="16">
        <v>0.26100000000000001</v>
      </c>
      <c r="G179" s="17">
        <f>100*F179/D179</f>
        <v>10.80745341614907</v>
      </c>
      <c r="H179" s="16"/>
      <c r="I179" s="16"/>
      <c r="J179" s="16">
        <v>0</v>
      </c>
      <c r="K179" s="17">
        <f>100*J179/D179</f>
        <v>0</v>
      </c>
      <c r="L179" s="16"/>
      <c r="M179" s="16"/>
      <c r="N179" s="16">
        <v>0</v>
      </c>
      <c r="O179" s="15">
        <f>100*N179/D179</f>
        <v>0</v>
      </c>
      <c r="P179" s="14"/>
    </row>
    <row r="180" spans="1:16" x14ac:dyDescent="0.2">
      <c r="A180" s="34" t="s">
        <v>208</v>
      </c>
      <c r="B180" s="33">
        <v>82</v>
      </c>
      <c r="C180" s="32">
        <v>1</v>
      </c>
      <c r="D180" s="30">
        <v>1.609</v>
      </c>
      <c r="E180" s="30"/>
      <c r="F180" s="30">
        <v>0</v>
      </c>
      <c r="G180" s="31">
        <f>100*F180/D180</f>
        <v>0</v>
      </c>
      <c r="H180" s="30">
        <f>100*3/10</f>
        <v>30</v>
      </c>
      <c r="I180" s="30"/>
      <c r="J180" s="30">
        <v>0</v>
      </c>
      <c r="K180" s="31">
        <f>100*J180/D180</f>
        <v>0</v>
      </c>
      <c r="L180" s="30">
        <f>100*3/10</f>
        <v>30</v>
      </c>
      <c r="M180" s="30"/>
      <c r="N180" s="30">
        <v>0</v>
      </c>
      <c r="O180" s="29">
        <f>100*N180/D180</f>
        <v>0</v>
      </c>
      <c r="P180" s="23">
        <f>100*3/10</f>
        <v>30</v>
      </c>
    </row>
    <row r="181" spans="1:16" x14ac:dyDescent="0.2">
      <c r="A181" s="27"/>
      <c r="B181" s="26">
        <v>83</v>
      </c>
      <c r="C181" s="25">
        <v>2</v>
      </c>
      <c r="D181" s="23">
        <v>2.794</v>
      </c>
      <c r="E181" s="23"/>
      <c r="F181" s="23">
        <v>0.16700000000000001</v>
      </c>
      <c r="G181" s="24">
        <f>100*F181/D181</f>
        <v>5.9770937723693622</v>
      </c>
      <c r="H181" s="23"/>
      <c r="I181" s="23"/>
      <c r="J181" s="23">
        <v>0.16700000000000001</v>
      </c>
      <c r="K181" s="24">
        <f>100*J181/D181</f>
        <v>5.9770937723693622</v>
      </c>
      <c r="M181" s="23"/>
      <c r="N181" s="23">
        <v>0.16700000000000001</v>
      </c>
      <c r="O181" s="22">
        <f>100*N181/D181</f>
        <v>5.9770937723693622</v>
      </c>
      <c r="P181" s="21"/>
    </row>
    <row r="182" spans="1:16" x14ac:dyDescent="0.2">
      <c r="A182" s="27"/>
      <c r="B182" s="26">
        <v>84</v>
      </c>
      <c r="C182" s="25">
        <v>3</v>
      </c>
      <c r="D182" s="23">
        <v>1.8620000000000001</v>
      </c>
      <c r="E182" s="23"/>
      <c r="F182" s="23">
        <v>0</v>
      </c>
      <c r="G182" s="24">
        <f>100*F182/D182</f>
        <v>0</v>
      </c>
      <c r="H182" s="23"/>
      <c r="I182" s="23"/>
      <c r="J182" s="23">
        <v>0</v>
      </c>
      <c r="K182" s="24">
        <f>100*J182/D182</f>
        <v>0</v>
      </c>
      <c r="L182" s="23"/>
      <c r="M182" s="23"/>
      <c r="N182" s="23">
        <v>0</v>
      </c>
      <c r="O182" s="22">
        <f>100*N182/D182</f>
        <v>0</v>
      </c>
      <c r="P182" s="21"/>
    </row>
    <row r="183" spans="1:16" x14ac:dyDescent="0.2">
      <c r="A183" s="27"/>
      <c r="B183" s="26">
        <v>85</v>
      </c>
      <c r="C183" s="25">
        <v>4</v>
      </c>
      <c r="D183" s="23">
        <v>1.0720000000000001</v>
      </c>
      <c r="E183" s="23"/>
      <c r="F183" s="23">
        <v>0</v>
      </c>
      <c r="G183" s="24">
        <f>100*F183/D183</f>
        <v>0</v>
      </c>
      <c r="H183" s="23"/>
      <c r="I183" s="23"/>
      <c r="J183" s="23">
        <v>0</v>
      </c>
      <c r="K183" s="24">
        <f>100*J183/D183</f>
        <v>0</v>
      </c>
      <c r="L183" s="23"/>
      <c r="M183" s="23"/>
      <c r="N183" s="23">
        <v>0</v>
      </c>
      <c r="O183" s="22">
        <f>100*N183/D183</f>
        <v>0</v>
      </c>
      <c r="P183" s="21"/>
    </row>
    <row r="184" spans="1:16" x14ac:dyDescent="0.2">
      <c r="A184" s="27"/>
      <c r="B184" s="26">
        <v>86</v>
      </c>
      <c r="C184" s="25">
        <v>5</v>
      </c>
      <c r="D184" s="23">
        <v>1.86</v>
      </c>
      <c r="E184" s="23"/>
      <c r="F184" s="23">
        <v>0</v>
      </c>
      <c r="G184" s="24">
        <f>100*F184/D184</f>
        <v>0</v>
      </c>
      <c r="H184" s="23"/>
      <c r="I184" s="23"/>
      <c r="J184" s="23">
        <v>0</v>
      </c>
      <c r="K184" s="24">
        <f>100*J184/D184</f>
        <v>0</v>
      </c>
      <c r="L184" s="23"/>
      <c r="M184" s="23"/>
      <c r="N184" s="23">
        <v>0</v>
      </c>
      <c r="O184" s="22">
        <f>100*N184/D184</f>
        <v>0</v>
      </c>
      <c r="P184" s="21"/>
    </row>
    <row r="185" spans="1:16" x14ac:dyDescent="0.2">
      <c r="A185" s="27"/>
      <c r="B185" s="26">
        <v>87</v>
      </c>
      <c r="C185" s="25">
        <v>6</v>
      </c>
      <c r="D185" s="23">
        <v>3.0329999999999999</v>
      </c>
      <c r="E185" s="23"/>
      <c r="F185" s="23">
        <v>0.15</v>
      </c>
      <c r="G185" s="24">
        <f>100*F185/D185</f>
        <v>4.9455984174085064</v>
      </c>
      <c r="H185" s="23"/>
      <c r="I185" s="23"/>
      <c r="J185" s="23">
        <v>0.15</v>
      </c>
      <c r="K185" s="24">
        <f>100*J185/D185</f>
        <v>4.9455984174085064</v>
      </c>
      <c r="L185" s="23"/>
      <c r="M185" s="23"/>
      <c r="N185" s="23">
        <v>0.15</v>
      </c>
      <c r="O185" s="22">
        <f>100*N185/D185</f>
        <v>4.9455984174085064</v>
      </c>
      <c r="P185" s="21"/>
    </row>
    <row r="186" spans="1:16" x14ac:dyDescent="0.2">
      <c r="A186" s="27"/>
      <c r="B186" s="26">
        <v>88</v>
      </c>
      <c r="C186" s="25">
        <v>7</v>
      </c>
      <c r="D186" s="23">
        <v>3.629</v>
      </c>
      <c r="E186" s="23"/>
      <c r="F186" s="23">
        <v>9.1999999999999998E-2</v>
      </c>
      <c r="G186" s="24">
        <f>100*F186/D186</f>
        <v>2.5351336456324054</v>
      </c>
      <c r="H186" s="23"/>
      <c r="I186" s="23"/>
      <c r="J186" s="23">
        <v>9.1999999999999998E-2</v>
      </c>
      <c r="K186" s="24">
        <f>100*J186/D186</f>
        <v>2.5351336456324054</v>
      </c>
      <c r="L186" s="23"/>
      <c r="M186" s="23"/>
      <c r="N186" s="23">
        <v>9.1999999999999998E-2</v>
      </c>
      <c r="O186" s="22">
        <f>100*N186/D186</f>
        <v>2.5351336456324054</v>
      </c>
      <c r="P186" s="21"/>
    </row>
    <row r="187" spans="1:16" x14ac:dyDescent="0.2">
      <c r="A187" s="27"/>
      <c r="B187" s="26">
        <v>89</v>
      </c>
      <c r="C187" s="25">
        <v>8</v>
      </c>
      <c r="D187" s="23">
        <v>1.9530000000000001</v>
      </c>
      <c r="E187" s="23"/>
      <c r="F187" s="23">
        <v>0</v>
      </c>
      <c r="G187" s="24">
        <f>100*F187/D187</f>
        <v>0</v>
      </c>
      <c r="H187" s="23"/>
      <c r="I187" s="23"/>
      <c r="J187" s="23">
        <v>0</v>
      </c>
      <c r="K187" s="24">
        <f>100*J187/D187</f>
        <v>0</v>
      </c>
      <c r="L187" s="23"/>
      <c r="M187" s="23"/>
      <c r="N187" s="23">
        <v>0</v>
      </c>
      <c r="O187" s="22">
        <f>100*N187/D187</f>
        <v>0</v>
      </c>
      <c r="P187" s="21"/>
    </row>
    <row r="188" spans="1:16" x14ac:dyDescent="0.2">
      <c r="A188" s="27"/>
      <c r="B188" s="26">
        <v>90</v>
      </c>
      <c r="C188" s="25">
        <v>9</v>
      </c>
      <c r="D188" s="23">
        <v>3.6080000000000001</v>
      </c>
      <c r="E188" s="23"/>
      <c r="F188" s="23">
        <v>0</v>
      </c>
      <c r="G188" s="24">
        <f>100*F188/D188</f>
        <v>0</v>
      </c>
      <c r="H188" s="23"/>
      <c r="I188" s="23"/>
      <c r="J188" s="23">
        <v>0</v>
      </c>
      <c r="K188" s="24">
        <f>100*J188/D188</f>
        <v>0</v>
      </c>
      <c r="L188" s="23"/>
      <c r="M188" s="23"/>
      <c r="N188" s="23">
        <v>0</v>
      </c>
      <c r="O188" s="22">
        <f>100*N188/D188</f>
        <v>0</v>
      </c>
      <c r="P188" s="21"/>
    </row>
    <row r="189" spans="1:16" ht="17" thickBot="1" x14ac:dyDescent="0.25">
      <c r="A189" s="20"/>
      <c r="B189" s="19">
        <v>91</v>
      </c>
      <c r="C189" s="18">
        <v>10</v>
      </c>
      <c r="D189" s="16">
        <v>2.5649999999999999</v>
      </c>
      <c r="E189" s="16"/>
      <c r="F189" s="16">
        <v>0</v>
      </c>
      <c r="G189" s="17">
        <f>100*F189/D189</f>
        <v>0</v>
      </c>
      <c r="H189" s="16"/>
      <c r="I189" s="16"/>
      <c r="J189" s="16">
        <v>0</v>
      </c>
      <c r="K189" s="17">
        <f>100*J189/D189</f>
        <v>0</v>
      </c>
      <c r="L189" s="16"/>
      <c r="M189" s="16"/>
      <c r="N189" s="16">
        <v>0</v>
      </c>
      <c r="O189" s="15">
        <f>100*N189/D189</f>
        <v>0</v>
      </c>
      <c r="P189" s="14"/>
    </row>
    <row r="190" spans="1:16" x14ac:dyDescent="0.2">
      <c r="A190" s="34" t="s">
        <v>207</v>
      </c>
      <c r="B190" s="33">
        <v>92</v>
      </c>
      <c r="C190" s="32">
        <v>1</v>
      </c>
      <c r="D190" s="30">
        <v>3.8090000000000002</v>
      </c>
      <c r="E190" s="30"/>
      <c r="F190" s="30">
        <v>0</v>
      </c>
      <c r="G190" s="31">
        <f>100*F190/D190</f>
        <v>0</v>
      </c>
      <c r="H190" s="30">
        <f>100*4/13</f>
        <v>30.76923076923077</v>
      </c>
      <c r="I190" s="30"/>
      <c r="J190" s="30">
        <v>0</v>
      </c>
      <c r="K190" s="31">
        <f>100*J190/D190</f>
        <v>0</v>
      </c>
      <c r="L190" s="30">
        <f>100*1/13</f>
        <v>7.6923076923076925</v>
      </c>
      <c r="M190" s="30"/>
      <c r="N190" s="30">
        <v>0</v>
      </c>
      <c r="O190" s="29">
        <f>100*N190/D190</f>
        <v>0</v>
      </c>
      <c r="P190" s="28">
        <v>0</v>
      </c>
    </row>
    <row r="191" spans="1:16" x14ac:dyDescent="0.2">
      <c r="A191" s="27"/>
      <c r="B191" s="26">
        <v>93</v>
      </c>
      <c r="C191" s="25">
        <v>2</v>
      </c>
      <c r="D191" s="23">
        <v>1.1930000000000001</v>
      </c>
      <c r="E191" s="23"/>
      <c r="F191" s="23">
        <v>0</v>
      </c>
      <c r="G191" s="24">
        <f>100*F191/D191</f>
        <v>0</v>
      </c>
      <c r="H191" s="23"/>
      <c r="I191" s="23"/>
      <c r="J191" s="23">
        <v>0</v>
      </c>
      <c r="K191" s="24">
        <f>100*J191/D191</f>
        <v>0</v>
      </c>
      <c r="L191" s="23"/>
      <c r="M191" s="23"/>
      <c r="N191" s="23">
        <v>0</v>
      </c>
      <c r="O191" s="22">
        <f>100*N191/D191</f>
        <v>0</v>
      </c>
      <c r="P191" s="21"/>
    </row>
    <row r="192" spans="1:16" x14ac:dyDescent="0.2">
      <c r="A192" s="27"/>
      <c r="B192" s="26">
        <v>94</v>
      </c>
      <c r="C192" s="25">
        <v>3</v>
      </c>
      <c r="D192" s="23">
        <v>2.06</v>
      </c>
      <c r="E192" s="23"/>
      <c r="F192" s="23">
        <v>0.182</v>
      </c>
      <c r="G192" s="24">
        <f>100*F192/D192</f>
        <v>8.8349514563106784</v>
      </c>
      <c r="H192" s="23"/>
      <c r="I192" s="23"/>
      <c r="J192" s="23">
        <v>0.182</v>
      </c>
      <c r="K192" s="24">
        <f>100*J192/D192</f>
        <v>8.8349514563106784</v>
      </c>
      <c r="L192" s="23"/>
      <c r="M192" s="23"/>
      <c r="N192" s="23">
        <v>0</v>
      </c>
      <c r="O192" s="22">
        <f>100*N192/D192</f>
        <v>0</v>
      </c>
      <c r="P192" s="21"/>
    </row>
    <row r="193" spans="1:16" x14ac:dyDescent="0.2">
      <c r="A193" s="27"/>
      <c r="B193" s="26">
        <v>95</v>
      </c>
      <c r="C193" s="25">
        <v>4</v>
      </c>
      <c r="D193" s="23">
        <v>1.4670000000000001</v>
      </c>
      <c r="E193" s="23"/>
      <c r="F193" s="23">
        <v>0</v>
      </c>
      <c r="G193" s="24">
        <f>100*F193/D193</f>
        <v>0</v>
      </c>
      <c r="H193" s="23"/>
      <c r="I193" s="23"/>
      <c r="J193" s="23">
        <v>0</v>
      </c>
      <c r="K193" s="24">
        <f>100*J193/D193</f>
        <v>0</v>
      </c>
      <c r="L193" s="23"/>
      <c r="M193" s="23"/>
      <c r="N193" s="23">
        <v>0</v>
      </c>
      <c r="O193" s="22">
        <f>100*N193/D193</f>
        <v>0</v>
      </c>
      <c r="P193" s="21"/>
    </row>
    <row r="194" spans="1:16" x14ac:dyDescent="0.2">
      <c r="A194" s="27"/>
      <c r="B194" s="26">
        <v>96</v>
      </c>
      <c r="C194" s="25">
        <v>5</v>
      </c>
      <c r="D194" s="23">
        <v>1.4670000000000001</v>
      </c>
      <c r="E194" s="23"/>
      <c r="F194" s="23">
        <v>0</v>
      </c>
      <c r="G194" s="24">
        <f>100*F194/D194</f>
        <v>0</v>
      </c>
      <c r="H194" s="23"/>
      <c r="I194" s="23"/>
      <c r="J194" s="23">
        <v>0</v>
      </c>
      <c r="K194" s="24">
        <f>100*J194/D194</f>
        <v>0</v>
      </c>
      <c r="L194" s="23"/>
      <c r="M194" s="23"/>
      <c r="N194" s="23">
        <v>0</v>
      </c>
      <c r="O194" s="22">
        <f>100*N194/D194</f>
        <v>0</v>
      </c>
      <c r="P194" s="21"/>
    </row>
    <row r="195" spans="1:16" x14ac:dyDescent="0.2">
      <c r="A195" s="27"/>
      <c r="B195" s="26">
        <v>97</v>
      </c>
      <c r="C195" s="25">
        <v>6</v>
      </c>
      <c r="D195" s="23">
        <v>3.7639999999999998</v>
      </c>
      <c r="E195" s="23"/>
      <c r="F195" s="23">
        <v>0.318</v>
      </c>
      <c r="G195" s="24">
        <f>100*F195/D195</f>
        <v>8.4484590860786408</v>
      </c>
      <c r="H195" s="23"/>
      <c r="I195" s="23"/>
      <c r="J195" s="23">
        <v>0</v>
      </c>
      <c r="K195" s="24">
        <f>100*J195/D195</f>
        <v>0</v>
      </c>
      <c r="L195" s="23"/>
      <c r="M195" s="23"/>
      <c r="N195" s="23">
        <v>0</v>
      </c>
      <c r="O195" s="22">
        <f>100*N195/D195</f>
        <v>0</v>
      </c>
      <c r="P195" s="21"/>
    </row>
    <row r="196" spans="1:16" x14ac:dyDescent="0.2">
      <c r="A196" s="27"/>
      <c r="B196" s="26">
        <v>98</v>
      </c>
      <c r="C196" s="25">
        <v>7</v>
      </c>
      <c r="D196" s="23">
        <v>2.1960000000000002</v>
      </c>
      <c r="E196" s="23"/>
      <c r="F196" s="23">
        <v>0</v>
      </c>
      <c r="G196" s="24">
        <f>100*F196/D196</f>
        <v>0</v>
      </c>
      <c r="H196" s="23"/>
      <c r="I196" s="23"/>
      <c r="J196" s="23">
        <v>0</v>
      </c>
      <c r="K196" s="24">
        <f>100*J196/D196</f>
        <v>0</v>
      </c>
      <c r="L196" s="23"/>
      <c r="M196" s="23"/>
      <c r="N196" s="23">
        <v>0</v>
      </c>
      <c r="O196" s="22">
        <f>100*N196/D196</f>
        <v>0</v>
      </c>
      <c r="P196" s="21"/>
    </row>
    <row r="197" spans="1:16" x14ac:dyDescent="0.2">
      <c r="A197" s="27"/>
      <c r="B197" s="26">
        <v>99</v>
      </c>
      <c r="C197" s="25">
        <v>8</v>
      </c>
      <c r="D197" s="23">
        <v>2.3460000000000001</v>
      </c>
      <c r="E197" s="23"/>
      <c r="F197" s="23">
        <v>0</v>
      </c>
      <c r="G197" s="24">
        <f>100*F197/D197</f>
        <v>0</v>
      </c>
      <c r="H197" s="23"/>
      <c r="I197" s="23"/>
      <c r="J197" s="23">
        <v>0</v>
      </c>
      <c r="K197" s="24">
        <f>100*J197/D197</f>
        <v>0</v>
      </c>
      <c r="L197" s="23"/>
      <c r="M197" s="23"/>
      <c r="N197" s="23">
        <v>0</v>
      </c>
      <c r="O197" s="22">
        <f>100*N197/D197</f>
        <v>0</v>
      </c>
      <c r="P197" s="21"/>
    </row>
    <row r="198" spans="1:16" x14ac:dyDescent="0.2">
      <c r="A198" s="27"/>
      <c r="B198" s="26">
        <v>100</v>
      </c>
      <c r="C198" s="25">
        <v>9</v>
      </c>
      <c r="D198" s="23">
        <v>2.2530000000000001</v>
      </c>
      <c r="E198" s="23"/>
      <c r="F198" s="23">
        <v>0.29099999999999998</v>
      </c>
      <c r="G198" s="24">
        <f>100*F198/D198</f>
        <v>12.91611185086551</v>
      </c>
      <c r="H198" s="23"/>
      <c r="I198" s="23"/>
      <c r="J198" s="23">
        <v>0</v>
      </c>
      <c r="K198" s="24">
        <f>100*J198/D198</f>
        <v>0</v>
      </c>
      <c r="L198" s="23"/>
      <c r="M198" s="23"/>
      <c r="N198" s="23">
        <v>0</v>
      </c>
      <c r="O198" s="22">
        <f>100*N198/D198</f>
        <v>0</v>
      </c>
      <c r="P198" s="21"/>
    </row>
    <row r="199" spans="1:16" x14ac:dyDescent="0.2">
      <c r="A199" s="27"/>
      <c r="B199" s="26">
        <v>101</v>
      </c>
      <c r="C199" s="25">
        <v>10</v>
      </c>
      <c r="D199" s="23">
        <v>2.1960000000000002</v>
      </c>
      <c r="E199" s="23"/>
      <c r="F199" s="23">
        <v>0</v>
      </c>
      <c r="G199" s="24">
        <f>100*F199/D199</f>
        <v>0</v>
      </c>
      <c r="H199" s="23"/>
      <c r="I199" s="23"/>
      <c r="J199" s="23">
        <v>0</v>
      </c>
      <c r="K199" s="24">
        <f>100*J199/D199</f>
        <v>0</v>
      </c>
      <c r="L199" s="23"/>
      <c r="M199" s="23"/>
      <c r="N199" s="23">
        <v>0</v>
      </c>
      <c r="O199" s="22">
        <f>100*N199/D199</f>
        <v>0</v>
      </c>
      <c r="P199" s="21"/>
    </row>
    <row r="200" spans="1:16" x14ac:dyDescent="0.2">
      <c r="A200" s="27"/>
      <c r="B200" s="26">
        <v>102</v>
      </c>
      <c r="C200" s="25">
        <v>11</v>
      </c>
      <c r="D200" s="23">
        <v>1.593</v>
      </c>
      <c r="E200" s="23"/>
      <c r="F200" s="23">
        <v>0</v>
      </c>
      <c r="G200" s="24">
        <f>100*F200/D200</f>
        <v>0</v>
      </c>
      <c r="H200" s="23"/>
      <c r="I200" s="23"/>
      <c r="J200" s="23">
        <v>0</v>
      </c>
      <c r="K200" s="24">
        <f>100*J200/D200</f>
        <v>0</v>
      </c>
      <c r="L200" s="23"/>
      <c r="M200" s="23"/>
      <c r="N200" s="23">
        <v>0</v>
      </c>
      <c r="O200" s="22">
        <f>100*N200/D200</f>
        <v>0</v>
      </c>
      <c r="P200" s="21"/>
    </row>
    <row r="201" spans="1:16" x14ac:dyDescent="0.2">
      <c r="A201" s="27"/>
      <c r="B201" s="26">
        <v>103</v>
      </c>
      <c r="C201" s="25">
        <v>12</v>
      </c>
      <c r="D201" s="23">
        <v>1.2509999999999999</v>
      </c>
      <c r="E201" s="23"/>
      <c r="F201" s="23">
        <v>0</v>
      </c>
      <c r="G201" s="24">
        <f>100*F201/D201</f>
        <v>0</v>
      </c>
      <c r="H201" s="23"/>
      <c r="I201" s="23"/>
      <c r="J201" s="23">
        <v>0</v>
      </c>
      <c r="K201" s="24">
        <f>100*J201/D201</f>
        <v>0</v>
      </c>
      <c r="L201" s="23"/>
      <c r="M201" s="23"/>
      <c r="N201" s="23">
        <v>0</v>
      </c>
      <c r="O201" s="22">
        <f>100*N201/D201</f>
        <v>0</v>
      </c>
      <c r="P201" s="21"/>
    </row>
    <row r="202" spans="1:16" ht="17" thickBot="1" x14ac:dyDescent="0.25">
      <c r="A202" s="20"/>
      <c r="B202" s="19">
        <v>104</v>
      </c>
      <c r="C202" s="18">
        <v>13</v>
      </c>
      <c r="D202" s="16">
        <v>2.5449999999999999</v>
      </c>
      <c r="E202" s="16"/>
      <c r="F202" s="16">
        <v>0.29099999999999998</v>
      </c>
      <c r="G202" s="17">
        <f>100*F202/D202</f>
        <v>11.43418467583497</v>
      </c>
      <c r="H202" s="16"/>
      <c r="I202" s="16"/>
      <c r="J202" s="16">
        <v>0</v>
      </c>
      <c r="K202" s="17">
        <f>100*J202/D202</f>
        <v>0</v>
      </c>
      <c r="L202" s="16"/>
      <c r="M202" s="16"/>
      <c r="N202" s="16">
        <v>0</v>
      </c>
      <c r="O202" s="15">
        <f>100*N202/D202</f>
        <v>0</v>
      </c>
      <c r="P202" s="14"/>
    </row>
    <row r="203" spans="1:16" x14ac:dyDescent="0.2">
      <c r="A203" s="34" t="s">
        <v>206</v>
      </c>
      <c r="B203" s="33">
        <v>105</v>
      </c>
      <c r="C203" s="32">
        <v>1</v>
      </c>
      <c r="D203" s="30">
        <v>1.67</v>
      </c>
      <c r="E203" s="30"/>
      <c r="F203" s="30">
        <v>0</v>
      </c>
      <c r="G203" s="31">
        <f>100*F203/D203</f>
        <v>0</v>
      </c>
      <c r="H203" s="30">
        <f>100*3/4</f>
        <v>75</v>
      </c>
      <c r="I203" s="30"/>
      <c r="J203" s="30">
        <v>0</v>
      </c>
      <c r="K203" s="31">
        <f>100*J203/D203</f>
        <v>0</v>
      </c>
      <c r="L203" s="30">
        <f>100*3/4</f>
        <v>75</v>
      </c>
      <c r="M203" s="30"/>
      <c r="N203" s="30">
        <v>0</v>
      </c>
      <c r="O203" s="29">
        <f>100*N203/D203</f>
        <v>0</v>
      </c>
      <c r="P203" s="28">
        <f>100*3/4</f>
        <v>75</v>
      </c>
    </row>
    <row r="204" spans="1:16" x14ac:dyDescent="0.2">
      <c r="A204" s="27"/>
      <c r="B204" s="26">
        <v>106</v>
      </c>
      <c r="C204" s="25">
        <v>2</v>
      </c>
      <c r="D204" s="23">
        <v>2.21</v>
      </c>
      <c r="E204" s="23"/>
      <c r="F204" s="23">
        <v>0.19900000000000001</v>
      </c>
      <c r="G204" s="24">
        <f>100*F204/D204</f>
        <v>9.0045248868778298</v>
      </c>
      <c r="H204" s="23"/>
      <c r="I204" s="23"/>
      <c r="J204" s="23">
        <v>0.19900000000000001</v>
      </c>
      <c r="K204" s="24">
        <f>100*J204/D204</f>
        <v>9.0045248868778298</v>
      </c>
      <c r="L204" s="23"/>
      <c r="M204" s="23"/>
      <c r="N204" s="23">
        <v>0.19900000000000001</v>
      </c>
      <c r="O204" s="22">
        <f>100*N204/D204</f>
        <v>9.0045248868778298</v>
      </c>
      <c r="P204" s="21"/>
    </row>
    <row r="205" spans="1:16" x14ac:dyDescent="0.2">
      <c r="A205" s="27"/>
      <c r="B205" s="26">
        <v>107</v>
      </c>
      <c r="C205" s="25">
        <v>3</v>
      </c>
      <c r="D205" s="23">
        <v>1.163</v>
      </c>
      <c r="E205" s="23"/>
      <c r="F205" s="23">
        <v>0</v>
      </c>
      <c r="G205" s="24">
        <f>100*F205/D205</f>
        <v>0</v>
      </c>
      <c r="H205" s="23"/>
      <c r="I205" s="23"/>
      <c r="J205" s="23">
        <v>0</v>
      </c>
      <c r="K205" s="24">
        <f>100*J205/D205</f>
        <v>0</v>
      </c>
      <c r="L205" s="23"/>
      <c r="M205" s="23"/>
      <c r="N205" s="23">
        <v>0</v>
      </c>
      <c r="O205" s="22">
        <f>100*N205/D205</f>
        <v>0</v>
      </c>
      <c r="P205" s="21"/>
    </row>
    <row r="206" spans="1:16" ht="17" thickBot="1" x14ac:dyDescent="0.25">
      <c r="A206" s="20"/>
      <c r="B206" s="19">
        <v>108</v>
      </c>
      <c r="C206" s="18">
        <v>4</v>
      </c>
      <c r="D206" s="16">
        <v>1.7869999999999999</v>
      </c>
      <c r="E206" s="16"/>
      <c r="F206" s="16">
        <v>0</v>
      </c>
      <c r="G206" s="17">
        <f>100*F206/D206</f>
        <v>0</v>
      </c>
      <c r="H206" s="16"/>
      <c r="I206" s="16"/>
      <c r="J206" s="16">
        <v>0</v>
      </c>
      <c r="K206" s="17">
        <f>100*J206/D206</f>
        <v>0</v>
      </c>
      <c r="L206" s="16"/>
      <c r="M206" s="16"/>
      <c r="N206" s="16">
        <v>0</v>
      </c>
      <c r="O206" s="15">
        <f>100*N206/D206</f>
        <v>0</v>
      </c>
      <c r="P206" s="14"/>
    </row>
    <row r="207" spans="1:16" x14ac:dyDescent="0.2">
      <c r="A207" s="34" t="s">
        <v>205</v>
      </c>
      <c r="B207" s="33">
        <v>109</v>
      </c>
      <c r="C207" s="32">
        <v>1</v>
      </c>
      <c r="D207" s="30">
        <v>2.9129999999999998</v>
      </c>
      <c r="E207" s="30"/>
      <c r="F207" s="30">
        <v>0</v>
      </c>
      <c r="G207" s="31">
        <f>100*F207/D207</f>
        <v>0</v>
      </c>
      <c r="H207" s="30">
        <f>100*2/7</f>
        <v>28.571428571428573</v>
      </c>
      <c r="I207" s="30"/>
      <c r="J207" s="30">
        <v>0</v>
      </c>
      <c r="K207" s="31">
        <f>100*J207/D207</f>
        <v>0</v>
      </c>
      <c r="L207" s="30">
        <f>100*2/7</f>
        <v>28.571428571428573</v>
      </c>
      <c r="M207" s="30"/>
      <c r="N207" s="30">
        <v>0</v>
      </c>
      <c r="O207" s="29">
        <f>100*N207/D207</f>
        <v>0</v>
      </c>
      <c r="P207" s="28">
        <f>100*2/7</f>
        <v>28.571428571428573</v>
      </c>
    </row>
    <row r="208" spans="1:16" x14ac:dyDescent="0.2">
      <c r="A208" s="27"/>
      <c r="B208" s="26">
        <v>110</v>
      </c>
      <c r="C208" s="25">
        <v>2</v>
      </c>
      <c r="D208" s="23">
        <v>0.83699999999999997</v>
      </c>
      <c r="E208" s="23"/>
      <c r="F208" s="23">
        <v>0</v>
      </c>
      <c r="G208" s="24">
        <f>100*F208/D208</f>
        <v>0</v>
      </c>
      <c r="H208" s="23"/>
      <c r="I208" s="23"/>
      <c r="J208" s="23">
        <v>0</v>
      </c>
      <c r="K208" s="24">
        <f>100*J208/D208</f>
        <v>0</v>
      </c>
      <c r="L208" s="23"/>
      <c r="M208" s="23"/>
      <c r="N208" s="23">
        <v>0</v>
      </c>
      <c r="O208" s="22">
        <f>100*N208/D208</f>
        <v>0</v>
      </c>
      <c r="P208" s="21"/>
    </row>
    <row r="209" spans="1:16" x14ac:dyDescent="0.2">
      <c r="A209" s="27"/>
      <c r="B209" s="26">
        <v>111</v>
      </c>
      <c r="C209" s="25">
        <v>3</v>
      </c>
      <c r="D209" s="23">
        <v>1.756</v>
      </c>
      <c r="E209" s="23"/>
      <c r="F209" s="23">
        <v>0</v>
      </c>
      <c r="G209" s="24">
        <f>100*F209/D209</f>
        <v>0</v>
      </c>
      <c r="H209" s="23"/>
      <c r="I209" s="23"/>
      <c r="J209" s="23">
        <v>0</v>
      </c>
      <c r="K209" s="24">
        <f>100*J209/D209</f>
        <v>0</v>
      </c>
      <c r="L209" s="23"/>
      <c r="M209" s="23"/>
      <c r="N209" s="23">
        <v>0</v>
      </c>
      <c r="O209" s="22">
        <f>100*N209/D209</f>
        <v>0</v>
      </c>
      <c r="P209" s="21"/>
    </row>
    <row r="210" spans="1:16" x14ac:dyDescent="0.2">
      <c r="A210" s="27"/>
      <c r="B210" s="26">
        <v>112</v>
      </c>
      <c r="C210" s="25">
        <v>4</v>
      </c>
      <c r="D210" s="23">
        <v>2.5350000000000001</v>
      </c>
      <c r="E210" s="23"/>
      <c r="F210" s="23">
        <v>0.14000000000000001</v>
      </c>
      <c r="G210" s="24">
        <f>100*F210/D210</f>
        <v>5.5226824457593695</v>
      </c>
      <c r="H210" s="23"/>
      <c r="I210" s="23"/>
      <c r="J210" s="23">
        <v>0.14000000000000001</v>
      </c>
      <c r="K210" s="24">
        <f>100*J210/D210</f>
        <v>5.5226824457593695</v>
      </c>
      <c r="L210" s="23"/>
      <c r="M210" s="23"/>
      <c r="N210" s="23">
        <v>0.14000000000000001</v>
      </c>
      <c r="O210" s="22">
        <f>100*N210/D210</f>
        <v>5.5226824457593695</v>
      </c>
      <c r="P210" s="21"/>
    </row>
    <row r="211" spans="1:16" x14ac:dyDescent="0.2">
      <c r="A211" s="27"/>
      <c r="B211" s="26">
        <v>113</v>
      </c>
      <c r="C211" s="25">
        <v>5</v>
      </c>
      <c r="D211" s="23">
        <v>1.8049999999999999</v>
      </c>
      <c r="E211" s="23"/>
      <c r="F211" s="23">
        <v>0</v>
      </c>
      <c r="G211" s="24">
        <f>100*F211/D211</f>
        <v>0</v>
      </c>
      <c r="H211" s="23"/>
      <c r="I211" s="23"/>
      <c r="J211" s="23">
        <v>0</v>
      </c>
      <c r="K211" s="24">
        <f>100*J211/D211</f>
        <v>0</v>
      </c>
      <c r="L211" s="23"/>
      <c r="M211" s="23"/>
      <c r="N211" s="23">
        <v>0</v>
      </c>
      <c r="O211" s="22">
        <f>100*N211/D211</f>
        <v>0</v>
      </c>
      <c r="P211" s="21"/>
    </row>
    <row r="212" spans="1:16" x14ac:dyDescent="0.2">
      <c r="A212" s="27"/>
      <c r="B212" s="26">
        <v>114</v>
      </c>
      <c r="C212" s="25">
        <v>6</v>
      </c>
      <c r="D212" s="23">
        <v>3.2429999999999999</v>
      </c>
      <c r="E212" s="23"/>
      <c r="F212" s="23">
        <v>0.13300000000000001</v>
      </c>
      <c r="G212" s="24">
        <f>100*F212/D212</f>
        <v>4.1011409189022512</v>
      </c>
      <c r="H212" s="23"/>
      <c r="I212" s="23"/>
      <c r="J212" s="23">
        <v>0.13300000000000001</v>
      </c>
      <c r="K212" s="24">
        <f>100*J212/D212</f>
        <v>4.1011409189022512</v>
      </c>
      <c r="L212" s="23"/>
      <c r="M212" s="23"/>
      <c r="N212" s="23">
        <v>0.13300000000000001</v>
      </c>
      <c r="O212" s="22">
        <f>100*N212/D212</f>
        <v>4.1011409189022512</v>
      </c>
      <c r="P212" s="21"/>
    </row>
    <row r="213" spans="1:16" ht="17" thickBot="1" x14ac:dyDescent="0.25">
      <c r="A213" s="20"/>
      <c r="B213" s="19">
        <v>115</v>
      </c>
      <c r="C213" s="18">
        <v>7</v>
      </c>
      <c r="D213" s="16">
        <v>2.1469999999999998</v>
      </c>
      <c r="E213" s="16"/>
      <c r="F213" s="16">
        <v>0</v>
      </c>
      <c r="G213" s="17">
        <f>100*F213/D213</f>
        <v>0</v>
      </c>
      <c r="H213" s="16"/>
      <c r="I213" s="16"/>
      <c r="J213" s="16">
        <v>0</v>
      </c>
      <c r="K213" s="17">
        <f>100*J213/D213</f>
        <v>0</v>
      </c>
      <c r="L213" s="16"/>
      <c r="M213" s="16"/>
      <c r="N213" s="16">
        <v>0</v>
      </c>
      <c r="O213" s="15">
        <f>100*N213/D213</f>
        <v>0</v>
      </c>
      <c r="P213" s="14"/>
    </row>
    <row r="214" spans="1:16" x14ac:dyDescent="0.2">
      <c r="A214" s="34" t="s">
        <v>204</v>
      </c>
      <c r="B214" s="33">
        <v>116</v>
      </c>
      <c r="C214" s="32">
        <v>1</v>
      </c>
      <c r="D214" s="30">
        <v>3.0379999999999998</v>
      </c>
      <c r="E214" s="30"/>
      <c r="F214" s="30">
        <v>0.316</v>
      </c>
      <c r="G214" s="31">
        <f>100*F214/D214</f>
        <v>10.401579986833443</v>
      </c>
      <c r="H214" s="30">
        <f>100*7/9</f>
        <v>77.777777777777771</v>
      </c>
      <c r="I214" s="30"/>
      <c r="J214" s="30">
        <v>0</v>
      </c>
      <c r="K214" s="31">
        <f>100*J214/D214</f>
        <v>0</v>
      </c>
      <c r="L214" s="30">
        <f>100*3/9</f>
        <v>33.333333333333336</v>
      </c>
      <c r="M214" s="30"/>
      <c r="N214" s="30">
        <v>0</v>
      </c>
      <c r="O214" s="29">
        <f>100*N214/D214</f>
        <v>0</v>
      </c>
      <c r="P214" s="28">
        <f>100*1/9</f>
        <v>11.111111111111111</v>
      </c>
    </row>
    <row r="215" spans="1:16" x14ac:dyDescent="0.2">
      <c r="A215" s="27"/>
      <c r="B215" s="26">
        <v>117</v>
      </c>
      <c r="C215" s="25">
        <v>2</v>
      </c>
      <c r="D215" s="23">
        <v>3.0430000000000001</v>
      </c>
      <c r="E215" s="23"/>
      <c r="F215" s="23">
        <f>J215+0.528</f>
        <v>1.2429999999999999</v>
      </c>
      <c r="G215" s="24">
        <f>100*F215/D215</f>
        <v>40.847847518895819</v>
      </c>
      <c r="H215" s="23"/>
      <c r="I215" s="23"/>
      <c r="J215" s="23">
        <f>N215+0.567</f>
        <v>0.71499999999999997</v>
      </c>
      <c r="K215" s="24">
        <f>100*J215/D215</f>
        <v>23.496549457771934</v>
      </c>
      <c r="L215" s="23"/>
      <c r="M215" s="23"/>
      <c r="N215" s="23">
        <v>0.14799999999999999</v>
      </c>
      <c r="O215" s="22">
        <f>100*N215/D215</f>
        <v>4.8636214262241202</v>
      </c>
      <c r="P215" s="21"/>
    </row>
    <row r="216" spans="1:16" x14ac:dyDescent="0.2">
      <c r="A216" s="27"/>
      <c r="B216" s="26">
        <v>118</v>
      </c>
      <c r="C216" s="25">
        <v>3</v>
      </c>
      <c r="D216" s="23">
        <v>1.9510000000000001</v>
      </c>
      <c r="E216" s="23"/>
      <c r="F216" s="23">
        <v>0.28899999999999998</v>
      </c>
      <c r="G216" s="24">
        <f>100*F216/D216</f>
        <v>14.812916453100973</v>
      </c>
      <c r="H216" s="23"/>
      <c r="I216" s="23"/>
      <c r="J216" s="23">
        <v>0.28899999999999998</v>
      </c>
      <c r="K216" s="24">
        <f>100*J216/D216</f>
        <v>14.812916453100973</v>
      </c>
      <c r="L216" s="23"/>
      <c r="M216" s="23"/>
      <c r="N216" s="23">
        <v>0</v>
      </c>
      <c r="O216" s="22">
        <f>100*N216/D216</f>
        <v>0</v>
      </c>
      <c r="P216" s="21"/>
    </row>
    <row r="217" spans="1:16" x14ac:dyDescent="0.2">
      <c r="A217" s="27"/>
      <c r="B217" s="26">
        <v>119</v>
      </c>
      <c r="C217" s="25">
        <v>4</v>
      </c>
      <c r="D217" s="23">
        <v>1.927</v>
      </c>
      <c r="E217" s="23"/>
      <c r="F217" s="23">
        <v>0</v>
      </c>
      <c r="G217" s="24">
        <f>100*F217/D217</f>
        <v>0</v>
      </c>
      <c r="H217" s="23"/>
      <c r="I217" s="23"/>
      <c r="J217" s="23">
        <v>0</v>
      </c>
      <c r="K217" s="24">
        <f>100*J217/D217</f>
        <v>0</v>
      </c>
      <c r="L217" s="23"/>
      <c r="M217" s="23"/>
      <c r="N217" s="23">
        <v>0</v>
      </c>
      <c r="O217" s="22">
        <f>100*N217/D217</f>
        <v>0</v>
      </c>
      <c r="P217" s="21"/>
    </row>
    <row r="218" spans="1:16" x14ac:dyDescent="0.2">
      <c r="A218" s="27"/>
      <c r="B218" s="26">
        <v>120</v>
      </c>
      <c r="C218" s="25">
        <v>5</v>
      </c>
      <c r="D218" s="23">
        <v>1.413</v>
      </c>
      <c r="E218" s="23"/>
      <c r="F218" s="23">
        <v>0</v>
      </c>
      <c r="G218" s="24">
        <f>100*F218/D218</f>
        <v>0</v>
      </c>
      <c r="H218" s="23"/>
      <c r="I218" s="23"/>
      <c r="J218" s="23">
        <v>0</v>
      </c>
      <c r="K218" s="24">
        <f>100*J218/D218</f>
        <v>0</v>
      </c>
      <c r="L218" s="23"/>
      <c r="M218" s="23"/>
      <c r="N218" s="23">
        <v>0</v>
      </c>
      <c r="O218" s="22">
        <f>100*N218/D218</f>
        <v>0</v>
      </c>
      <c r="P218" s="21"/>
    </row>
    <row r="219" spans="1:16" x14ac:dyDescent="0.2">
      <c r="A219" s="27"/>
      <c r="B219" s="26">
        <v>121</v>
      </c>
      <c r="C219" s="25">
        <v>6</v>
      </c>
      <c r="D219" s="23">
        <v>1.633</v>
      </c>
      <c r="E219" s="23"/>
      <c r="F219" s="23">
        <v>0.153</v>
      </c>
      <c r="G219" s="24">
        <f>100*F219/D219</f>
        <v>9.3692590324556022</v>
      </c>
      <c r="H219" s="23"/>
      <c r="I219" s="23"/>
      <c r="J219" s="23">
        <v>0.153</v>
      </c>
      <c r="K219" s="24">
        <f>100*J219/D219</f>
        <v>9.3692590324556022</v>
      </c>
      <c r="L219" s="23"/>
      <c r="M219" s="23"/>
      <c r="N219" s="23">
        <v>0</v>
      </c>
      <c r="O219" s="22">
        <f>100*N219/D219</f>
        <v>0</v>
      </c>
      <c r="P219" s="21"/>
    </row>
    <row r="220" spans="1:16" x14ac:dyDescent="0.2">
      <c r="A220" s="27"/>
      <c r="B220" s="26">
        <v>122</v>
      </c>
      <c r="C220" s="25">
        <v>7</v>
      </c>
      <c r="D220" s="23">
        <v>1.958</v>
      </c>
      <c r="E220" s="23"/>
      <c r="F220" s="23">
        <v>0.59299999999999997</v>
      </c>
      <c r="G220" s="24">
        <f>100*F220/D220</f>
        <v>30.286006128702756</v>
      </c>
      <c r="H220" s="23"/>
      <c r="I220" s="23"/>
      <c r="J220" s="23">
        <v>0</v>
      </c>
      <c r="K220" s="24">
        <f>100*J220/D220</f>
        <v>0</v>
      </c>
      <c r="L220" s="23"/>
      <c r="M220" s="23"/>
      <c r="N220" s="23">
        <v>0</v>
      </c>
      <c r="O220" s="22">
        <f>100*N220/D220</f>
        <v>0</v>
      </c>
      <c r="P220" s="21"/>
    </row>
    <row r="221" spans="1:16" x14ac:dyDescent="0.2">
      <c r="A221" s="27"/>
      <c r="B221" s="26">
        <v>123</v>
      </c>
      <c r="C221" s="25">
        <v>8</v>
      </c>
      <c r="D221" s="23">
        <v>1.833</v>
      </c>
      <c r="E221" s="23"/>
      <c r="F221" s="23">
        <v>0.24399999999999999</v>
      </c>
      <c r="G221" s="24">
        <f>100*F221/D221</f>
        <v>13.311511183851609</v>
      </c>
      <c r="H221" s="23"/>
      <c r="I221" s="23"/>
      <c r="J221" s="23">
        <v>0</v>
      </c>
      <c r="K221" s="24">
        <f>100*J221/D221</f>
        <v>0</v>
      </c>
      <c r="L221" s="23"/>
      <c r="M221" s="23"/>
      <c r="N221" s="23">
        <v>0</v>
      </c>
      <c r="O221" s="22">
        <f>100*N221/D221</f>
        <v>0</v>
      </c>
      <c r="P221" s="21"/>
    </row>
    <row r="222" spans="1:16" ht="17" thickBot="1" x14ac:dyDescent="0.25">
      <c r="A222" s="20"/>
      <c r="B222" s="19">
        <v>124</v>
      </c>
      <c r="C222" s="18">
        <v>9</v>
      </c>
      <c r="D222" s="16">
        <v>1.7</v>
      </c>
      <c r="E222" s="16"/>
      <c r="F222" s="16">
        <v>0.254</v>
      </c>
      <c r="G222" s="17">
        <f>100*F222/D222</f>
        <v>14.941176470588236</v>
      </c>
      <c r="H222" s="16"/>
      <c r="I222" s="16"/>
      <c r="J222" s="16">
        <v>0</v>
      </c>
      <c r="K222" s="17">
        <f>100*J222/D222</f>
        <v>0</v>
      </c>
      <c r="L222" s="16"/>
      <c r="M222" s="16"/>
      <c r="N222" s="16">
        <v>0</v>
      </c>
      <c r="O222" s="15">
        <f>100*N222/D222</f>
        <v>0</v>
      </c>
      <c r="P222" s="14"/>
    </row>
    <row r="223" spans="1:16" x14ac:dyDescent="0.2">
      <c r="A223" s="34" t="s">
        <v>203</v>
      </c>
      <c r="B223" s="33">
        <v>125</v>
      </c>
      <c r="C223" s="32">
        <v>1</v>
      </c>
      <c r="D223" s="30">
        <v>4.431</v>
      </c>
      <c r="E223" s="30"/>
      <c r="F223" s="30">
        <v>0</v>
      </c>
      <c r="G223" s="31">
        <f>100*F223/D223</f>
        <v>0</v>
      </c>
      <c r="H223" s="30">
        <f>100*8/17</f>
        <v>47.058823529411768</v>
      </c>
      <c r="I223" s="30"/>
      <c r="J223" s="30">
        <v>0</v>
      </c>
      <c r="K223" s="31">
        <f>100*J223/D223</f>
        <v>0</v>
      </c>
      <c r="L223" s="30">
        <f>100*6/17</f>
        <v>35.294117647058826</v>
      </c>
      <c r="M223" s="30"/>
      <c r="N223" s="30">
        <v>0</v>
      </c>
      <c r="O223" s="29">
        <f>100*N223/D223</f>
        <v>0</v>
      </c>
      <c r="P223" s="28">
        <f>100*1/17</f>
        <v>5.882352941176471</v>
      </c>
    </row>
    <row r="224" spans="1:16" x14ac:dyDescent="0.2">
      <c r="A224" s="27"/>
      <c r="B224" s="26">
        <v>126</v>
      </c>
      <c r="C224" s="25">
        <v>2</v>
      </c>
      <c r="D224" s="23">
        <v>2.4500000000000002</v>
      </c>
      <c r="E224" s="23"/>
      <c r="F224" s="23">
        <v>0</v>
      </c>
      <c r="G224" s="24">
        <f>100*F224/D224</f>
        <v>0</v>
      </c>
      <c r="H224" s="23"/>
      <c r="I224" s="23"/>
      <c r="J224" s="23">
        <v>0</v>
      </c>
      <c r="K224" s="24">
        <f>100*J224/D224</f>
        <v>0</v>
      </c>
      <c r="L224" s="23"/>
      <c r="M224" s="23"/>
      <c r="N224" s="23">
        <v>0</v>
      </c>
      <c r="O224" s="22">
        <f>100*N224/D224</f>
        <v>0</v>
      </c>
      <c r="P224" s="21"/>
    </row>
    <row r="225" spans="1:16" x14ac:dyDescent="0.2">
      <c r="A225" s="27"/>
      <c r="B225" s="26">
        <v>127</v>
      </c>
      <c r="C225" s="25">
        <v>3</v>
      </c>
      <c r="D225" s="23">
        <v>2.2959999999999998</v>
      </c>
      <c r="E225" s="23"/>
      <c r="F225" s="23">
        <v>0</v>
      </c>
      <c r="G225" s="24">
        <f>100*F225/D225</f>
        <v>0</v>
      </c>
      <c r="H225" s="23"/>
      <c r="I225" s="23"/>
      <c r="J225" s="23">
        <v>0</v>
      </c>
      <c r="K225" s="24">
        <f>100*J225/D225</f>
        <v>0</v>
      </c>
      <c r="L225" s="23"/>
      <c r="M225" s="23"/>
      <c r="N225" s="23">
        <v>0</v>
      </c>
      <c r="O225" s="22">
        <f>100*N225/D225</f>
        <v>0</v>
      </c>
      <c r="P225" s="21"/>
    </row>
    <row r="226" spans="1:16" x14ac:dyDescent="0.2">
      <c r="A226" s="27"/>
      <c r="B226" s="26">
        <v>128</v>
      </c>
      <c r="C226" s="25">
        <v>4</v>
      </c>
      <c r="D226" s="23">
        <v>3.423</v>
      </c>
      <c r="E226" s="23"/>
      <c r="F226" s="23">
        <v>0</v>
      </c>
      <c r="G226" s="24">
        <f>100*F226/D226</f>
        <v>0</v>
      </c>
      <c r="H226" s="23"/>
      <c r="I226" s="23"/>
      <c r="J226" s="23">
        <v>0</v>
      </c>
      <c r="K226" s="24">
        <f>100*J226/D226</f>
        <v>0</v>
      </c>
      <c r="L226" s="23"/>
      <c r="M226" s="23"/>
      <c r="N226" s="23">
        <v>0</v>
      </c>
      <c r="O226" s="22">
        <f>100*N226/D226</f>
        <v>0</v>
      </c>
      <c r="P226" s="21"/>
    </row>
    <row r="227" spans="1:16" x14ac:dyDescent="0.2">
      <c r="A227" s="27"/>
      <c r="B227" s="26">
        <v>129</v>
      </c>
      <c r="C227" s="25">
        <v>5</v>
      </c>
      <c r="D227" s="23">
        <v>2.956</v>
      </c>
      <c r="E227" s="23"/>
      <c r="F227" s="23">
        <v>0.52200000000000002</v>
      </c>
      <c r="G227" s="24">
        <f>100*F227/D227</f>
        <v>17.658998646820027</v>
      </c>
      <c r="H227" s="23"/>
      <c r="I227" s="23"/>
      <c r="J227" s="23">
        <v>0.52200000000000002</v>
      </c>
      <c r="K227" s="24">
        <f>100*J227/D227</f>
        <v>17.658998646820027</v>
      </c>
      <c r="L227" s="23"/>
      <c r="M227" s="23"/>
      <c r="N227" s="23">
        <v>0</v>
      </c>
      <c r="O227" s="22">
        <f>100*N227/D227</f>
        <v>0</v>
      </c>
      <c r="P227" s="21"/>
    </row>
    <row r="228" spans="1:16" x14ac:dyDescent="0.2">
      <c r="A228" s="27"/>
      <c r="B228" s="26">
        <v>130</v>
      </c>
      <c r="C228" s="25">
        <v>6</v>
      </c>
      <c r="D228" s="23">
        <v>3.843</v>
      </c>
      <c r="E228" s="23"/>
      <c r="F228" s="23">
        <v>0.79900000000000004</v>
      </c>
      <c r="G228" s="24">
        <f>100*F228/D228</f>
        <v>20.791048659901122</v>
      </c>
      <c r="H228" s="23"/>
      <c r="I228" s="23"/>
      <c r="J228" s="23">
        <v>0.79900000000000004</v>
      </c>
      <c r="K228" s="24">
        <f>100*J228/D228</f>
        <v>20.791048659901122</v>
      </c>
      <c r="L228" s="23"/>
      <c r="M228" s="23"/>
      <c r="N228" s="23">
        <v>0</v>
      </c>
      <c r="O228" s="22">
        <f>100*N228/D228</f>
        <v>0</v>
      </c>
      <c r="P228" s="21"/>
    </row>
    <row r="229" spans="1:16" x14ac:dyDescent="0.2">
      <c r="A229" s="27"/>
      <c r="B229" s="26">
        <v>131</v>
      </c>
      <c r="C229" s="25">
        <v>7</v>
      </c>
      <c r="D229" s="23">
        <v>2.8420000000000001</v>
      </c>
      <c r="E229" s="23"/>
      <c r="F229" s="23">
        <f>J229+0.269</f>
        <v>1.1339999999999999</v>
      </c>
      <c r="G229" s="24">
        <f>100*F229/D229</f>
        <v>39.901477832512313</v>
      </c>
      <c r="H229" s="23"/>
      <c r="I229" s="23"/>
      <c r="J229" s="23">
        <v>0.86499999999999999</v>
      </c>
      <c r="K229" s="24">
        <f>100*J229/D229</f>
        <v>30.436312456016889</v>
      </c>
      <c r="L229" s="23"/>
      <c r="M229" s="23"/>
      <c r="N229" s="23">
        <v>0</v>
      </c>
      <c r="O229" s="22">
        <f>100*N229/D229</f>
        <v>0</v>
      </c>
      <c r="P229" s="21"/>
    </row>
    <row r="230" spans="1:16" x14ac:dyDescent="0.2">
      <c r="A230" s="27"/>
      <c r="B230" s="26">
        <v>132</v>
      </c>
      <c r="C230" s="25">
        <v>8</v>
      </c>
      <c r="D230" s="23">
        <v>2.7839999999999998</v>
      </c>
      <c r="E230" s="23"/>
      <c r="F230" s="23">
        <v>0.156</v>
      </c>
      <c r="G230" s="24">
        <f>100*F230/D230</f>
        <v>5.6034482758620694</v>
      </c>
      <c r="H230" s="23"/>
      <c r="I230" s="23"/>
      <c r="J230" s="23">
        <v>0.156</v>
      </c>
      <c r="K230" s="24">
        <f>100*J230/D230</f>
        <v>5.6034482758620694</v>
      </c>
      <c r="L230" s="23"/>
      <c r="M230" s="23"/>
      <c r="N230" s="23">
        <v>0.156</v>
      </c>
      <c r="O230" s="22">
        <f>100*N230/D230</f>
        <v>5.6034482758620694</v>
      </c>
      <c r="P230" s="21"/>
    </row>
    <row r="231" spans="1:16" x14ac:dyDescent="0.2">
      <c r="A231" s="27"/>
      <c r="B231" s="26">
        <v>133</v>
      </c>
      <c r="C231" s="25">
        <v>9</v>
      </c>
      <c r="D231" s="23">
        <v>3.4849999999999999</v>
      </c>
      <c r="E231" s="23"/>
      <c r="F231" s="23">
        <v>0</v>
      </c>
      <c r="G231" s="24">
        <f>100*F231/D231</f>
        <v>0</v>
      </c>
      <c r="H231" s="23"/>
      <c r="I231" s="23"/>
      <c r="J231" s="23">
        <v>0</v>
      </c>
      <c r="K231" s="24">
        <f>100*J231/D231</f>
        <v>0</v>
      </c>
      <c r="L231" s="23"/>
      <c r="M231" s="23"/>
      <c r="N231" s="23">
        <v>0</v>
      </c>
      <c r="O231" s="22">
        <f>100*N231/D231</f>
        <v>0</v>
      </c>
      <c r="P231" s="21"/>
    </row>
    <row r="232" spans="1:16" x14ac:dyDescent="0.2">
      <c r="A232" s="27"/>
      <c r="B232" s="26">
        <v>134</v>
      </c>
      <c r="C232" s="25">
        <v>10</v>
      </c>
      <c r="D232" s="23">
        <v>2.605</v>
      </c>
      <c r="E232" s="23"/>
      <c r="F232" s="23">
        <v>0</v>
      </c>
      <c r="G232" s="24">
        <f>100*F232/D232</f>
        <v>0</v>
      </c>
      <c r="H232" s="23"/>
      <c r="I232" s="23"/>
      <c r="J232" s="23">
        <v>0</v>
      </c>
      <c r="K232" s="24">
        <f>100*J232/D232</f>
        <v>0</v>
      </c>
      <c r="L232" s="23"/>
      <c r="M232" s="23"/>
      <c r="N232" s="23">
        <v>0</v>
      </c>
      <c r="O232" s="22">
        <f>100*N232/D232</f>
        <v>0</v>
      </c>
      <c r="P232" s="21"/>
    </row>
    <row r="233" spans="1:16" x14ac:dyDescent="0.2">
      <c r="A233" s="27"/>
      <c r="B233" s="26">
        <v>135</v>
      </c>
      <c r="C233" s="25">
        <v>11</v>
      </c>
      <c r="D233" s="23">
        <v>2.4510000000000001</v>
      </c>
      <c r="E233" s="23"/>
      <c r="F233" s="23">
        <v>0</v>
      </c>
      <c r="G233" s="24">
        <f>100*F233/D233</f>
        <v>0</v>
      </c>
      <c r="H233" s="23"/>
      <c r="I233" s="23"/>
      <c r="J233" s="23">
        <v>0</v>
      </c>
      <c r="K233" s="24">
        <f>100*J233/D233</f>
        <v>0</v>
      </c>
      <c r="L233" s="23"/>
      <c r="M233" s="23"/>
      <c r="N233" s="23">
        <v>0</v>
      </c>
      <c r="O233" s="22">
        <f>100*N233/D233</f>
        <v>0</v>
      </c>
      <c r="P233" s="21"/>
    </row>
    <row r="234" spans="1:16" x14ac:dyDescent="0.2">
      <c r="A234" s="27"/>
      <c r="B234" s="26">
        <v>136</v>
      </c>
      <c r="C234" s="25">
        <v>12</v>
      </c>
      <c r="D234" s="23">
        <v>2.5099999999999998</v>
      </c>
      <c r="E234" s="23"/>
      <c r="F234" s="23">
        <v>0</v>
      </c>
      <c r="G234" s="24">
        <f>100*F234/D234</f>
        <v>0</v>
      </c>
      <c r="H234" s="23"/>
      <c r="I234" s="23"/>
      <c r="J234" s="23">
        <v>0</v>
      </c>
      <c r="K234" s="24">
        <f>100*J234/D234</f>
        <v>0</v>
      </c>
      <c r="L234" s="23"/>
      <c r="M234" s="23"/>
      <c r="N234" s="23">
        <v>0</v>
      </c>
      <c r="O234" s="22">
        <f>100*N234/D234</f>
        <v>0</v>
      </c>
      <c r="P234" s="21"/>
    </row>
    <row r="235" spans="1:16" x14ac:dyDescent="0.2">
      <c r="A235" s="27"/>
      <c r="B235" s="26">
        <v>137</v>
      </c>
      <c r="C235" s="25">
        <v>13</v>
      </c>
      <c r="D235" s="23">
        <v>2.1230000000000002</v>
      </c>
      <c r="E235" s="23"/>
      <c r="F235" s="23">
        <v>0</v>
      </c>
      <c r="G235" s="24">
        <f>100*F235/D235</f>
        <v>0</v>
      </c>
      <c r="H235" s="23"/>
      <c r="I235" s="23"/>
      <c r="J235" s="23">
        <v>0</v>
      </c>
      <c r="K235" s="24">
        <f>100*J235/D235</f>
        <v>0</v>
      </c>
      <c r="L235" s="23"/>
      <c r="M235" s="23"/>
      <c r="N235" s="23">
        <v>0</v>
      </c>
      <c r="O235" s="22">
        <f>100*N235/D235</f>
        <v>0</v>
      </c>
      <c r="P235" s="21"/>
    </row>
    <row r="236" spans="1:16" x14ac:dyDescent="0.2">
      <c r="A236" s="27"/>
      <c r="B236" s="26">
        <v>138</v>
      </c>
      <c r="C236" s="25">
        <v>14</v>
      </c>
      <c r="D236" s="23">
        <v>2.927</v>
      </c>
      <c r="E236" s="23"/>
      <c r="F236" s="23">
        <v>0.27900000000000003</v>
      </c>
      <c r="G236" s="24">
        <f>100*F236/D236</f>
        <v>9.531943969935087</v>
      </c>
      <c r="H236" s="23"/>
      <c r="I236" s="23"/>
      <c r="J236" s="23">
        <v>0.27900000000000003</v>
      </c>
      <c r="K236" s="24">
        <f>100*J236/D236</f>
        <v>9.531943969935087</v>
      </c>
      <c r="L236" s="23"/>
      <c r="M236" s="23"/>
      <c r="N236" s="23">
        <v>0</v>
      </c>
      <c r="O236" s="22">
        <f>100*N236/D236</f>
        <v>0</v>
      </c>
      <c r="P236" s="21"/>
    </row>
    <row r="237" spans="1:16" x14ac:dyDescent="0.2">
      <c r="A237" s="27"/>
      <c r="B237" s="26">
        <v>139</v>
      </c>
      <c r="C237" s="25">
        <v>15</v>
      </c>
      <c r="D237" s="23">
        <v>1.885</v>
      </c>
      <c r="E237" s="23"/>
      <c r="F237" s="23">
        <v>0.21199999999999999</v>
      </c>
      <c r="G237" s="24">
        <f>100*F237/D237</f>
        <v>11.246684350132625</v>
      </c>
      <c r="H237" s="23"/>
      <c r="I237" s="23"/>
      <c r="J237" s="23">
        <v>0</v>
      </c>
      <c r="K237" s="24">
        <f>100*J237/D237</f>
        <v>0</v>
      </c>
      <c r="L237" s="23"/>
      <c r="M237" s="23"/>
      <c r="N237" s="23">
        <v>0</v>
      </c>
      <c r="O237" s="22">
        <f>100*N237/D237</f>
        <v>0</v>
      </c>
      <c r="P237" s="21"/>
    </row>
    <row r="238" spans="1:16" x14ac:dyDescent="0.2">
      <c r="A238" s="27"/>
      <c r="B238" s="26">
        <v>140</v>
      </c>
      <c r="C238" s="25">
        <v>16</v>
      </c>
      <c r="D238" s="23">
        <v>1.875</v>
      </c>
      <c r="E238" s="23"/>
      <c r="F238" s="23">
        <f>0.25+0.211</f>
        <v>0.46099999999999997</v>
      </c>
      <c r="G238" s="24">
        <f>100*F238/D238</f>
        <v>24.586666666666662</v>
      </c>
      <c r="H238" s="23"/>
      <c r="I238" s="23"/>
      <c r="J238" s="23">
        <f>F238</f>
        <v>0.46099999999999997</v>
      </c>
      <c r="K238" s="24">
        <f>100*J238/D238</f>
        <v>24.586666666666662</v>
      </c>
      <c r="L238" s="23"/>
      <c r="M238" s="23"/>
      <c r="N238" s="23">
        <v>0</v>
      </c>
      <c r="O238" s="22">
        <f>100*N238/D238</f>
        <v>0</v>
      </c>
      <c r="P238" s="21"/>
    </row>
    <row r="239" spans="1:16" ht="17" thickBot="1" x14ac:dyDescent="0.25">
      <c r="A239" s="20"/>
      <c r="B239" s="19">
        <v>141</v>
      </c>
      <c r="C239" s="18">
        <v>17</v>
      </c>
      <c r="D239" s="16">
        <v>3.1</v>
      </c>
      <c r="E239" s="16"/>
      <c r="F239" s="16">
        <v>0.69</v>
      </c>
      <c r="G239" s="17">
        <f>100*F239/D239</f>
        <v>22.258064516129032</v>
      </c>
      <c r="H239" s="16"/>
      <c r="I239" s="16"/>
      <c r="J239" s="16">
        <v>0</v>
      </c>
      <c r="K239" s="17">
        <f>100*J239/D239</f>
        <v>0</v>
      </c>
      <c r="L239" s="16"/>
      <c r="M239" s="16"/>
      <c r="N239" s="16">
        <v>0</v>
      </c>
      <c r="O239" s="15">
        <f>100*N239/D239</f>
        <v>0</v>
      </c>
      <c r="P239" s="14"/>
    </row>
    <row r="240" spans="1:16" x14ac:dyDescent="0.2">
      <c r="A240" s="34" t="s">
        <v>202</v>
      </c>
      <c r="B240" s="33">
        <v>142</v>
      </c>
      <c r="C240" s="32">
        <v>1</v>
      </c>
      <c r="D240" s="30">
        <v>1.94</v>
      </c>
      <c r="E240" s="30"/>
      <c r="F240" s="30">
        <v>0</v>
      </c>
      <c r="G240" s="31">
        <f>100*F240/D240</f>
        <v>0</v>
      </c>
      <c r="H240" s="30">
        <f>100*4/9</f>
        <v>44.444444444444443</v>
      </c>
      <c r="I240" s="30"/>
      <c r="J240" s="30">
        <v>0</v>
      </c>
      <c r="K240" s="31">
        <f>100*J240/D240</f>
        <v>0</v>
      </c>
      <c r="L240" s="30">
        <f>100*3/9</f>
        <v>33.333333333333336</v>
      </c>
      <c r="M240" s="30"/>
      <c r="N240" s="30">
        <v>0</v>
      </c>
      <c r="O240" s="29">
        <f>100*N240/D240</f>
        <v>0</v>
      </c>
      <c r="P240" s="28">
        <f>100*1/11</f>
        <v>9.0909090909090917</v>
      </c>
    </row>
    <row r="241" spans="1:16" x14ac:dyDescent="0.2">
      <c r="A241" s="27"/>
      <c r="B241" s="26">
        <v>143</v>
      </c>
      <c r="C241" s="25">
        <v>2</v>
      </c>
      <c r="D241" s="23">
        <v>1.89</v>
      </c>
      <c r="E241" s="23"/>
      <c r="F241" s="23">
        <v>0</v>
      </c>
      <c r="G241" s="24">
        <f>100*F241/D241</f>
        <v>0</v>
      </c>
      <c r="H241" s="23"/>
      <c r="I241" s="23"/>
      <c r="J241" s="23">
        <v>0</v>
      </c>
      <c r="K241" s="24">
        <f>100*J241/D241</f>
        <v>0</v>
      </c>
      <c r="L241" s="23"/>
      <c r="M241" s="23"/>
      <c r="N241" s="23">
        <v>0</v>
      </c>
      <c r="O241" s="22">
        <f>100*N241/D241</f>
        <v>0</v>
      </c>
      <c r="P241" s="21"/>
    </row>
    <row r="242" spans="1:16" x14ac:dyDescent="0.2">
      <c r="A242" s="27"/>
      <c r="B242" s="26">
        <v>144</v>
      </c>
      <c r="C242" s="25">
        <v>3</v>
      </c>
      <c r="D242" s="23">
        <v>2.052</v>
      </c>
      <c r="E242" s="23"/>
      <c r="F242" s="23">
        <v>0</v>
      </c>
      <c r="G242" s="24">
        <f>100*F242/D242</f>
        <v>0</v>
      </c>
      <c r="H242" s="23"/>
      <c r="I242" s="23"/>
      <c r="J242" s="23">
        <v>0</v>
      </c>
      <c r="K242" s="24">
        <f>100*J242/D242</f>
        <v>0</v>
      </c>
      <c r="L242" s="23"/>
      <c r="M242" s="23"/>
      <c r="N242" s="23">
        <v>0</v>
      </c>
      <c r="O242" s="22">
        <f>100*N242/D242</f>
        <v>0</v>
      </c>
      <c r="P242" s="21"/>
    </row>
    <row r="243" spans="1:16" x14ac:dyDescent="0.2">
      <c r="A243" s="27"/>
      <c r="B243" s="26">
        <v>145</v>
      </c>
      <c r="C243" s="25">
        <v>4</v>
      </c>
      <c r="D243" s="23">
        <v>3.0110000000000001</v>
      </c>
      <c r="E243" s="23"/>
      <c r="F243" s="23">
        <v>0</v>
      </c>
      <c r="G243" s="24">
        <f>100*F243/D243</f>
        <v>0</v>
      </c>
      <c r="H243" s="23"/>
      <c r="I243" s="23"/>
      <c r="J243" s="23">
        <v>0</v>
      </c>
      <c r="K243" s="24">
        <f>100*J243/D243</f>
        <v>0</v>
      </c>
      <c r="L243" s="23"/>
      <c r="M243" s="23"/>
      <c r="N243" s="23">
        <v>0</v>
      </c>
      <c r="O243" s="22">
        <f>100*N243/D243</f>
        <v>0</v>
      </c>
      <c r="P243" s="21"/>
    </row>
    <row r="244" spans="1:16" x14ac:dyDescent="0.2">
      <c r="A244" s="27"/>
      <c r="B244" s="26">
        <v>146</v>
      </c>
      <c r="C244" s="25">
        <v>5</v>
      </c>
      <c r="D244" s="23">
        <v>2.375</v>
      </c>
      <c r="E244" s="23"/>
      <c r="F244" s="23">
        <v>0.56699999999999995</v>
      </c>
      <c r="G244" s="24">
        <f>100*F244/D244</f>
        <v>23.873684210526314</v>
      </c>
      <c r="H244" s="23"/>
      <c r="I244" s="23"/>
      <c r="J244" s="23">
        <v>0</v>
      </c>
      <c r="K244" s="24">
        <f>100*J244/D244</f>
        <v>0</v>
      </c>
      <c r="L244" s="23"/>
      <c r="M244" s="23"/>
      <c r="N244" s="23">
        <v>0</v>
      </c>
      <c r="O244" s="22">
        <f>100*N244/D244</f>
        <v>0</v>
      </c>
      <c r="P244" s="21"/>
    </row>
    <row r="245" spans="1:16" x14ac:dyDescent="0.2">
      <c r="A245" s="27"/>
      <c r="B245" s="26">
        <v>147</v>
      </c>
      <c r="C245" s="25">
        <v>6</v>
      </c>
      <c r="D245" s="23">
        <v>2.5840000000000001</v>
      </c>
      <c r="E245" s="23"/>
      <c r="F245" s="23">
        <v>0.27100000000000002</v>
      </c>
      <c r="G245" s="24">
        <f>100*F245/D245</f>
        <v>10.487616099071207</v>
      </c>
      <c r="H245" s="23"/>
      <c r="I245" s="23"/>
      <c r="J245" s="23">
        <v>0.27100000000000002</v>
      </c>
      <c r="K245" s="24">
        <f>100*J245/D245</f>
        <v>10.487616099071207</v>
      </c>
      <c r="L245" s="23"/>
      <c r="M245" s="23"/>
      <c r="N245" s="23">
        <v>0</v>
      </c>
      <c r="O245" s="22">
        <f>100*N245/D245</f>
        <v>0</v>
      </c>
      <c r="P245" s="21"/>
    </row>
    <row r="246" spans="1:16" x14ac:dyDescent="0.2">
      <c r="A246" s="27"/>
      <c r="B246" s="26">
        <v>148</v>
      </c>
      <c r="C246" s="25">
        <v>7</v>
      </c>
      <c r="D246" s="23">
        <v>2.4820000000000002</v>
      </c>
      <c r="E246" s="23"/>
      <c r="F246" s="23">
        <v>0</v>
      </c>
      <c r="G246" s="24">
        <f>100*F246/D246</f>
        <v>0</v>
      </c>
      <c r="H246" s="23"/>
      <c r="I246" s="23"/>
      <c r="J246" s="23">
        <v>0</v>
      </c>
      <c r="K246" s="24">
        <f>100*J246/D246</f>
        <v>0</v>
      </c>
      <c r="L246" s="23"/>
      <c r="M246" s="23"/>
      <c r="N246" s="23">
        <v>0</v>
      </c>
      <c r="O246" s="22">
        <f>100*N246/D246</f>
        <v>0</v>
      </c>
      <c r="P246" s="21"/>
    </row>
    <row r="247" spans="1:16" x14ac:dyDescent="0.2">
      <c r="A247" s="27"/>
      <c r="B247" s="26">
        <v>149</v>
      </c>
      <c r="C247" s="25">
        <v>8</v>
      </c>
      <c r="D247" s="23">
        <v>3.0659999999999998</v>
      </c>
      <c r="E247" s="23"/>
      <c r="F247" s="23">
        <f>J247+0.354</f>
        <v>0.50700000000000001</v>
      </c>
      <c r="G247" s="24">
        <f>100*F247/D247</f>
        <v>16.536203522504895</v>
      </c>
      <c r="H247" s="23"/>
      <c r="I247" s="23"/>
      <c r="J247" s="23">
        <v>0.153</v>
      </c>
      <c r="K247" s="24">
        <f>100*J247/D247</f>
        <v>4.9902152641878672</v>
      </c>
      <c r="L247" s="23"/>
      <c r="M247" s="23"/>
      <c r="N247" s="23">
        <v>0</v>
      </c>
      <c r="O247" s="22">
        <f>100*N247/D247</f>
        <v>0</v>
      </c>
      <c r="P247" s="21"/>
    </row>
    <row r="248" spans="1:16" ht="17" thickBot="1" x14ac:dyDescent="0.25">
      <c r="A248" s="20"/>
      <c r="B248" s="19">
        <v>150</v>
      </c>
      <c r="C248" s="18">
        <v>9</v>
      </c>
      <c r="D248" s="16">
        <v>2.7639999999999998</v>
      </c>
      <c r="E248" s="16"/>
      <c r="F248" s="16">
        <f>J248</f>
        <v>0.89600000000000002</v>
      </c>
      <c r="G248" s="17">
        <f>100*F248/D248</f>
        <v>32.41678726483358</v>
      </c>
      <c r="H248" s="16"/>
      <c r="I248" s="16"/>
      <c r="J248" s="16">
        <f>N248+0.682</f>
        <v>0.89600000000000002</v>
      </c>
      <c r="K248" s="17">
        <f>100*J248/D248</f>
        <v>32.41678726483358</v>
      </c>
      <c r="L248" s="16"/>
      <c r="M248" s="16"/>
      <c r="N248" s="16">
        <v>0.214</v>
      </c>
      <c r="O248" s="15">
        <f>100*N248/D248</f>
        <v>7.7424023154848047</v>
      </c>
      <c r="P248" s="14"/>
    </row>
    <row r="249" spans="1:16" x14ac:dyDescent="0.2"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1:16" x14ac:dyDescent="0.2">
      <c r="D250" s="13" t="s">
        <v>1</v>
      </c>
      <c r="E250" s="13"/>
      <c r="F250" s="13"/>
      <c r="G250" s="13">
        <f>AVERAGE(G99:G248)</f>
        <v>6.8720952400607018</v>
      </c>
      <c r="H250" s="13">
        <f>AVERAGE(H99:H248)</f>
        <v>56.516688809076356</v>
      </c>
      <c r="I250" s="13"/>
      <c r="J250" s="13"/>
      <c r="K250" s="13">
        <f>AVERAGE(K99:K248)</f>
        <v>3.9883441185622464</v>
      </c>
      <c r="L250" s="13">
        <f>AVERAGE(L99:L248)</f>
        <v>38.756454041921167</v>
      </c>
      <c r="M250" s="13"/>
      <c r="N250" s="13"/>
      <c r="O250" s="13">
        <f>AVERAGE(O99:O248)</f>
        <v>1.3444172547359365</v>
      </c>
      <c r="P250" s="13">
        <f>AVERAGE(P99:P248)</f>
        <v>20.584785264716057</v>
      </c>
    </row>
    <row r="251" spans="1:16" x14ac:dyDescent="0.2">
      <c r="D251" s="13" t="s">
        <v>0</v>
      </c>
      <c r="E251" s="13"/>
      <c r="F251" s="13"/>
      <c r="G251" s="13">
        <f>STDEV(G99:G248)</f>
        <v>9.8301594202594647</v>
      </c>
      <c r="H251" s="13">
        <f>STDEV(H99:H248)</f>
        <v>18.49074873335578</v>
      </c>
      <c r="I251" s="13"/>
      <c r="J251" s="13"/>
      <c r="K251" s="13">
        <f>STDEV(K99:K248)</f>
        <v>7.4254931198955552</v>
      </c>
      <c r="L251" s="13">
        <f>STDEV(L99:L248)</f>
        <v>19.561224282110707</v>
      </c>
      <c r="M251" s="13"/>
      <c r="N251" s="13"/>
      <c r="O251" s="13">
        <f>STDEV(O99:O248)</f>
        <v>3.4774361910352289</v>
      </c>
      <c r="P251" s="13">
        <f>STDEV(P99:P248)</f>
        <v>19.552513739812909</v>
      </c>
    </row>
    <row r="252" spans="1:16" x14ac:dyDescent="0.2"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</row>
    <row r="253" spans="1:16" x14ac:dyDescent="0.2"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</row>
    <row r="254" spans="1:16" x14ac:dyDescent="0.2">
      <c r="A254" t="s">
        <v>201</v>
      </c>
      <c r="B254" t="s">
        <v>1</v>
      </c>
      <c r="C254" t="s">
        <v>200</v>
      </c>
      <c r="D254" s="2" t="s">
        <v>199</v>
      </c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</row>
    <row r="255" spans="1:16" x14ac:dyDescent="0.2">
      <c r="A255" t="s">
        <v>198</v>
      </c>
      <c r="B255">
        <v>32.402999999999999</v>
      </c>
      <c r="C255">
        <f>B255-B256</f>
        <v>6.032</v>
      </c>
      <c r="D255" s="2">
        <f>100*C255/32.403</f>
        <v>18.615560287627691</v>
      </c>
      <c r="F255" s="13">
        <f>SUM(D255:D257)</f>
        <v>100</v>
      </c>
      <c r="G255" s="13"/>
      <c r="H255" s="13"/>
      <c r="I255" s="13"/>
      <c r="J255" s="13"/>
      <c r="K255" s="13"/>
      <c r="L255" s="13"/>
      <c r="M255" s="13"/>
      <c r="N255" s="13"/>
      <c r="O255" s="13"/>
      <c r="P255" s="13"/>
    </row>
    <row r="256" spans="1:16" x14ac:dyDescent="0.2">
      <c r="A256" t="s">
        <v>197</v>
      </c>
      <c r="B256">
        <v>26.370999999999999</v>
      </c>
      <c r="C256">
        <f>B256-B257</f>
        <v>16.049999999999997</v>
      </c>
      <c r="D256" s="2">
        <f>100*C256/32.403</f>
        <v>49.532450699009345</v>
      </c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</row>
    <row r="257" spans="1:16" x14ac:dyDescent="0.2">
      <c r="A257" t="s">
        <v>196</v>
      </c>
      <c r="B257">
        <v>10.321</v>
      </c>
      <c r="C257">
        <f>B257</f>
        <v>10.321</v>
      </c>
      <c r="D257" s="2">
        <f>100*C257/32.403</f>
        <v>31.85198901336296</v>
      </c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</row>
    <row r="258" spans="1:16" x14ac:dyDescent="0.2">
      <c r="A258" t="s">
        <v>195</v>
      </c>
      <c r="B258">
        <v>6.8719999999999999</v>
      </c>
      <c r="C258">
        <f>B258-B259</f>
        <v>2.8839999999999999</v>
      </c>
      <c r="D258" s="2">
        <f>100*C258/6.872</f>
        <v>41.967403958090799</v>
      </c>
      <c r="F258" s="13">
        <f>SUM(D258:D260)</f>
        <v>100</v>
      </c>
      <c r="G258" s="13"/>
      <c r="H258" s="13"/>
      <c r="I258" s="13"/>
      <c r="J258" s="13"/>
      <c r="K258" s="13"/>
      <c r="L258" s="13"/>
      <c r="M258" s="13"/>
      <c r="N258" s="13"/>
      <c r="O258" s="13"/>
      <c r="P258" s="13"/>
    </row>
    <row r="259" spans="1:16" x14ac:dyDescent="0.2">
      <c r="A259" t="s">
        <v>194</v>
      </c>
      <c r="B259">
        <v>3.988</v>
      </c>
      <c r="C259">
        <f>B259-B260</f>
        <v>2.6440000000000001</v>
      </c>
      <c r="D259" s="2">
        <f>100*C259/6.872</f>
        <v>38.474970896391156</v>
      </c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</row>
    <row r="260" spans="1:16" x14ac:dyDescent="0.2">
      <c r="A260" t="s">
        <v>193</v>
      </c>
      <c r="B260">
        <v>1.3440000000000001</v>
      </c>
      <c r="C260">
        <f>B260</f>
        <v>1.3440000000000001</v>
      </c>
      <c r="D260" s="2">
        <f>100*C260/6.872</f>
        <v>19.557625145518045</v>
      </c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</row>
    <row r="261" spans="1:16" x14ac:dyDescent="0.2"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</row>
    <row r="262" spans="1:16" x14ac:dyDescent="0.2"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</row>
    <row r="263" spans="1:16" x14ac:dyDescent="0.2"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</row>
    <row r="264" spans="1:16" x14ac:dyDescent="0.2"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</row>
    <row r="265" spans="1:16" x14ac:dyDescent="0.2"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</row>
    <row r="266" spans="1:16" x14ac:dyDescent="0.2"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</row>
    <row r="267" spans="1:16" x14ac:dyDescent="0.2"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</row>
    <row r="268" spans="1:16" x14ac:dyDescent="0.2"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</row>
    <row r="269" spans="1:16" x14ac:dyDescent="0.2"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</row>
    <row r="270" spans="1:16" x14ac:dyDescent="0.2"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1B to 1D</vt:lpstr>
      <vt:lpstr>1E</vt:lpstr>
      <vt:lpstr>1I</vt:lpstr>
      <vt:lpstr>1J</vt:lpstr>
      <vt:lpstr>1N</vt:lpstr>
      <vt:lpstr>1-S1B to 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2018-04-02T13:56:12Z</dcterms:created>
  <dcterms:modified xsi:type="dcterms:W3CDTF">2018-04-02T13:59:22Z</dcterms:modified>
</cp:coreProperties>
</file>