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gian-lucamclelland/Documents/Fon Lab/My Manuscripts/16.01.21 Mfn2/eLife submission III/source data/"/>
    </mc:Choice>
  </mc:AlternateContent>
  <bookViews>
    <workbookView xWindow="640" yWindow="1180" windowWidth="24960" windowHeight="14740" tabRatio="500" activeTab="6"/>
  </bookViews>
  <sheets>
    <sheet name="3D,E and G" sheetId="1" r:id="rId1"/>
    <sheet name="3-S1B to D" sheetId="2" r:id="rId2"/>
    <sheet name="3-S2B" sheetId="3" r:id="rId3"/>
    <sheet name="3-S3C,D,H and I" sheetId="4" r:id="rId4"/>
    <sheet name="3-S4F" sheetId="5" r:id="rId5"/>
    <sheet name="3-S4H" sheetId="6" r:id="rId6"/>
    <sheet name="3-S5C" sheetId="7" r:id="rId7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8" i="5"/>
  <c r="E19" i="5"/>
  <c r="E20" i="5"/>
  <c r="E21" i="5"/>
  <c r="E22" i="5"/>
  <c r="E23" i="5"/>
  <c r="E24" i="5"/>
  <c r="E25" i="5"/>
  <c r="E26" i="5"/>
  <c r="E27" i="5"/>
  <c r="E28" i="5"/>
  <c r="E29" i="5"/>
  <c r="E31" i="5"/>
  <c r="E32" i="5"/>
  <c r="E33" i="5"/>
  <c r="E34" i="5"/>
  <c r="E35" i="5"/>
  <c r="E36" i="5"/>
  <c r="E37" i="5"/>
  <c r="E38" i="5"/>
  <c r="E39" i="5"/>
  <c r="E40" i="5"/>
  <c r="E41" i="5"/>
  <c r="E42" i="5"/>
  <c r="F3" i="4"/>
  <c r="J3" i="4"/>
  <c r="N3" i="4"/>
  <c r="F4" i="4"/>
  <c r="J4" i="4"/>
  <c r="N4" i="4"/>
  <c r="F5" i="4"/>
  <c r="J5" i="4"/>
  <c r="N5" i="4"/>
  <c r="F6" i="4"/>
  <c r="J6" i="4"/>
  <c r="N6" i="4"/>
  <c r="F7" i="4"/>
  <c r="J7" i="4"/>
  <c r="N7" i="4"/>
  <c r="F8" i="4"/>
  <c r="J8" i="4"/>
  <c r="N8" i="4"/>
  <c r="F9" i="4"/>
  <c r="J9" i="4"/>
  <c r="N9" i="4"/>
  <c r="F10" i="4"/>
  <c r="J10" i="4"/>
  <c r="N10" i="4"/>
  <c r="F11" i="4"/>
  <c r="J11" i="4"/>
  <c r="N11" i="4"/>
  <c r="F12" i="4"/>
  <c r="J12" i="4"/>
  <c r="N12" i="4"/>
  <c r="F13" i="4"/>
  <c r="J13" i="4"/>
  <c r="N13" i="4"/>
  <c r="F14" i="4"/>
  <c r="J14" i="4"/>
  <c r="N14" i="4"/>
  <c r="F15" i="4"/>
  <c r="J15" i="4"/>
  <c r="N15" i="4"/>
  <c r="F16" i="4"/>
  <c r="J16" i="4"/>
  <c r="N16" i="4"/>
  <c r="F17" i="4"/>
  <c r="J17" i="4"/>
  <c r="N17" i="4"/>
  <c r="F18" i="4"/>
  <c r="J18" i="4"/>
  <c r="N18" i="4"/>
  <c r="F19" i="4"/>
  <c r="J19" i="4"/>
  <c r="N19" i="4"/>
  <c r="F20" i="4"/>
  <c r="J20" i="4"/>
  <c r="N20" i="4"/>
  <c r="F21" i="4"/>
  <c r="J21" i="4"/>
  <c r="N21" i="4"/>
  <c r="F22" i="4"/>
  <c r="J22" i="4"/>
  <c r="N22" i="4"/>
  <c r="F23" i="4"/>
  <c r="J23" i="4"/>
  <c r="N23" i="4"/>
  <c r="F24" i="4"/>
  <c r="J24" i="4"/>
  <c r="N24" i="4"/>
  <c r="F25" i="4"/>
  <c r="J25" i="4"/>
  <c r="N25" i="4"/>
  <c r="F26" i="4"/>
  <c r="J26" i="4"/>
  <c r="N26" i="4"/>
  <c r="F31" i="4"/>
  <c r="J31" i="4"/>
  <c r="N31" i="4"/>
  <c r="F32" i="4"/>
  <c r="J32" i="4"/>
  <c r="N32" i="4"/>
  <c r="F33" i="4"/>
  <c r="J33" i="4"/>
  <c r="N33" i="4"/>
  <c r="F34" i="4"/>
  <c r="J34" i="4"/>
  <c r="N34" i="4"/>
  <c r="F35" i="4"/>
  <c r="J35" i="4"/>
  <c r="N35" i="4"/>
  <c r="F36" i="4"/>
  <c r="J36" i="4"/>
  <c r="N36" i="4"/>
  <c r="F37" i="4"/>
  <c r="J37" i="4"/>
  <c r="N37" i="4"/>
  <c r="F38" i="4"/>
  <c r="J38" i="4"/>
  <c r="N38" i="4"/>
  <c r="F39" i="4"/>
  <c r="J39" i="4"/>
  <c r="N39" i="4"/>
  <c r="F40" i="4"/>
  <c r="J40" i="4"/>
  <c r="N40" i="4"/>
  <c r="F41" i="4"/>
  <c r="J41" i="4"/>
  <c r="N41" i="4"/>
  <c r="F42" i="4"/>
  <c r="J42" i="4"/>
  <c r="N42" i="4"/>
  <c r="F43" i="4"/>
  <c r="J43" i="4"/>
  <c r="N43" i="4"/>
  <c r="F44" i="4"/>
  <c r="J44" i="4"/>
  <c r="N44" i="4"/>
  <c r="F45" i="4"/>
  <c r="J45" i="4"/>
  <c r="N45" i="4"/>
  <c r="F46" i="4"/>
  <c r="J46" i="4"/>
  <c r="N46" i="4"/>
  <c r="F47" i="4"/>
  <c r="J47" i="4"/>
  <c r="N47" i="4"/>
  <c r="F48" i="4"/>
  <c r="J48" i="4"/>
  <c r="N48" i="4"/>
  <c r="F49" i="4"/>
  <c r="J49" i="4"/>
  <c r="N49" i="4"/>
  <c r="F50" i="4"/>
  <c r="J50" i="4"/>
  <c r="N50" i="4"/>
  <c r="F51" i="4"/>
  <c r="J51" i="4"/>
  <c r="N51" i="4"/>
  <c r="F52" i="4"/>
  <c r="J52" i="4"/>
  <c r="N52" i="4"/>
  <c r="F53" i="4"/>
  <c r="J53" i="4"/>
  <c r="N53" i="4"/>
  <c r="F54" i="4"/>
  <c r="J54" i="4"/>
  <c r="N54" i="4"/>
  <c r="F6" i="3"/>
  <c r="J6" i="3"/>
  <c r="N6" i="3"/>
  <c r="F7" i="3"/>
  <c r="J7" i="3"/>
  <c r="N7" i="3"/>
  <c r="F8" i="3"/>
  <c r="J8" i="3"/>
  <c r="N8" i="3"/>
  <c r="F9" i="3"/>
  <c r="J9" i="3"/>
  <c r="N9" i="3"/>
  <c r="F10" i="3"/>
  <c r="J10" i="3"/>
  <c r="N10" i="3"/>
  <c r="F11" i="3"/>
  <c r="J11" i="3"/>
  <c r="N11" i="3"/>
  <c r="E8" i="2"/>
  <c r="F8" i="2"/>
  <c r="H8" i="2"/>
  <c r="E9" i="2"/>
  <c r="F9" i="2"/>
  <c r="H9" i="2"/>
  <c r="E10" i="2"/>
  <c r="F10" i="2"/>
  <c r="H10" i="2"/>
  <c r="E11" i="2"/>
  <c r="F11" i="2"/>
  <c r="H11" i="2"/>
  <c r="E12" i="2"/>
  <c r="F12" i="2"/>
  <c r="H12" i="2"/>
  <c r="E13" i="2"/>
  <c r="F13" i="2"/>
  <c r="H13" i="2"/>
  <c r="E14" i="2"/>
  <c r="F14" i="2"/>
  <c r="H14" i="2"/>
  <c r="E15" i="2"/>
  <c r="F15" i="2"/>
  <c r="H15" i="2"/>
  <c r="E16" i="2"/>
  <c r="F16" i="2"/>
  <c r="H16" i="2"/>
  <c r="E17" i="2"/>
  <c r="F17" i="2"/>
  <c r="H17" i="2"/>
  <c r="E18" i="2"/>
  <c r="F18" i="2"/>
  <c r="H18" i="2"/>
  <c r="E19" i="2"/>
  <c r="F19" i="2"/>
  <c r="H19" i="2"/>
  <c r="F20" i="2"/>
  <c r="H20" i="2"/>
  <c r="E21" i="2"/>
  <c r="F21" i="2"/>
  <c r="H21" i="2"/>
  <c r="E22" i="2"/>
  <c r="F22" i="2"/>
  <c r="H22" i="2"/>
  <c r="E23" i="2"/>
  <c r="F23" i="2"/>
  <c r="H23" i="2"/>
  <c r="E24" i="2"/>
  <c r="F24" i="2"/>
  <c r="H24" i="2"/>
  <c r="E25" i="2"/>
  <c r="F25" i="2"/>
  <c r="H25" i="2"/>
  <c r="E26" i="2"/>
  <c r="F26" i="2"/>
  <c r="H26" i="2"/>
  <c r="E27" i="2"/>
  <c r="F27" i="2"/>
  <c r="H27" i="2"/>
  <c r="E28" i="2"/>
  <c r="F28" i="2"/>
  <c r="H28" i="2"/>
  <c r="E29" i="2"/>
  <c r="F29" i="2"/>
  <c r="H29" i="2"/>
  <c r="E30" i="2"/>
  <c r="F30" i="2"/>
  <c r="H30" i="2"/>
  <c r="F31" i="2"/>
  <c r="H31" i="2"/>
  <c r="E32" i="2"/>
  <c r="F32" i="2"/>
  <c r="H32" i="2"/>
  <c r="E33" i="2"/>
  <c r="F33" i="2"/>
  <c r="H33" i="2"/>
  <c r="F34" i="2"/>
  <c r="H34" i="2"/>
  <c r="E35" i="2"/>
  <c r="F35" i="2"/>
  <c r="H35" i="2"/>
  <c r="E36" i="2"/>
  <c r="F36" i="2"/>
  <c r="H36" i="2"/>
  <c r="E37" i="2"/>
  <c r="F37" i="2"/>
  <c r="H37" i="2"/>
  <c r="E38" i="2"/>
  <c r="F38" i="2"/>
  <c r="H38" i="2"/>
  <c r="F39" i="2"/>
  <c r="H39" i="2"/>
  <c r="F40" i="2"/>
  <c r="H40" i="2"/>
  <c r="E41" i="2"/>
  <c r="F41" i="2"/>
  <c r="H41" i="2"/>
  <c r="E42" i="2"/>
  <c r="F42" i="2"/>
  <c r="H42" i="2"/>
  <c r="E43" i="2"/>
  <c r="F43" i="2"/>
  <c r="H43" i="2"/>
  <c r="E44" i="2"/>
  <c r="F44" i="2"/>
  <c r="H44" i="2"/>
  <c r="E45" i="2"/>
  <c r="F45" i="2"/>
  <c r="H45" i="2"/>
  <c r="E46" i="2"/>
  <c r="F46" i="2"/>
  <c r="H46" i="2"/>
  <c r="E47" i="2"/>
  <c r="F47" i="2"/>
  <c r="H47" i="2"/>
  <c r="F48" i="2"/>
  <c r="H48" i="2"/>
  <c r="E49" i="2"/>
  <c r="F49" i="2"/>
  <c r="H49" i="2"/>
  <c r="E50" i="2"/>
  <c r="F50" i="2"/>
  <c r="H50" i="2"/>
  <c r="F51" i="2"/>
  <c r="H51" i="2"/>
  <c r="F52" i="2"/>
  <c r="H52" i="2"/>
  <c r="E53" i="2"/>
  <c r="F53" i="2"/>
  <c r="H53" i="2"/>
  <c r="E54" i="2"/>
  <c r="F54" i="2"/>
  <c r="H54" i="2"/>
  <c r="F55" i="2"/>
  <c r="H55" i="2"/>
  <c r="E56" i="2"/>
  <c r="F56" i="2"/>
  <c r="H56" i="2"/>
  <c r="F57" i="2"/>
  <c r="H57" i="2"/>
  <c r="E58" i="2"/>
  <c r="F58" i="2"/>
  <c r="H58" i="2"/>
  <c r="E59" i="2"/>
  <c r="F59" i="2"/>
  <c r="H59" i="2"/>
  <c r="F60" i="2"/>
  <c r="H60" i="2"/>
  <c r="E61" i="2"/>
  <c r="F61" i="2"/>
  <c r="H61" i="2"/>
  <c r="F62" i="2"/>
  <c r="H62" i="2"/>
  <c r="F63" i="2"/>
  <c r="H63" i="2"/>
  <c r="F64" i="2"/>
  <c r="H64" i="2"/>
  <c r="E65" i="2"/>
  <c r="F65" i="2"/>
  <c r="H65" i="2"/>
  <c r="E66" i="2"/>
  <c r="F66" i="2"/>
  <c r="H66" i="2"/>
  <c r="E67" i="2"/>
  <c r="F67" i="2"/>
  <c r="H67" i="2"/>
  <c r="E68" i="2"/>
  <c r="F68" i="2"/>
  <c r="H68" i="2"/>
  <c r="F69" i="2"/>
  <c r="H69" i="2"/>
  <c r="E70" i="2"/>
  <c r="F70" i="2"/>
  <c r="H70" i="2"/>
  <c r="E71" i="2"/>
  <c r="F71" i="2"/>
  <c r="H71" i="2"/>
  <c r="E72" i="2"/>
  <c r="F72" i="2"/>
  <c r="H72" i="2"/>
  <c r="E73" i="2"/>
  <c r="F73" i="2"/>
  <c r="H73" i="2"/>
  <c r="E74" i="2"/>
  <c r="F74" i="2"/>
  <c r="H74" i="2"/>
  <c r="D76" i="2"/>
  <c r="E76" i="2"/>
  <c r="F76" i="2"/>
  <c r="G76" i="2"/>
  <c r="H76" i="2"/>
  <c r="D77" i="2"/>
  <c r="E77" i="2"/>
  <c r="F77" i="2"/>
  <c r="G77" i="2"/>
  <c r="H77" i="2"/>
  <c r="E84" i="2"/>
  <c r="F84" i="2"/>
  <c r="H84" i="2"/>
  <c r="F85" i="2"/>
  <c r="H85" i="2"/>
  <c r="E86" i="2"/>
  <c r="F86" i="2"/>
  <c r="H86" i="2"/>
  <c r="E87" i="2"/>
  <c r="F87" i="2"/>
  <c r="H87" i="2"/>
  <c r="E88" i="2"/>
  <c r="F88" i="2"/>
  <c r="H88" i="2"/>
  <c r="F89" i="2"/>
  <c r="H89" i="2"/>
  <c r="F90" i="2"/>
  <c r="H90" i="2"/>
  <c r="E91" i="2"/>
  <c r="F91" i="2"/>
  <c r="H91" i="2"/>
  <c r="E92" i="2"/>
  <c r="F92" i="2"/>
  <c r="H92" i="2"/>
  <c r="F93" i="2"/>
  <c r="H93" i="2"/>
  <c r="F94" i="2"/>
  <c r="H94" i="2"/>
  <c r="F95" i="2"/>
  <c r="H95" i="2"/>
  <c r="F96" i="2"/>
  <c r="H96" i="2"/>
  <c r="F97" i="2"/>
  <c r="H97" i="2"/>
  <c r="E98" i="2"/>
  <c r="F98" i="2"/>
  <c r="H98" i="2"/>
  <c r="F99" i="2"/>
  <c r="H99" i="2"/>
  <c r="F100" i="2"/>
  <c r="H100" i="2"/>
  <c r="E101" i="2"/>
  <c r="F101" i="2"/>
  <c r="H101" i="2"/>
  <c r="E102" i="2"/>
  <c r="F102" i="2"/>
  <c r="H102" i="2"/>
  <c r="E103" i="2"/>
  <c r="F103" i="2"/>
  <c r="H103" i="2"/>
  <c r="E104" i="2"/>
  <c r="F104" i="2"/>
  <c r="H104" i="2"/>
  <c r="F105" i="2"/>
  <c r="H105" i="2"/>
  <c r="E106" i="2"/>
  <c r="F106" i="2"/>
  <c r="H106" i="2"/>
  <c r="E107" i="2"/>
  <c r="F107" i="2"/>
  <c r="H107" i="2"/>
  <c r="E108" i="2"/>
  <c r="F108" i="2"/>
  <c r="H108" i="2"/>
  <c r="F109" i="2"/>
  <c r="H109" i="2"/>
  <c r="E110" i="2"/>
  <c r="F110" i="2"/>
  <c r="H110" i="2"/>
  <c r="E111" i="2"/>
  <c r="F111" i="2"/>
  <c r="H111" i="2"/>
  <c r="F112" i="2"/>
  <c r="H112" i="2"/>
  <c r="E113" i="2"/>
  <c r="F113" i="2"/>
  <c r="H113" i="2"/>
  <c r="E114" i="2"/>
  <c r="F114" i="2"/>
  <c r="H114" i="2"/>
  <c r="E115" i="2"/>
  <c r="F115" i="2"/>
  <c r="H115" i="2"/>
  <c r="E116" i="2"/>
  <c r="F116" i="2"/>
  <c r="H116" i="2"/>
  <c r="E117" i="2"/>
  <c r="F117" i="2"/>
  <c r="H117" i="2"/>
  <c r="E118" i="2"/>
  <c r="F118" i="2"/>
  <c r="H118" i="2"/>
  <c r="E119" i="2"/>
  <c r="F119" i="2"/>
  <c r="H119" i="2"/>
  <c r="E120" i="2"/>
  <c r="F120" i="2"/>
  <c r="H120" i="2"/>
  <c r="E121" i="2"/>
  <c r="F121" i="2"/>
  <c r="H121" i="2"/>
  <c r="E122" i="2"/>
  <c r="F122" i="2"/>
  <c r="H122" i="2"/>
  <c r="E123" i="2"/>
  <c r="F123" i="2"/>
  <c r="H123" i="2"/>
  <c r="E124" i="2"/>
  <c r="F124" i="2"/>
  <c r="H124" i="2"/>
  <c r="E125" i="2"/>
  <c r="F125" i="2"/>
  <c r="H125" i="2"/>
  <c r="F126" i="2"/>
  <c r="H126" i="2"/>
  <c r="E127" i="2"/>
  <c r="F127" i="2"/>
  <c r="H127" i="2"/>
  <c r="E128" i="2"/>
  <c r="F128" i="2"/>
  <c r="H128" i="2"/>
  <c r="E129" i="2"/>
  <c r="F129" i="2"/>
  <c r="H129" i="2"/>
  <c r="E130" i="2"/>
  <c r="F130" i="2"/>
  <c r="H130" i="2"/>
  <c r="F131" i="2"/>
  <c r="H131" i="2"/>
  <c r="E132" i="2"/>
  <c r="F132" i="2"/>
  <c r="H132" i="2"/>
  <c r="E133" i="2"/>
  <c r="F133" i="2"/>
  <c r="H133" i="2"/>
  <c r="F134" i="2"/>
  <c r="H134" i="2"/>
  <c r="E135" i="2"/>
  <c r="F135" i="2"/>
  <c r="H135" i="2"/>
  <c r="E136" i="2"/>
  <c r="F136" i="2"/>
  <c r="H136" i="2"/>
  <c r="E137" i="2"/>
  <c r="F137" i="2"/>
  <c r="H137" i="2"/>
  <c r="F138" i="2"/>
  <c r="H138" i="2"/>
  <c r="E139" i="2"/>
  <c r="F139" i="2"/>
  <c r="H139" i="2"/>
  <c r="F140" i="2"/>
  <c r="H140" i="2"/>
  <c r="E141" i="2"/>
  <c r="F141" i="2"/>
  <c r="H141" i="2"/>
  <c r="F142" i="2"/>
  <c r="H142" i="2"/>
  <c r="E143" i="2"/>
  <c r="F143" i="2"/>
  <c r="H143" i="2"/>
  <c r="F144" i="2"/>
  <c r="H144" i="2"/>
  <c r="E145" i="2"/>
  <c r="F145" i="2"/>
  <c r="H145" i="2"/>
  <c r="F146" i="2"/>
  <c r="H146" i="2"/>
  <c r="E147" i="2"/>
  <c r="F147" i="2"/>
  <c r="H147" i="2"/>
  <c r="F148" i="2"/>
  <c r="H148" i="2"/>
  <c r="E149" i="2"/>
  <c r="F149" i="2"/>
  <c r="H149" i="2"/>
  <c r="E150" i="2"/>
  <c r="F150" i="2"/>
  <c r="H150" i="2"/>
  <c r="D152" i="2"/>
  <c r="E152" i="2"/>
  <c r="F152" i="2"/>
  <c r="G152" i="2"/>
  <c r="H152" i="2"/>
  <c r="D153" i="2"/>
  <c r="E153" i="2"/>
  <c r="F153" i="2"/>
  <c r="G153" i="2"/>
  <c r="H153" i="2"/>
  <c r="E160" i="2"/>
  <c r="F160" i="2"/>
  <c r="H160" i="2"/>
  <c r="F161" i="2"/>
  <c r="H161" i="2"/>
  <c r="F162" i="2"/>
  <c r="H162" i="2"/>
  <c r="E163" i="2"/>
  <c r="F163" i="2"/>
  <c r="H163" i="2"/>
  <c r="F164" i="2"/>
  <c r="H164" i="2"/>
  <c r="F165" i="2"/>
  <c r="H165" i="2"/>
  <c r="F166" i="2"/>
  <c r="H166" i="2"/>
  <c r="F167" i="2"/>
  <c r="H167" i="2"/>
  <c r="E168" i="2"/>
  <c r="F168" i="2"/>
  <c r="H168" i="2"/>
  <c r="F169" i="2"/>
  <c r="H169" i="2"/>
  <c r="F170" i="2"/>
  <c r="H170" i="2"/>
  <c r="F171" i="2"/>
  <c r="H171" i="2"/>
  <c r="F172" i="2"/>
  <c r="H172" i="2"/>
  <c r="F173" i="2"/>
  <c r="H173" i="2"/>
  <c r="F174" i="2"/>
  <c r="H174" i="2"/>
  <c r="F175" i="2"/>
  <c r="H175" i="2"/>
  <c r="F176" i="2"/>
  <c r="H176" i="2"/>
  <c r="F177" i="2"/>
  <c r="H177" i="2"/>
  <c r="F178" i="2"/>
  <c r="H178" i="2"/>
  <c r="F179" i="2"/>
  <c r="H179" i="2"/>
  <c r="F180" i="2"/>
  <c r="H180" i="2"/>
  <c r="F181" i="2"/>
  <c r="H181" i="2"/>
  <c r="F182" i="2"/>
  <c r="H182" i="2"/>
  <c r="F183" i="2"/>
  <c r="H183" i="2"/>
  <c r="F184" i="2"/>
  <c r="H184" i="2"/>
  <c r="F185" i="2"/>
  <c r="H185" i="2"/>
  <c r="F186" i="2"/>
  <c r="H186" i="2"/>
  <c r="F187" i="2"/>
  <c r="H187" i="2"/>
  <c r="F188" i="2"/>
  <c r="H188" i="2"/>
  <c r="E189" i="2"/>
  <c r="F189" i="2"/>
  <c r="H189" i="2"/>
  <c r="F190" i="2"/>
  <c r="H190" i="2"/>
  <c r="F191" i="2"/>
  <c r="H191" i="2"/>
  <c r="F192" i="2"/>
  <c r="H192" i="2"/>
  <c r="F193" i="2"/>
  <c r="H193" i="2"/>
  <c r="F194" i="2"/>
  <c r="H194" i="2"/>
  <c r="F195" i="2"/>
  <c r="H195" i="2"/>
  <c r="F196" i="2"/>
  <c r="H196" i="2"/>
  <c r="F197" i="2"/>
  <c r="H197" i="2"/>
  <c r="F198" i="2"/>
  <c r="H198" i="2"/>
  <c r="F199" i="2"/>
  <c r="H199" i="2"/>
  <c r="E200" i="2"/>
  <c r="F200" i="2"/>
  <c r="H200" i="2"/>
  <c r="F201" i="2"/>
  <c r="H201" i="2"/>
  <c r="F202" i="2"/>
  <c r="H202" i="2"/>
  <c r="F203" i="2"/>
  <c r="H203" i="2"/>
  <c r="F204" i="2"/>
  <c r="H204" i="2"/>
  <c r="F205" i="2"/>
  <c r="H205" i="2"/>
  <c r="E206" i="2"/>
  <c r="F206" i="2"/>
  <c r="H206" i="2"/>
  <c r="F207" i="2"/>
  <c r="H207" i="2"/>
  <c r="F208" i="2"/>
  <c r="H208" i="2"/>
  <c r="E209" i="2"/>
  <c r="F209" i="2"/>
  <c r="H209" i="2"/>
  <c r="E210" i="2"/>
  <c r="F210" i="2"/>
  <c r="H210" i="2"/>
  <c r="F211" i="2"/>
  <c r="H211" i="2"/>
  <c r="F212" i="2"/>
  <c r="H212" i="2"/>
  <c r="E213" i="2"/>
  <c r="F213" i="2"/>
  <c r="H213" i="2"/>
  <c r="F214" i="2"/>
  <c r="H214" i="2"/>
  <c r="E215" i="2"/>
  <c r="F215" i="2"/>
  <c r="H215" i="2"/>
  <c r="F216" i="2"/>
  <c r="H216" i="2"/>
  <c r="F217" i="2"/>
  <c r="H217" i="2"/>
  <c r="F218" i="2"/>
  <c r="H218" i="2"/>
  <c r="F219" i="2"/>
  <c r="H219" i="2"/>
  <c r="F220" i="2"/>
  <c r="H220" i="2"/>
  <c r="F221" i="2"/>
  <c r="H221" i="2"/>
  <c r="F222" i="2"/>
  <c r="H222" i="2"/>
  <c r="F223" i="2"/>
  <c r="H223" i="2"/>
  <c r="F224" i="2"/>
  <c r="H224" i="2"/>
  <c r="F225" i="2"/>
  <c r="H225" i="2"/>
  <c r="F226" i="2"/>
  <c r="H226" i="2"/>
  <c r="E227" i="2"/>
  <c r="F227" i="2"/>
  <c r="H227" i="2"/>
  <c r="E228" i="2"/>
  <c r="F228" i="2"/>
  <c r="H228" i="2"/>
  <c r="F229" i="2"/>
  <c r="H229" i="2"/>
  <c r="D231" i="2"/>
  <c r="E231" i="2"/>
  <c r="F231" i="2"/>
  <c r="G231" i="2"/>
  <c r="H231" i="2"/>
  <c r="D232" i="2"/>
  <c r="E232" i="2"/>
  <c r="F232" i="2"/>
  <c r="G232" i="2"/>
  <c r="H232" i="2"/>
  <c r="F4" i="1"/>
  <c r="J4" i="1"/>
  <c r="N4" i="1"/>
  <c r="F5" i="1"/>
  <c r="J5" i="1"/>
  <c r="N5" i="1"/>
  <c r="F6" i="1"/>
  <c r="J6" i="1"/>
  <c r="N6" i="1"/>
  <c r="F7" i="1"/>
  <c r="J7" i="1"/>
  <c r="N7" i="1"/>
  <c r="F8" i="1"/>
  <c r="J8" i="1"/>
  <c r="N8" i="1"/>
  <c r="F9" i="1"/>
  <c r="J9" i="1"/>
  <c r="N9" i="1"/>
  <c r="F10" i="1"/>
  <c r="J10" i="1"/>
  <c r="N10" i="1"/>
  <c r="F11" i="1"/>
  <c r="J11" i="1"/>
  <c r="N11" i="1"/>
  <c r="F12" i="1"/>
  <c r="J12" i="1"/>
  <c r="N12" i="1"/>
  <c r="F13" i="1"/>
  <c r="J13" i="1"/>
  <c r="N13" i="1"/>
  <c r="F14" i="1"/>
  <c r="J14" i="1"/>
  <c r="N14" i="1"/>
  <c r="F15" i="1"/>
  <c r="J15" i="1"/>
  <c r="N15" i="1"/>
  <c r="F16" i="1"/>
  <c r="J16" i="1"/>
  <c r="N16" i="1"/>
  <c r="F17" i="1"/>
  <c r="J17" i="1"/>
  <c r="N17" i="1"/>
  <c r="F18" i="1"/>
  <c r="J18" i="1"/>
  <c r="N18" i="1"/>
  <c r="F19" i="1"/>
  <c r="J19" i="1"/>
  <c r="N19" i="1"/>
  <c r="F20" i="1"/>
  <c r="J20" i="1"/>
  <c r="N20" i="1"/>
  <c r="F21" i="1"/>
  <c r="J21" i="1"/>
  <c r="N21" i="1"/>
</calcChain>
</file>

<file path=xl/sharedStrings.xml><?xml version="1.0" encoding="utf-8"?>
<sst xmlns="http://schemas.openxmlformats.org/spreadsheetml/2006/main" count="200" uniqueCount="83">
  <si>
    <t>ctrl siRNA</t>
  </si>
  <si>
    <t>siMfn2</t>
  </si>
  <si>
    <t>siMfn1</t>
  </si>
  <si>
    <t>CCCP</t>
  </si>
  <si>
    <t>DMSO</t>
  </si>
  <si>
    <t>galactose</t>
  </si>
  <si>
    <t>glucose</t>
  </si>
  <si>
    <t>% YES</t>
  </si>
  <si>
    <t>NO</t>
  </si>
  <si>
    <t>YES</t>
  </si>
  <si>
    <t>CCCP (h)</t>
  </si>
  <si>
    <t>siRNA</t>
  </si>
  <si>
    <t>media</t>
  </si>
  <si>
    <t>SIGMA</t>
  </si>
  <si>
    <t>XBAR</t>
  </si>
  <si>
    <t>block 3 image 7</t>
  </si>
  <si>
    <t>block 3 image 6</t>
  </si>
  <si>
    <t>block 3 image 5</t>
  </si>
  <si>
    <t>block 3 image 4</t>
  </si>
  <si>
    <t>block 3 image 3</t>
  </si>
  <si>
    <t>block 3 image 2</t>
  </si>
  <si>
    <t>block 3 image 1</t>
  </si>
  <si>
    <t>contact?</t>
  </si>
  <si>
    <t>actual L(mito)</t>
  </si>
  <si>
    <t>L(mito)</t>
  </si>
  <si>
    <t>% app</t>
  </si>
  <si>
    <t>L(ER-OMM)</t>
  </si>
  <si>
    <t>P(OMM)</t>
  </si>
  <si>
    <t>location</t>
  </si>
  <si>
    <t>mito</t>
  </si>
  <si>
    <t>image file</t>
  </si>
  <si>
    <t>block 3</t>
  </si>
  <si>
    <t>block 2 image 5</t>
  </si>
  <si>
    <t>block 2 image 4</t>
  </si>
  <si>
    <t>block 2 image 3</t>
  </si>
  <si>
    <t>block 2 image 2</t>
  </si>
  <si>
    <t>block 2 image 1</t>
  </si>
  <si>
    <t>block 2</t>
  </si>
  <si>
    <t>block 1 image 8</t>
  </si>
  <si>
    <t>block 1 image 5</t>
  </si>
  <si>
    <t>block 1 image 4</t>
  </si>
  <si>
    <t>block 1 image 3</t>
  </si>
  <si>
    <t>block 1 image 2</t>
  </si>
  <si>
    <t>block 1 image 1</t>
  </si>
  <si>
    <t>block 1</t>
  </si>
  <si>
    <t>500 nm = 0.31</t>
  </si>
  <si>
    <t>glucose vs. galactose</t>
  </si>
  <si>
    <t>siMfn1+2</t>
  </si>
  <si>
    <t>siStx17</t>
  </si>
  <si>
    <t>siPACS2</t>
  </si>
  <si>
    <t>B4</t>
  </si>
  <si>
    <t>A5</t>
  </si>
  <si>
    <t>A4</t>
  </si>
  <si>
    <t>WT</t>
  </si>
  <si>
    <t>cell line</t>
  </si>
  <si>
    <t>recruitment?</t>
  </si>
  <si>
    <t>CCCP (untransfected)</t>
  </si>
  <si>
    <t>KO + siPINK1</t>
  </si>
  <si>
    <t>KO + ctrl siRNA</t>
  </si>
  <si>
    <t>WT + siPINK1</t>
  </si>
  <si>
    <t>WT + ctrl siRNA</t>
  </si>
  <si>
    <t>untreated</t>
  </si>
  <si>
    <t>gal:siMfn2</t>
  </si>
  <si>
    <t>gal:ctrl siRNA</t>
  </si>
  <si>
    <t>glu:siMfn2</t>
  </si>
  <si>
    <t>glu:ctrl siRNA</t>
  </si>
  <si>
    <t>+ siPINK1</t>
  </si>
  <si>
    <t>control</t>
  </si>
  <si>
    <t>A320R + siMfn2</t>
  </si>
  <si>
    <t>A320R + ctrl siRNA</t>
  </si>
  <si>
    <t>WT + siMfn2</t>
  </si>
  <si>
    <t>time (h)</t>
  </si>
  <si>
    <t>Numerical source data for Figure 3D and E</t>
  </si>
  <si>
    <t>Numerical source data for Figure 3G</t>
  </si>
  <si>
    <t>Numerical source data for Figure 3-figure supplement 2B</t>
  </si>
  <si>
    <t>Numerical source data for Figure 3-figure supplement 1B to D</t>
  </si>
  <si>
    <t>Numerical source data for Figure 3-figure supplement 3H and I</t>
  </si>
  <si>
    <t>Numerical source data for Figure 3-figure supplement 3C and D</t>
  </si>
  <si>
    <t>Numerical source data for Figure 3-figure supplement 4F</t>
  </si>
  <si>
    <t>Numerical source data for Figure 3-figure supplement 4H</t>
  </si>
  <si>
    <t>Numerical source data for Figure 3-figure supplement 5C</t>
  </si>
  <si>
    <t>Numerical source data for Figure 3-figure supplement 5D</t>
  </si>
  <si>
    <t>Numerical source data for Figure 3-figure supplement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</si>
</sst>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3" fillId="0" borderId="0" xfId="0" applyFont="1"/>
    <xf numFmtId="1" fontId="1" fillId="2" borderId="0" xfId="0" applyNumberFormat="1" applyFont="1" applyFill="1"/>
    <xf numFmtId="16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/>
    <xf numFmtId="165" fontId="0" fillId="0" borderId="0" xfId="0" applyNumberFormat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E25" sqref="E25:G25"/>
    </sheetView>
  </sheetViews>
  <sheetFormatPr baseColWidth="10" defaultRowHeight="16" x14ac:dyDescent="0.2"/>
  <sheetData>
    <row r="1" spans="1:14" x14ac:dyDescent="0.2">
      <c r="A1" t="s">
        <v>72</v>
      </c>
    </row>
    <row r="3" spans="1:14" x14ac:dyDescent="0.2">
      <c r="A3" t="s">
        <v>12</v>
      </c>
      <c r="B3" t="s">
        <v>11</v>
      </c>
      <c r="C3" t="s">
        <v>10</v>
      </c>
      <c r="D3" t="s">
        <v>9</v>
      </c>
      <c r="E3" t="s">
        <v>8</v>
      </c>
      <c r="F3" s="5" t="s">
        <v>7</v>
      </c>
      <c r="H3" t="s">
        <v>9</v>
      </c>
      <c r="I3" t="s">
        <v>8</v>
      </c>
      <c r="J3" s="5" t="s">
        <v>7</v>
      </c>
      <c r="L3" t="s">
        <v>9</v>
      </c>
      <c r="M3" t="s">
        <v>8</v>
      </c>
      <c r="N3" s="5" t="s">
        <v>7</v>
      </c>
    </row>
    <row r="4" spans="1:14" x14ac:dyDescent="0.2">
      <c r="A4" t="s">
        <v>6</v>
      </c>
      <c r="B4" t="s">
        <v>0</v>
      </c>
      <c r="C4">
        <v>0</v>
      </c>
      <c r="D4">
        <v>0</v>
      </c>
      <c r="E4">
        <v>100</v>
      </c>
      <c r="F4" s="5">
        <f>100*D4/(D4+E4)</f>
        <v>0</v>
      </c>
      <c r="H4">
        <v>0</v>
      </c>
      <c r="I4">
        <v>100</v>
      </c>
      <c r="J4" s="5">
        <f>100*H4/(H4+I4)</f>
        <v>0</v>
      </c>
      <c r="L4">
        <v>0</v>
      </c>
      <c r="M4">
        <v>100</v>
      </c>
      <c r="N4" s="5">
        <f>100*L4/(L4+M4)</f>
        <v>0</v>
      </c>
    </row>
    <row r="5" spans="1:14" x14ac:dyDescent="0.2">
      <c r="C5">
        <v>1</v>
      </c>
      <c r="D5">
        <v>71</v>
      </c>
      <c r="E5">
        <v>46</v>
      </c>
      <c r="F5" s="5">
        <f>100*D5/(D5+E5)</f>
        <v>60.683760683760681</v>
      </c>
      <c r="H5">
        <v>92</v>
      </c>
      <c r="I5">
        <v>30</v>
      </c>
      <c r="J5" s="5">
        <f>100*H5/(H5+I5)</f>
        <v>75.409836065573771</v>
      </c>
      <c r="L5">
        <v>61</v>
      </c>
      <c r="M5">
        <v>41</v>
      </c>
      <c r="N5" s="5">
        <f>100*L5/(L5+M5)</f>
        <v>59.803921568627452</v>
      </c>
    </row>
    <row r="6" spans="1:14" x14ac:dyDescent="0.2">
      <c r="C6">
        <v>4</v>
      </c>
      <c r="D6">
        <v>98</v>
      </c>
      <c r="E6">
        <v>8</v>
      </c>
      <c r="F6" s="5">
        <f>100*D6/(D6+E6)</f>
        <v>92.452830188679243</v>
      </c>
      <c r="H6">
        <v>122</v>
      </c>
      <c r="I6">
        <v>1</v>
      </c>
      <c r="J6" s="5">
        <f>100*H6/(H6+I6)</f>
        <v>99.1869918699187</v>
      </c>
      <c r="L6">
        <v>111</v>
      </c>
      <c r="M6">
        <v>1</v>
      </c>
      <c r="N6" s="5">
        <f>100*L6/(L6+M6)</f>
        <v>99.107142857142861</v>
      </c>
    </row>
    <row r="7" spans="1:14" x14ac:dyDescent="0.2">
      <c r="B7" t="s">
        <v>2</v>
      </c>
      <c r="C7">
        <v>0</v>
      </c>
      <c r="D7">
        <v>0</v>
      </c>
      <c r="E7">
        <v>100</v>
      </c>
      <c r="F7" s="5">
        <f>100*D7/(D7+E7)</f>
        <v>0</v>
      </c>
      <c r="H7">
        <v>0</v>
      </c>
      <c r="I7">
        <v>100</v>
      </c>
      <c r="J7" s="5">
        <f>100*H7/(H7+I7)</f>
        <v>0</v>
      </c>
      <c r="L7">
        <v>0</v>
      </c>
      <c r="M7">
        <v>100</v>
      </c>
      <c r="N7" s="5">
        <f>100*L7/(L7+M7)</f>
        <v>0</v>
      </c>
    </row>
    <row r="8" spans="1:14" x14ac:dyDescent="0.2">
      <c r="C8">
        <v>1</v>
      </c>
      <c r="D8">
        <v>105</v>
      </c>
      <c r="E8">
        <v>61</v>
      </c>
      <c r="F8" s="5">
        <f>100*D8/(D8+E8)</f>
        <v>63.253012048192772</v>
      </c>
      <c r="H8">
        <v>84</v>
      </c>
      <c r="I8">
        <v>24</v>
      </c>
      <c r="J8" s="5">
        <f>100*H8/(H8+I8)</f>
        <v>77.777777777777771</v>
      </c>
      <c r="L8">
        <v>71</v>
      </c>
      <c r="M8">
        <v>36</v>
      </c>
      <c r="N8" s="5">
        <f>100*L8/(L8+M8)</f>
        <v>66.355140186915889</v>
      </c>
    </row>
    <row r="9" spans="1:14" x14ac:dyDescent="0.2">
      <c r="C9">
        <v>4</v>
      </c>
      <c r="D9">
        <v>97</v>
      </c>
      <c r="E9">
        <v>6</v>
      </c>
      <c r="F9" s="5">
        <f>100*D9/(D9+E9)</f>
        <v>94.174757281553397</v>
      </c>
      <c r="H9">
        <v>99</v>
      </c>
      <c r="I9">
        <v>1</v>
      </c>
      <c r="J9" s="5">
        <f>100*H9/(H9+I9)</f>
        <v>99</v>
      </c>
      <c r="L9">
        <v>109</v>
      </c>
      <c r="M9">
        <v>1</v>
      </c>
      <c r="N9" s="5">
        <f>100*L9/(L9+M9)</f>
        <v>99.090909090909093</v>
      </c>
    </row>
    <row r="10" spans="1:14" x14ac:dyDescent="0.2">
      <c r="B10" t="s">
        <v>1</v>
      </c>
      <c r="C10">
        <v>0</v>
      </c>
      <c r="D10">
        <v>0</v>
      </c>
      <c r="E10">
        <v>100</v>
      </c>
      <c r="F10" s="5">
        <f>100*D10/(D10+E10)</f>
        <v>0</v>
      </c>
      <c r="H10">
        <v>0</v>
      </c>
      <c r="I10">
        <v>100</v>
      </c>
      <c r="J10" s="5">
        <f>100*H10/(H10+I10)</f>
        <v>0</v>
      </c>
      <c r="L10">
        <v>0</v>
      </c>
      <c r="M10">
        <v>100</v>
      </c>
      <c r="N10" s="5">
        <f>100*L10/(L10+M10)</f>
        <v>0</v>
      </c>
    </row>
    <row r="11" spans="1:14" x14ac:dyDescent="0.2">
      <c r="C11">
        <v>1</v>
      </c>
      <c r="D11">
        <v>92</v>
      </c>
      <c r="E11">
        <v>14</v>
      </c>
      <c r="F11" s="5">
        <f>100*D11/(D11+E11)</f>
        <v>86.79245283018868</v>
      </c>
      <c r="H11">
        <v>96</v>
      </c>
      <c r="I11">
        <v>14</v>
      </c>
      <c r="J11" s="5">
        <f>100*H11/(H11+I11)</f>
        <v>87.272727272727266</v>
      </c>
      <c r="L11">
        <v>105</v>
      </c>
      <c r="M11">
        <v>18</v>
      </c>
      <c r="N11" s="5">
        <f>100*L11/(L11+M11)</f>
        <v>85.365853658536579</v>
      </c>
    </row>
    <row r="12" spans="1:14" x14ac:dyDescent="0.2">
      <c r="C12">
        <v>4</v>
      </c>
      <c r="D12">
        <v>98</v>
      </c>
      <c r="E12">
        <v>4</v>
      </c>
      <c r="F12" s="5">
        <f>100*D12/(D12+E12)</f>
        <v>96.078431372549019</v>
      </c>
      <c r="H12">
        <v>100</v>
      </c>
      <c r="I12">
        <v>0</v>
      </c>
      <c r="J12" s="5">
        <f>100*H12/(H12+I12)</f>
        <v>100</v>
      </c>
      <c r="L12">
        <v>100</v>
      </c>
      <c r="M12">
        <v>0</v>
      </c>
      <c r="N12" s="5">
        <f>100*L12/(L12+M12)</f>
        <v>100</v>
      </c>
    </row>
    <row r="13" spans="1:14" x14ac:dyDescent="0.2">
      <c r="A13" t="s">
        <v>5</v>
      </c>
      <c r="B13" t="s">
        <v>0</v>
      </c>
      <c r="C13">
        <v>0</v>
      </c>
      <c r="D13">
        <v>0</v>
      </c>
      <c r="E13">
        <v>100</v>
      </c>
      <c r="F13" s="5">
        <f>100*D13/(D13+E13)</f>
        <v>0</v>
      </c>
      <c r="H13">
        <v>0</v>
      </c>
      <c r="I13">
        <v>100</v>
      </c>
      <c r="J13" s="5">
        <f>100*H13/(H13+I13)</f>
        <v>0</v>
      </c>
      <c r="L13">
        <v>0</v>
      </c>
      <c r="M13">
        <v>100</v>
      </c>
      <c r="N13" s="5">
        <f>100*L13/(L13+M13)</f>
        <v>0</v>
      </c>
    </row>
    <row r="14" spans="1:14" x14ac:dyDescent="0.2">
      <c r="C14">
        <v>1</v>
      </c>
      <c r="D14">
        <v>14</v>
      </c>
      <c r="E14">
        <v>100</v>
      </c>
      <c r="F14" s="5">
        <f>100*D14/(D14+E14)</f>
        <v>12.280701754385966</v>
      </c>
      <c r="H14">
        <v>8</v>
      </c>
      <c r="I14">
        <v>102</v>
      </c>
      <c r="J14" s="5">
        <f>100*H14/(H14+I14)</f>
        <v>7.2727272727272725</v>
      </c>
      <c r="L14">
        <v>4</v>
      </c>
      <c r="M14">
        <v>105</v>
      </c>
      <c r="N14" s="5">
        <f>100*L14/(L14+M14)</f>
        <v>3.669724770642202</v>
      </c>
    </row>
    <row r="15" spans="1:14" x14ac:dyDescent="0.2">
      <c r="C15">
        <v>4</v>
      </c>
      <c r="D15">
        <v>115</v>
      </c>
      <c r="E15">
        <v>17</v>
      </c>
      <c r="F15" s="5">
        <f>100*D15/(D15+E15)</f>
        <v>87.121212121212125</v>
      </c>
      <c r="H15">
        <v>95</v>
      </c>
      <c r="I15">
        <v>14</v>
      </c>
      <c r="J15" s="5">
        <f>100*H15/(H15+I15)</f>
        <v>87.155963302752298</v>
      </c>
      <c r="L15">
        <v>84</v>
      </c>
      <c r="M15">
        <v>11</v>
      </c>
      <c r="N15" s="5">
        <f>100*L15/(L15+M15)</f>
        <v>88.421052631578945</v>
      </c>
    </row>
    <row r="16" spans="1:14" x14ac:dyDescent="0.2">
      <c r="B16" t="s">
        <v>2</v>
      </c>
      <c r="C16">
        <v>0</v>
      </c>
      <c r="D16">
        <v>0</v>
      </c>
      <c r="E16">
        <v>100</v>
      </c>
      <c r="F16" s="5">
        <f>100*D16/(D16+E16)</f>
        <v>0</v>
      </c>
      <c r="H16">
        <v>0</v>
      </c>
      <c r="I16">
        <v>100</v>
      </c>
      <c r="J16" s="5">
        <f>100*H16/(H16+I16)</f>
        <v>0</v>
      </c>
      <c r="L16">
        <v>0</v>
      </c>
      <c r="M16">
        <v>100</v>
      </c>
      <c r="N16" s="5">
        <f>100*L16/(L16+M16)</f>
        <v>0</v>
      </c>
    </row>
    <row r="17" spans="1:14" x14ac:dyDescent="0.2">
      <c r="C17">
        <v>1</v>
      </c>
      <c r="D17">
        <v>12</v>
      </c>
      <c r="E17">
        <v>94</v>
      </c>
      <c r="F17" s="5">
        <f>100*D17/(D17+E17)</f>
        <v>11.320754716981131</v>
      </c>
      <c r="H17">
        <v>8</v>
      </c>
      <c r="I17">
        <v>92</v>
      </c>
      <c r="J17" s="5">
        <f>100*H17/(H17+I17)</f>
        <v>8</v>
      </c>
      <c r="L17">
        <v>6</v>
      </c>
      <c r="M17">
        <v>94</v>
      </c>
      <c r="N17" s="5">
        <f>100*L17/(L17+M17)</f>
        <v>6</v>
      </c>
    </row>
    <row r="18" spans="1:14" x14ac:dyDescent="0.2">
      <c r="C18">
        <v>4</v>
      </c>
      <c r="D18">
        <v>98</v>
      </c>
      <c r="E18">
        <v>18</v>
      </c>
      <c r="F18" s="5">
        <f>100*D18/(D18+E18)</f>
        <v>84.482758620689651</v>
      </c>
      <c r="H18">
        <v>119</v>
      </c>
      <c r="I18">
        <v>12</v>
      </c>
      <c r="J18" s="5">
        <f>100*H18/(H18+I18)</f>
        <v>90.839694656488547</v>
      </c>
      <c r="L18">
        <v>107</v>
      </c>
      <c r="M18">
        <v>6</v>
      </c>
      <c r="N18" s="5">
        <f>100*L18/(L18+M18)</f>
        <v>94.690265486725664</v>
      </c>
    </row>
    <row r="19" spans="1:14" x14ac:dyDescent="0.2">
      <c r="B19" t="s">
        <v>1</v>
      </c>
      <c r="C19">
        <v>0</v>
      </c>
      <c r="D19">
        <v>0</v>
      </c>
      <c r="E19">
        <v>100</v>
      </c>
      <c r="F19" s="5">
        <f>100*D19/(D19+E19)</f>
        <v>0</v>
      </c>
      <c r="H19">
        <v>0</v>
      </c>
      <c r="I19">
        <v>100</v>
      </c>
      <c r="J19" s="5">
        <f>100*H19/(H19+I19)</f>
        <v>0</v>
      </c>
      <c r="L19">
        <v>0</v>
      </c>
      <c r="M19">
        <v>100</v>
      </c>
      <c r="N19" s="5">
        <f>100*L19/(L19+M19)</f>
        <v>0</v>
      </c>
    </row>
    <row r="20" spans="1:14" x14ac:dyDescent="0.2">
      <c r="C20">
        <v>1</v>
      </c>
      <c r="D20">
        <v>92</v>
      </c>
      <c r="E20">
        <v>34</v>
      </c>
      <c r="F20" s="5">
        <f>100*D20/(D20+E20)</f>
        <v>73.015873015873012</v>
      </c>
      <c r="H20">
        <v>50</v>
      </c>
      <c r="I20">
        <v>52</v>
      </c>
      <c r="J20" s="5">
        <f>100*H20/(H20+I20)</f>
        <v>49.019607843137258</v>
      </c>
      <c r="L20">
        <v>62</v>
      </c>
      <c r="M20">
        <v>47</v>
      </c>
      <c r="N20" s="5">
        <f>100*L20/(L20+M20)</f>
        <v>56.88073394495413</v>
      </c>
    </row>
    <row r="21" spans="1:14" x14ac:dyDescent="0.2">
      <c r="C21">
        <v>4</v>
      </c>
      <c r="D21">
        <v>106</v>
      </c>
      <c r="E21">
        <v>6</v>
      </c>
      <c r="F21" s="5">
        <f>100*D21/(D21+E21)</f>
        <v>94.642857142857139</v>
      </c>
      <c r="H21">
        <v>115</v>
      </c>
      <c r="I21">
        <v>6</v>
      </c>
      <c r="J21" s="5">
        <f>100*H21/(H21+I21)</f>
        <v>95.04132231404958</v>
      </c>
      <c r="L21">
        <v>99</v>
      </c>
      <c r="M21">
        <v>8</v>
      </c>
      <c r="N21" s="5">
        <f>100*L21/(L21+M21)</f>
        <v>92.523364485981304</v>
      </c>
    </row>
    <row r="23" spans="1:14" x14ac:dyDescent="0.2">
      <c r="A23" t="s">
        <v>73</v>
      </c>
    </row>
    <row r="25" spans="1:14" x14ac:dyDescent="0.2">
      <c r="A25" s="4"/>
      <c r="B25" s="3" t="s">
        <v>4</v>
      </c>
      <c r="C25" s="3"/>
      <c r="D25" s="3"/>
      <c r="E25" s="3" t="s">
        <v>3</v>
      </c>
      <c r="F25" s="3"/>
      <c r="G25" s="3"/>
    </row>
    <row r="26" spans="1:14" x14ac:dyDescent="0.2">
      <c r="A26" s="2" t="s">
        <v>0</v>
      </c>
      <c r="B26" s="1">
        <v>5.59</v>
      </c>
      <c r="C26" s="1">
        <v>9.11</v>
      </c>
      <c r="D26" s="1"/>
      <c r="E26" s="1">
        <v>10.4</v>
      </c>
      <c r="F26" s="1">
        <v>18.399999999999999</v>
      </c>
      <c r="G26" s="1"/>
    </row>
    <row r="27" spans="1:14" x14ac:dyDescent="0.2">
      <c r="A27" s="2" t="s">
        <v>2</v>
      </c>
      <c r="B27" s="1">
        <v>3.24</v>
      </c>
      <c r="C27" s="1">
        <v>6.48</v>
      </c>
      <c r="D27" s="1"/>
      <c r="E27" s="1">
        <v>8.7200000000000006</v>
      </c>
      <c r="F27" s="1">
        <v>16.399999999999999</v>
      </c>
      <c r="G27" s="1"/>
    </row>
    <row r="28" spans="1:14" x14ac:dyDescent="0.2">
      <c r="A28" s="2" t="s">
        <v>1</v>
      </c>
      <c r="B28" s="1">
        <v>6.63</v>
      </c>
      <c r="C28" s="1">
        <v>12.9</v>
      </c>
      <c r="D28" s="1"/>
      <c r="E28" s="1">
        <v>27.1</v>
      </c>
      <c r="F28" s="1">
        <v>41.5</v>
      </c>
      <c r="G28" s="1"/>
    </row>
    <row r="29" spans="1:14" x14ac:dyDescent="0.2">
      <c r="A29" s="2" t="s">
        <v>0</v>
      </c>
      <c r="B29" s="1">
        <v>4.6100000000000003</v>
      </c>
      <c r="C29" s="1">
        <v>7.67</v>
      </c>
      <c r="D29" s="1"/>
      <c r="E29" s="1">
        <v>4.71</v>
      </c>
      <c r="F29" s="1">
        <v>8.4700000000000006</v>
      </c>
      <c r="G29" s="1"/>
    </row>
    <row r="30" spans="1:14" x14ac:dyDescent="0.2">
      <c r="A30" s="2" t="s">
        <v>0</v>
      </c>
      <c r="B30" s="1">
        <v>3.03</v>
      </c>
      <c r="C30" s="1">
        <v>5.07</v>
      </c>
      <c r="D30" s="1"/>
      <c r="E30" s="1">
        <v>3.48</v>
      </c>
      <c r="F30" s="1">
        <v>6.35</v>
      </c>
      <c r="G30" s="1"/>
    </row>
    <row r="31" spans="1:14" x14ac:dyDescent="0.2">
      <c r="A31" s="2" t="s">
        <v>2</v>
      </c>
      <c r="B31" s="1">
        <v>1.66</v>
      </c>
      <c r="C31" s="1">
        <v>3.1</v>
      </c>
      <c r="D31" s="1"/>
      <c r="E31" s="1">
        <v>3.9</v>
      </c>
      <c r="F31" s="1">
        <v>8.1199999999999992</v>
      </c>
      <c r="G31" s="1"/>
    </row>
    <row r="32" spans="1:14" x14ac:dyDescent="0.2">
      <c r="A32" s="2" t="s">
        <v>1</v>
      </c>
      <c r="B32" s="1">
        <v>2.2799999999999998</v>
      </c>
      <c r="C32" s="1">
        <v>4.38</v>
      </c>
      <c r="D32" s="1"/>
      <c r="E32" s="1">
        <v>12</v>
      </c>
      <c r="F32" s="1">
        <v>20.399999999999999</v>
      </c>
      <c r="G32" s="1"/>
    </row>
    <row r="33" spans="1:7" x14ac:dyDescent="0.2">
      <c r="A33" s="2" t="s">
        <v>0</v>
      </c>
      <c r="B33" s="1">
        <v>3.05</v>
      </c>
      <c r="C33" s="1">
        <v>5.03</v>
      </c>
      <c r="D33" s="1"/>
      <c r="E33" s="1">
        <v>2.85</v>
      </c>
      <c r="F33" s="1">
        <v>4.51</v>
      </c>
      <c r="G33" s="1"/>
    </row>
  </sheetData>
  <mergeCells count="2">
    <mergeCell ref="B25:D25"/>
    <mergeCell ref="E25:G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103" workbookViewId="0">
      <selection activeCell="I3" sqref="I3"/>
    </sheetView>
  </sheetViews>
  <sheetFormatPr baseColWidth="10" defaultRowHeight="16" x14ac:dyDescent="0.2"/>
  <cols>
    <col min="1" max="1" width="15.6640625" customWidth="1"/>
    <col min="2" max="3" width="7.6640625" customWidth="1"/>
    <col min="4" max="5" width="10.6640625" style="7" customWidth="1"/>
    <col min="6" max="6" width="10.6640625" style="5" customWidth="1"/>
    <col min="7" max="8" width="10.6640625" style="7" customWidth="1"/>
    <col min="9" max="9" width="10.6640625" style="6" customWidth="1"/>
  </cols>
  <sheetData>
    <row r="1" spans="1:9" x14ac:dyDescent="0.2">
      <c r="A1" t="s">
        <v>75</v>
      </c>
    </row>
    <row r="3" spans="1:9" x14ac:dyDescent="0.2">
      <c r="A3" t="s">
        <v>44</v>
      </c>
      <c r="B3" t="s">
        <v>45</v>
      </c>
    </row>
    <row r="4" spans="1:9" x14ac:dyDescent="0.2">
      <c r="A4" t="s">
        <v>0</v>
      </c>
    </row>
    <row r="5" spans="1:9" x14ac:dyDescent="0.2">
      <c r="A5" t="s">
        <v>6</v>
      </c>
    </row>
    <row r="7" spans="1:9" x14ac:dyDescent="0.2">
      <c r="A7" s="12" t="s">
        <v>30</v>
      </c>
      <c r="B7" s="12" t="s">
        <v>29</v>
      </c>
      <c r="C7" s="12" t="s">
        <v>28</v>
      </c>
      <c r="D7" s="10" t="s">
        <v>27</v>
      </c>
      <c r="E7" s="10" t="s">
        <v>26</v>
      </c>
      <c r="F7" s="11" t="s">
        <v>25</v>
      </c>
      <c r="G7" s="10" t="s">
        <v>24</v>
      </c>
      <c r="H7" s="10" t="s">
        <v>23</v>
      </c>
      <c r="I7" s="9" t="s">
        <v>22</v>
      </c>
    </row>
    <row r="8" spans="1:9" x14ac:dyDescent="0.2">
      <c r="A8" t="s">
        <v>43</v>
      </c>
      <c r="B8">
        <v>1</v>
      </c>
      <c r="C8">
        <v>1</v>
      </c>
      <c r="D8" s="7">
        <v>2.3380000000000001</v>
      </c>
      <c r="E8" s="7">
        <f>0.138+0.108</f>
        <v>0.246</v>
      </c>
      <c r="F8" s="5">
        <f>100*E8/D8</f>
        <v>10.521813515825492</v>
      </c>
      <c r="G8" s="7">
        <v>1.036</v>
      </c>
      <c r="H8" s="7">
        <f>G8*(500/310)</f>
        <v>1.6709677419354838</v>
      </c>
      <c r="I8" s="6">
        <v>1</v>
      </c>
    </row>
    <row r="9" spans="1:9" x14ac:dyDescent="0.2">
      <c r="B9">
        <v>2</v>
      </c>
      <c r="C9">
        <v>2</v>
      </c>
      <c r="D9" s="7">
        <v>0.879</v>
      </c>
      <c r="E9" s="7">
        <f>0.449+0.116</f>
        <v>0.56500000000000006</v>
      </c>
      <c r="F9" s="5">
        <f>100*E9/D9</f>
        <v>64.277588168373157</v>
      </c>
      <c r="G9" s="7">
        <v>0.32400000000000001</v>
      </c>
      <c r="H9" s="7">
        <f>G9*(500/310)</f>
        <v>0.52258064516129032</v>
      </c>
      <c r="I9" s="6">
        <v>1</v>
      </c>
    </row>
    <row r="10" spans="1:9" x14ac:dyDescent="0.2">
      <c r="B10">
        <v>3</v>
      </c>
      <c r="C10">
        <v>3</v>
      </c>
      <c r="D10" s="7">
        <v>0.82</v>
      </c>
      <c r="E10" s="7">
        <f>0.262+0.366</f>
        <v>0.628</v>
      </c>
      <c r="F10" s="5">
        <f>100*E10/D10</f>
        <v>76.585365853658544</v>
      </c>
      <c r="G10" s="7">
        <v>0.32800000000000001</v>
      </c>
      <c r="H10" s="7">
        <f>G10*(500/310)</f>
        <v>0.52903225806451615</v>
      </c>
      <c r="I10" s="6">
        <v>1</v>
      </c>
    </row>
    <row r="11" spans="1:9" x14ac:dyDescent="0.2">
      <c r="B11">
        <v>4</v>
      </c>
      <c r="C11">
        <v>4</v>
      </c>
      <c r="D11" s="7">
        <v>1.9039999999999999</v>
      </c>
      <c r="E11" s="7">
        <f>0.398+0.235+0.182+0.178</f>
        <v>0.99299999999999988</v>
      </c>
      <c r="F11" s="5">
        <f>100*E11/D11</f>
        <v>52.153361344537807</v>
      </c>
      <c r="G11" s="7">
        <v>0.85699999999999998</v>
      </c>
      <c r="H11" s="7">
        <f>G11*(500/310)</f>
        <v>1.3822580645161289</v>
      </c>
      <c r="I11" s="6">
        <v>1</v>
      </c>
    </row>
    <row r="12" spans="1:9" x14ac:dyDescent="0.2">
      <c r="B12">
        <v>5</v>
      </c>
      <c r="C12">
        <v>5</v>
      </c>
      <c r="D12" s="7">
        <v>3.448</v>
      </c>
      <c r="E12" s="7">
        <f>0.219+0.12+0.464</f>
        <v>0.80299999999999994</v>
      </c>
      <c r="F12" s="5">
        <f>100*E12/D12</f>
        <v>23.288863109048723</v>
      </c>
      <c r="G12" s="7">
        <v>1.5169999999999999</v>
      </c>
      <c r="H12" s="7">
        <f>G12*(500/310)</f>
        <v>2.4467741935483867</v>
      </c>
      <c r="I12" s="6">
        <v>1</v>
      </c>
    </row>
    <row r="13" spans="1:9" x14ac:dyDescent="0.2">
      <c r="B13">
        <v>6</v>
      </c>
      <c r="C13">
        <v>6</v>
      </c>
      <c r="D13" s="7">
        <v>3.899</v>
      </c>
      <c r="E13" s="7">
        <f>0.472+0.219+0.329</f>
        <v>1.02</v>
      </c>
      <c r="F13" s="5">
        <f>100*E13/D13</f>
        <v>26.160553988202103</v>
      </c>
      <c r="G13" s="7">
        <v>1.798</v>
      </c>
      <c r="H13" s="7">
        <f>G13*(500/310)</f>
        <v>2.9</v>
      </c>
      <c r="I13" s="6">
        <v>1</v>
      </c>
    </row>
    <row r="14" spans="1:9" x14ac:dyDescent="0.2">
      <c r="B14">
        <v>7</v>
      </c>
      <c r="C14">
        <v>7</v>
      </c>
      <c r="D14" s="7">
        <v>3.9409999999999998</v>
      </c>
      <c r="E14" s="7">
        <f>0.193+0.189+0.594</f>
        <v>0.97599999999999998</v>
      </c>
      <c r="F14" s="5">
        <f>100*E14/D14</f>
        <v>24.765287997970059</v>
      </c>
      <c r="G14" s="7">
        <v>1.7010000000000001</v>
      </c>
      <c r="H14" s="7">
        <f>G14*(500/310)</f>
        <v>2.7435483870967743</v>
      </c>
      <c r="I14" s="6">
        <v>1</v>
      </c>
    </row>
    <row r="15" spans="1:9" x14ac:dyDescent="0.2">
      <c r="B15">
        <v>8</v>
      </c>
      <c r="C15">
        <v>8</v>
      </c>
      <c r="D15" s="7">
        <v>2.1110000000000002</v>
      </c>
      <c r="E15" s="7">
        <f>0.215+0.116</f>
        <v>0.33100000000000002</v>
      </c>
      <c r="F15" s="5">
        <f>100*E15/D15</f>
        <v>15.679772619611558</v>
      </c>
      <c r="G15" s="7">
        <v>0.95099999999999996</v>
      </c>
      <c r="H15" s="7">
        <f>G15*(500/310)</f>
        <v>1.5338709677419353</v>
      </c>
      <c r="I15" s="6">
        <v>1</v>
      </c>
    </row>
    <row r="16" spans="1:9" x14ac:dyDescent="0.2">
      <c r="A16" t="s">
        <v>42</v>
      </c>
      <c r="B16">
        <v>9</v>
      </c>
      <c r="C16">
        <v>1</v>
      </c>
      <c r="D16" s="7">
        <v>3.12</v>
      </c>
      <c r="E16" s="7">
        <f>0.304+0.459+0.157+0.144</f>
        <v>1.0640000000000001</v>
      </c>
      <c r="F16" s="5">
        <f>100*E16/D16</f>
        <v>34.102564102564102</v>
      </c>
      <c r="G16" s="7">
        <v>1.42</v>
      </c>
      <c r="H16" s="7">
        <f>G16*(500/310)</f>
        <v>2.290322580645161</v>
      </c>
      <c r="I16" s="6">
        <v>1</v>
      </c>
    </row>
    <row r="17" spans="1:9" x14ac:dyDescent="0.2">
      <c r="B17">
        <v>10</v>
      </c>
      <c r="C17">
        <v>2</v>
      </c>
      <c r="D17" s="7">
        <v>3.931</v>
      </c>
      <c r="E17" s="7">
        <f>0.81+1.718</f>
        <v>2.528</v>
      </c>
      <c r="F17" s="5">
        <f>100*E17/D17</f>
        <v>64.309336046807431</v>
      </c>
      <c r="G17" s="7">
        <v>1.698</v>
      </c>
      <c r="H17" s="7">
        <f>G17*(500/310)</f>
        <v>2.7387096774193544</v>
      </c>
      <c r="I17" s="6">
        <v>1</v>
      </c>
    </row>
    <row r="18" spans="1:9" x14ac:dyDescent="0.2">
      <c r="B18">
        <v>11</v>
      </c>
      <c r="C18">
        <v>3</v>
      </c>
      <c r="D18" s="7">
        <v>0.95799999999999996</v>
      </c>
      <c r="E18" s="7">
        <f>0.097+0.218</f>
        <v>0.315</v>
      </c>
      <c r="F18" s="5">
        <f>100*E18/D18</f>
        <v>32.881002087682674</v>
      </c>
      <c r="G18" s="7">
        <v>0.34399999999999997</v>
      </c>
      <c r="H18" s="7">
        <f>G18*(500/310)</f>
        <v>0.55483870967741933</v>
      </c>
      <c r="I18" s="6">
        <v>1</v>
      </c>
    </row>
    <row r="19" spans="1:9" x14ac:dyDescent="0.2">
      <c r="B19">
        <v>12</v>
      </c>
      <c r="C19">
        <v>4</v>
      </c>
      <c r="D19" s="7">
        <v>5.3869999999999996</v>
      </c>
      <c r="E19" s="7">
        <f>0.219+0.173+0.055+0.13+0.357</f>
        <v>0.93399999999999994</v>
      </c>
      <c r="F19" s="5">
        <f>100*E19/D19</f>
        <v>17.338036012622982</v>
      </c>
      <c r="G19" s="7">
        <v>2.4740000000000002</v>
      </c>
      <c r="H19" s="7">
        <f>G19*(500/310)</f>
        <v>3.9903225806451612</v>
      </c>
      <c r="I19" s="6">
        <v>1</v>
      </c>
    </row>
    <row r="20" spans="1:9" x14ac:dyDescent="0.2">
      <c r="B20">
        <v>13</v>
      </c>
      <c r="C20">
        <v>5</v>
      </c>
      <c r="D20" s="7">
        <v>0.99199999999999999</v>
      </c>
      <c r="E20" s="7">
        <v>0.70599999999999996</v>
      </c>
      <c r="F20" s="5">
        <f>100*E20/D20</f>
        <v>71.169354838709666</v>
      </c>
      <c r="G20" s="7">
        <v>0.32600000000000001</v>
      </c>
      <c r="H20" s="7">
        <f>G20*(500/310)</f>
        <v>0.52580645161290318</v>
      </c>
      <c r="I20" s="6">
        <v>1</v>
      </c>
    </row>
    <row r="21" spans="1:9" x14ac:dyDescent="0.2">
      <c r="A21" t="s">
        <v>41</v>
      </c>
      <c r="B21">
        <v>14</v>
      </c>
      <c r="C21">
        <v>1</v>
      </c>
      <c r="D21" s="7">
        <v>4.3280000000000003</v>
      </c>
      <c r="E21" s="7">
        <f>0.085+0.281+0.102+0.313+0.273</f>
        <v>1.054</v>
      </c>
      <c r="F21" s="5">
        <f>100*E21/D21</f>
        <v>24.353049907578558</v>
      </c>
      <c r="G21" s="7">
        <v>2.008</v>
      </c>
      <c r="H21" s="7">
        <f>G21*(500/310)</f>
        <v>3.2387096774193544</v>
      </c>
      <c r="I21" s="6">
        <v>1</v>
      </c>
    </row>
    <row r="22" spans="1:9" x14ac:dyDescent="0.2">
      <c r="B22">
        <v>15</v>
      </c>
      <c r="C22">
        <v>2</v>
      </c>
      <c r="D22" s="7">
        <v>2.218</v>
      </c>
      <c r="E22" s="7">
        <f>0.144+0.114+0.537</f>
        <v>0.79500000000000004</v>
      </c>
      <c r="F22" s="5">
        <f>100*E22/D22</f>
        <v>35.843101893597833</v>
      </c>
      <c r="G22" s="7">
        <v>0.96699999999999997</v>
      </c>
      <c r="H22" s="7">
        <f>G22*(500/310)</f>
        <v>1.5596774193548386</v>
      </c>
      <c r="I22" s="6">
        <v>1</v>
      </c>
    </row>
    <row r="23" spans="1:9" x14ac:dyDescent="0.2">
      <c r="B23">
        <v>16</v>
      </c>
      <c r="C23">
        <v>3</v>
      </c>
      <c r="D23" s="7">
        <v>1.1140000000000001</v>
      </c>
      <c r="E23" s="7">
        <f>0.202+0.251</f>
        <v>0.45300000000000001</v>
      </c>
      <c r="F23" s="5">
        <f>100*E23/D23</f>
        <v>40.664272890484739</v>
      </c>
      <c r="G23" s="7">
        <v>0.46899999999999997</v>
      </c>
      <c r="H23" s="7">
        <f>G23*(500/310)</f>
        <v>0.75645161290322571</v>
      </c>
      <c r="I23" s="6">
        <v>1</v>
      </c>
    </row>
    <row r="24" spans="1:9" x14ac:dyDescent="0.2">
      <c r="B24">
        <v>17</v>
      </c>
      <c r="C24">
        <v>4</v>
      </c>
      <c r="D24" s="7">
        <v>6.06</v>
      </c>
      <c r="E24" s="7">
        <f>0.16+0.297+0.697+0.112+0.155+0.206+1.103</f>
        <v>2.73</v>
      </c>
      <c r="F24" s="5">
        <f>100*E24/D24</f>
        <v>45.049504950495056</v>
      </c>
      <c r="G24" s="7">
        <v>2.2160000000000002</v>
      </c>
      <c r="H24" s="7">
        <f>G24*(500/310)</f>
        <v>3.5741935483870968</v>
      </c>
      <c r="I24" s="6">
        <v>1</v>
      </c>
    </row>
    <row r="25" spans="1:9" x14ac:dyDescent="0.2">
      <c r="B25">
        <v>18</v>
      </c>
      <c r="C25">
        <v>5</v>
      </c>
      <c r="D25" s="7">
        <v>2.5950000000000002</v>
      </c>
      <c r="E25" s="7">
        <f>0.177+0.353+0.194</f>
        <v>0.72399999999999998</v>
      </c>
      <c r="F25" s="5">
        <f>100*E25/D25</f>
        <v>27.899807321772634</v>
      </c>
      <c r="G25" s="7">
        <v>1.258</v>
      </c>
      <c r="H25" s="7">
        <f>G25*(500/310)</f>
        <v>2.0290322580645159</v>
      </c>
      <c r="I25" s="6">
        <v>1</v>
      </c>
    </row>
    <row r="26" spans="1:9" x14ac:dyDescent="0.2">
      <c r="B26">
        <v>19</v>
      </c>
      <c r="C26">
        <v>6</v>
      </c>
      <c r="D26" s="7">
        <v>3.2370000000000001</v>
      </c>
      <c r="E26" s="7">
        <f>0.564+0.418+0.647</f>
        <v>1.629</v>
      </c>
      <c r="F26" s="5">
        <f>100*E26/D26</f>
        <v>50.324374420759966</v>
      </c>
      <c r="G26" s="7">
        <v>1.4279999999999999</v>
      </c>
      <c r="H26" s="7">
        <f>G26*(500/310)</f>
        <v>2.3032258064516125</v>
      </c>
      <c r="I26" s="6">
        <v>1</v>
      </c>
    </row>
    <row r="27" spans="1:9" x14ac:dyDescent="0.2">
      <c r="B27">
        <v>20</v>
      </c>
      <c r="C27">
        <v>7</v>
      </c>
      <c r="D27" s="7">
        <v>2.786</v>
      </c>
      <c r="E27" s="7">
        <f>0.187+0.545+0.175</f>
        <v>0.90700000000000003</v>
      </c>
      <c r="F27" s="5">
        <f>100*E27/D27</f>
        <v>32.555635319454417</v>
      </c>
      <c r="G27" s="7">
        <v>1.2430000000000001</v>
      </c>
      <c r="H27" s="7">
        <f>G27*(500/310)</f>
        <v>2.0048387096774194</v>
      </c>
      <c r="I27" s="6">
        <v>1</v>
      </c>
    </row>
    <row r="28" spans="1:9" x14ac:dyDescent="0.2">
      <c r="B28">
        <v>21</v>
      </c>
      <c r="C28">
        <v>8</v>
      </c>
      <c r="D28" s="7">
        <v>2.113</v>
      </c>
      <c r="E28" s="7">
        <f>0.651+0.211+0.12</f>
        <v>0.98199999999999998</v>
      </c>
      <c r="F28" s="5">
        <f>100*E28/D28</f>
        <v>46.474207288215808</v>
      </c>
      <c r="G28" s="7">
        <v>0.82699999999999996</v>
      </c>
      <c r="H28" s="7">
        <f>G28*(500/310)</f>
        <v>1.3338709677419354</v>
      </c>
      <c r="I28" s="6">
        <v>1</v>
      </c>
    </row>
    <row r="29" spans="1:9" x14ac:dyDescent="0.2">
      <c r="B29">
        <v>22</v>
      </c>
      <c r="C29">
        <v>9</v>
      </c>
      <c r="D29" s="7">
        <v>2.5369999999999999</v>
      </c>
      <c r="E29" s="7">
        <f>0.585+0.336</f>
        <v>0.92100000000000004</v>
      </c>
      <c r="F29" s="5">
        <f>100*E29/D29</f>
        <v>36.302719747733548</v>
      </c>
      <c r="G29" s="7">
        <v>1.103</v>
      </c>
      <c r="H29" s="7">
        <f>G29*(500/310)</f>
        <v>1.7790322580645159</v>
      </c>
      <c r="I29" s="6">
        <v>1</v>
      </c>
    </row>
    <row r="30" spans="1:9" x14ac:dyDescent="0.2">
      <c r="A30" t="s">
        <v>40</v>
      </c>
      <c r="B30">
        <v>23</v>
      </c>
      <c r="C30">
        <v>1</v>
      </c>
      <c r="D30" s="7">
        <v>5.8529999999999998</v>
      </c>
      <c r="E30" s="7">
        <f>0.256+0.591+0.195+0.136+0.158+0.549+0.348</f>
        <v>2.2329999999999997</v>
      </c>
      <c r="F30" s="5">
        <f>100*E30/D30</f>
        <v>38.151375363061675</v>
      </c>
      <c r="G30" s="7">
        <v>2.8029999999999999</v>
      </c>
      <c r="H30" s="7">
        <f>G30*(500/310)</f>
        <v>4.5209677419354835</v>
      </c>
      <c r="I30" s="6">
        <v>1</v>
      </c>
    </row>
    <row r="31" spans="1:9" x14ac:dyDescent="0.2">
      <c r="B31">
        <v>24</v>
      </c>
      <c r="C31">
        <v>2</v>
      </c>
      <c r="D31" s="7">
        <v>1.056</v>
      </c>
      <c r="E31" s="7">
        <v>0.35099999999999998</v>
      </c>
      <c r="F31" s="5">
        <f>100*E31/D31</f>
        <v>33.23863636363636</v>
      </c>
      <c r="G31" s="7">
        <v>0.41599999999999998</v>
      </c>
      <c r="H31" s="7">
        <f>G31*(500/310)</f>
        <v>0.67096774193548381</v>
      </c>
      <c r="I31" s="6">
        <v>1</v>
      </c>
    </row>
    <row r="32" spans="1:9" x14ac:dyDescent="0.2">
      <c r="B32">
        <v>25</v>
      </c>
      <c r="C32">
        <v>3</v>
      </c>
      <c r="D32" s="7">
        <v>2.6459999999999999</v>
      </c>
      <c r="E32" s="7">
        <f>0.097+0.608+0.257</f>
        <v>0.96199999999999997</v>
      </c>
      <c r="F32" s="5">
        <f>100*E32/D32</f>
        <v>36.356764928193499</v>
      </c>
      <c r="G32" s="7">
        <v>1.2509999999999999</v>
      </c>
      <c r="H32" s="7">
        <f>G32*(500/310)</f>
        <v>2.0177419354838708</v>
      </c>
      <c r="I32" s="6">
        <v>1</v>
      </c>
    </row>
    <row r="33" spans="2:9" x14ac:dyDescent="0.2">
      <c r="B33">
        <v>26</v>
      </c>
      <c r="C33">
        <v>4</v>
      </c>
      <c r="D33" s="7">
        <v>1.73</v>
      </c>
      <c r="E33" s="7">
        <f>0.167+0.23+0.578</f>
        <v>0.97499999999999998</v>
      </c>
      <c r="F33" s="5">
        <f>100*E33/D33</f>
        <v>56.358381502890175</v>
      </c>
      <c r="G33" s="7">
        <v>0.78800000000000003</v>
      </c>
      <c r="H33" s="7">
        <f>G33*(500/310)</f>
        <v>1.2709677419354839</v>
      </c>
      <c r="I33" s="6">
        <v>1</v>
      </c>
    </row>
    <row r="34" spans="2:9" x14ac:dyDescent="0.2">
      <c r="B34">
        <v>27</v>
      </c>
      <c r="C34">
        <v>5</v>
      </c>
      <c r="D34" s="7">
        <v>0.88</v>
      </c>
      <c r="E34" s="7">
        <v>0.48499999999999999</v>
      </c>
      <c r="F34" s="5">
        <f>100*E34/D34</f>
        <v>55.113636363636367</v>
      </c>
      <c r="G34" s="7">
        <v>0.28699999999999998</v>
      </c>
      <c r="H34" s="7">
        <f>G34*(500/310)</f>
        <v>0.46290322580645155</v>
      </c>
      <c r="I34" s="6">
        <v>1</v>
      </c>
    </row>
    <row r="35" spans="2:9" x14ac:dyDescent="0.2">
      <c r="B35">
        <v>28</v>
      </c>
      <c r="C35">
        <v>6</v>
      </c>
      <c r="D35" s="7">
        <v>1.46</v>
      </c>
      <c r="E35" s="7">
        <f>0.046+0.09+0.358</f>
        <v>0.49399999999999999</v>
      </c>
      <c r="F35" s="5">
        <f>100*E35/D35</f>
        <v>33.835616438356162</v>
      </c>
      <c r="G35" s="7">
        <v>0.64300000000000002</v>
      </c>
      <c r="H35" s="7">
        <f>G35*(500/310)</f>
        <v>1.0370967741935484</v>
      </c>
      <c r="I35" s="6">
        <v>1</v>
      </c>
    </row>
    <row r="36" spans="2:9" x14ac:dyDescent="0.2">
      <c r="B36">
        <v>29</v>
      </c>
      <c r="C36">
        <v>7</v>
      </c>
      <c r="D36" s="7">
        <v>0.79200000000000004</v>
      </c>
      <c r="E36" s="7">
        <f>0.259+0.122</f>
        <v>0.38100000000000001</v>
      </c>
      <c r="F36" s="5">
        <f>100*E36/D36</f>
        <v>48.106060606060609</v>
      </c>
      <c r="G36" s="7">
        <v>0.27300000000000002</v>
      </c>
      <c r="H36" s="7">
        <f>G36*(500/310)</f>
        <v>0.44032258064516128</v>
      </c>
      <c r="I36" s="6">
        <v>1</v>
      </c>
    </row>
    <row r="37" spans="2:9" x14ac:dyDescent="0.2">
      <c r="B37">
        <v>30</v>
      </c>
      <c r="C37">
        <v>8</v>
      </c>
      <c r="D37" s="7">
        <v>1.3759999999999999</v>
      </c>
      <c r="E37" s="7">
        <f>0.252+0.294</f>
        <v>0.54600000000000004</v>
      </c>
      <c r="F37" s="5">
        <f>100*E37/D37</f>
        <v>39.680232558139537</v>
      </c>
      <c r="G37" s="7">
        <v>0.53300000000000003</v>
      </c>
      <c r="H37" s="7">
        <f>G37*(500/310)</f>
        <v>0.85967741935483866</v>
      </c>
      <c r="I37" s="6">
        <v>1</v>
      </c>
    </row>
    <row r="38" spans="2:9" x14ac:dyDescent="0.2">
      <c r="B38">
        <v>31</v>
      </c>
      <c r="C38">
        <v>9</v>
      </c>
      <c r="D38" s="7">
        <v>1.6719999999999999</v>
      </c>
      <c r="E38" s="7">
        <f>0.32+0.071</f>
        <v>0.39100000000000001</v>
      </c>
      <c r="F38" s="5">
        <f>100*E38/D38</f>
        <v>23.385167464114833</v>
      </c>
      <c r="G38" s="7">
        <v>0.73299999999999998</v>
      </c>
      <c r="H38" s="7">
        <f>G38*(500/310)</f>
        <v>1.1822580645161289</v>
      </c>
      <c r="I38" s="6">
        <v>1</v>
      </c>
    </row>
    <row r="39" spans="2:9" x14ac:dyDescent="0.2">
      <c r="B39">
        <v>32</v>
      </c>
      <c r="C39">
        <v>10</v>
      </c>
      <c r="D39" s="7">
        <v>0.82599999999999996</v>
      </c>
      <c r="E39" s="7">
        <v>0.248</v>
      </c>
      <c r="F39" s="5">
        <f>100*E39/D39</f>
        <v>30.024213075060533</v>
      </c>
      <c r="G39" s="7">
        <v>0.27300000000000002</v>
      </c>
      <c r="H39" s="7">
        <f>G39*(500/310)</f>
        <v>0.44032258064516128</v>
      </c>
      <c r="I39" s="6">
        <v>1</v>
      </c>
    </row>
    <row r="40" spans="2:9" x14ac:dyDescent="0.2">
      <c r="B40">
        <v>33</v>
      </c>
      <c r="C40">
        <v>11</v>
      </c>
      <c r="D40" s="7">
        <v>2.2669999999999999</v>
      </c>
      <c r="E40" s="7">
        <v>0.56499999999999995</v>
      </c>
      <c r="F40" s="5">
        <f>100*E40/D40</f>
        <v>24.922805469783853</v>
      </c>
      <c r="G40" s="7">
        <v>0.97799999999999998</v>
      </c>
      <c r="H40" s="7">
        <f>G40*(500/310)</f>
        <v>1.5774193548387097</v>
      </c>
      <c r="I40" s="6">
        <v>1</v>
      </c>
    </row>
    <row r="41" spans="2:9" x14ac:dyDescent="0.2">
      <c r="B41">
        <v>34</v>
      </c>
      <c r="C41">
        <v>12</v>
      </c>
      <c r="D41" s="7">
        <v>1.095</v>
      </c>
      <c r="E41" s="7">
        <f>0.274+0.273</f>
        <v>0.54700000000000004</v>
      </c>
      <c r="F41" s="5">
        <f>100*E41/D41</f>
        <v>49.954337899543383</v>
      </c>
      <c r="G41" s="7">
        <v>0.45</v>
      </c>
      <c r="H41" s="7">
        <f>G41*(500/310)</f>
        <v>0.72580645161290325</v>
      </c>
      <c r="I41" s="6">
        <v>1</v>
      </c>
    </row>
    <row r="42" spans="2:9" x14ac:dyDescent="0.2">
      <c r="B42">
        <v>35</v>
      </c>
      <c r="C42">
        <v>13</v>
      </c>
      <c r="D42" s="7">
        <v>4.1340000000000003</v>
      </c>
      <c r="E42" s="7">
        <f>0.669+2.527</f>
        <v>3.1960000000000002</v>
      </c>
      <c r="F42" s="5">
        <f>100*E42/D42</f>
        <v>77.310111272375423</v>
      </c>
      <c r="G42" s="7">
        <v>1.849</v>
      </c>
      <c r="H42" s="7">
        <f>G42*(500/310)</f>
        <v>2.9822580645161287</v>
      </c>
      <c r="I42" s="6">
        <v>1</v>
      </c>
    </row>
    <row r="43" spans="2:9" x14ac:dyDescent="0.2">
      <c r="B43">
        <v>36</v>
      </c>
      <c r="C43">
        <v>14</v>
      </c>
      <c r="D43" s="7">
        <v>7.1550000000000002</v>
      </c>
      <c r="E43" s="7">
        <f>1.161+0.607+0.04+1.686+1.589</f>
        <v>5.0830000000000002</v>
      </c>
      <c r="F43" s="5">
        <f>100*E43/D43</f>
        <v>71.041229909154438</v>
      </c>
      <c r="G43" s="7">
        <v>3.1970000000000001</v>
      </c>
      <c r="H43" s="7">
        <f>G43*(500/310)</f>
        <v>5.1564516129032256</v>
      </c>
      <c r="I43" s="6">
        <v>1</v>
      </c>
    </row>
    <row r="44" spans="2:9" x14ac:dyDescent="0.2">
      <c r="B44">
        <v>37</v>
      </c>
      <c r="C44">
        <v>15</v>
      </c>
      <c r="D44" s="7">
        <v>1.524</v>
      </c>
      <c r="E44" s="7">
        <f>1.028+0.23</f>
        <v>1.258</v>
      </c>
      <c r="F44" s="5">
        <f>100*E44/D44</f>
        <v>82.545931758530187</v>
      </c>
      <c r="G44" s="7">
        <v>0.68200000000000005</v>
      </c>
      <c r="H44" s="7">
        <f>G44*(500/310)</f>
        <v>1.1000000000000001</v>
      </c>
      <c r="I44" s="6">
        <v>1</v>
      </c>
    </row>
    <row r="45" spans="2:9" x14ac:dyDescent="0.2">
      <c r="B45">
        <v>38</v>
      </c>
      <c r="C45">
        <v>16</v>
      </c>
      <c r="D45" s="7">
        <v>0.88900000000000001</v>
      </c>
      <c r="E45" s="7">
        <f>0.241+0.438</f>
        <v>0.67900000000000005</v>
      </c>
      <c r="F45" s="5">
        <f>100*E45/D45</f>
        <v>76.377952755905511</v>
      </c>
      <c r="G45" s="7">
        <v>0.41199999999999998</v>
      </c>
      <c r="H45" s="7">
        <f>G45*(500/310)</f>
        <v>0.66451612903225799</v>
      </c>
      <c r="I45" s="6">
        <v>1</v>
      </c>
    </row>
    <row r="46" spans="2:9" x14ac:dyDescent="0.2">
      <c r="B46">
        <v>39</v>
      </c>
      <c r="C46">
        <v>17</v>
      </c>
      <c r="D46" s="7">
        <v>2.9380000000000002</v>
      </c>
      <c r="E46" s="7">
        <f>1.061+0.145</f>
        <v>1.206</v>
      </c>
      <c r="F46" s="5">
        <f>100*E46/D46</f>
        <v>41.048332198774673</v>
      </c>
      <c r="G46" s="7">
        <v>0.57299999999999995</v>
      </c>
      <c r="H46" s="7">
        <f>G46*(500/310)</f>
        <v>0.92419354838709666</v>
      </c>
      <c r="I46" s="6">
        <v>1</v>
      </c>
    </row>
    <row r="47" spans="2:9" x14ac:dyDescent="0.2">
      <c r="B47">
        <v>40</v>
      </c>
      <c r="C47">
        <v>18</v>
      </c>
      <c r="D47" s="7">
        <v>1.073</v>
      </c>
      <c r="E47" s="7">
        <f>0.555+0.257</f>
        <v>0.81200000000000006</v>
      </c>
      <c r="F47" s="5">
        <f>100*E47/D47</f>
        <v>75.675675675675677</v>
      </c>
      <c r="G47" s="7">
        <v>0.40799999999999997</v>
      </c>
      <c r="H47" s="7">
        <f>G47*(500/310)</f>
        <v>0.65806451612903216</v>
      </c>
      <c r="I47" s="6">
        <v>1</v>
      </c>
    </row>
    <row r="48" spans="2:9" x14ac:dyDescent="0.2">
      <c r="B48">
        <v>41</v>
      </c>
      <c r="C48">
        <v>19</v>
      </c>
      <c r="D48" s="7">
        <v>2.4849999999999999</v>
      </c>
      <c r="E48" s="7">
        <v>1.621</v>
      </c>
      <c r="F48" s="5">
        <f>100*E48/D48</f>
        <v>65.231388329979879</v>
      </c>
      <c r="G48" s="7">
        <v>1.1359999999999999</v>
      </c>
      <c r="H48" s="7">
        <f>G48*(500/310)</f>
        <v>1.8322580645161288</v>
      </c>
      <c r="I48" s="6">
        <v>1</v>
      </c>
    </row>
    <row r="49" spans="1:9" x14ac:dyDescent="0.2">
      <c r="B49">
        <v>42</v>
      </c>
      <c r="C49">
        <v>20</v>
      </c>
      <c r="D49" s="7">
        <v>2.3519999999999999</v>
      </c>
      <c r="E49" s="7">
        <f>0.75+0.822</f>
        <v>1.5720000000000001</v>
      </c>
      <c r="F49" s="5">
        <f>100*E49/D49</f>
        <v>66.83673469387756</v>
      </c>
      <c r="G49" s="7">
        <v>0.95599999999999996</v>
      </c>
      <c r="H49" s="7">
        <f>G49*(500/310)</f>
        <v>1.5419354838709676</v>
      </c>
      <c r="I49" s="6">
        <v>1</v>
      </c>
    </row>
    <row r="50" spans="1:9" x14ac:dyDescent="0.2">
      <c r="A50" t="s">
        <v>39</v>
      </c>
      <c r="B50">
        <v>43</v>
      </c>
      <c r="C50">
        <v>1</v>
      </c>
      <c r="D50" s="7">
        <v>2.956</v>
      </c>
      <c r="E50" s="7">
        <f>0.585+0.231+0.261+0.656</f>
        <v>1.7330000000000001</v>
      </c>
      <c r="F50" s="5">
        <f>100*E50/D50</f>
        <v>58.626522327469559</v>
      </c>
      <c r="G50" s="7">
        <v>1.3819999999999999</v>
      </c>
      <c r="H50" s="7">
        <f>G50*(500/310)</f>
        <v>2.2290322580645157</v>
      </c>
      <c r="I50" s="6">
        <v>1</v>
      </c>
    </row>
    <row r="51" spans="1:9" x14ac:dyDescent="0.2">
      <c r="B51">
        <v>44</v>
      </c>
      <c r="C51">
        <v>2</v>
      </c>
      <c r="D51" s="7">
        <v>0.89400000000000002</v>
      </c>
      <c r="E51" s="7">
        <v>0.72099999999999997</v>
      </c>
      <c r="F51" s="5">
        <f>100*E51/D51</f>
        <v>80.648769574944069</v>
      </c>
      <c r="G51" s="7">
        <v>0.36399999999999999</v>
      </c>
      <c r="H51" s="7">
        <f>G51*(500/310)</f>
        <v>0.58709677419354833</v>
      </c>
      <c r="I51" s="6">
        <v>1</v>
      </c>
    </row>
    <row r="52" spans="1:9" x14ac:dyDescent="0.2">
      <c r="B52">
        <v>45</v>
      </c>
      <c r="C52">
        <v>3</v>
      </c>
      <c r="D52" s="7">
        <v>0.85</v>
      </c>
      <c r="E52" s="7">
        <v>0.81499999999999995</v>
      </c>
      <c r="F52" s="5">
        <f>100*E52/D52</f>
        <v>95.882352941176478</v>
      </c>
      <c r="G52" s="7">
        <v>0.33</v>
      </c>
      <c r="H52" s="7">
        <f>G52*(500/310)</f>
        <v>0.532258064516129</v>
      </c>
      <c r="I52" s="6">
        <v>1</v>
      </c>
    </row>
    <row r="53" spans="1:9" x14ac:dyDescent="0.2">
      <c r="B53">
        <v>46</v>
      </c>
      <c r="C53">
        <v>4</v>
      </c>
      <c r="D53" s="7">
        <v>2.4430000000000001</v>
      </c>
      <c r="E53" s="7">
        <f>0.642+0.861</f>
        <v>1.5030000000000001</v>
      </c>
      <c r="F53" s="5">
        <f>100*E53/D53</f>
        <v>61.522717969709376</v>
      </c>
      <c r="G53" s="7">
        <v>1.141</v>
      </c>
      <c r="H53" s="7">
        <f>G53*(500/310)</f>
        <v>1.8403225806451613</v>
      </c>
      <c r="I53" s="6">
        <v>1</v>
      </c>
    </row>
    <row r="54" spans="1:9" x14ac:dyDescent="0.2">
      <c r="B54">
        <v>47</v>
      </c>
      <c r="C54">
        <v>5</v>
      </c>
      <c r="D54" s="7">
        <v>4.7309999999999999</v>
      </c>
      <c r="E54" s="7">
        <f>1.255+0.225+0.625+0.591</f>
        <v>2.6959999999999997</v>
      </c>
      <c r="F54" s="5">
        <f>100*E54/D54</f>
        <v>56.985838089198893</v>
      </c>
      <c r="G54" s="7">
        <v>1.8720000000000001</v>
      </c>
      <c r="H54" s="7">
        <f>G54*(500/310)</f>
        <v>3.0193548387096776</v>
      </c>
      <c r="I54" s="6">
        <v>1</v>
      </c>
    </row>
    <row r="55" spans="1:9" x14ac:dyDescent="0.2">
      <c r="B55">
        <v>48</v>
      </c>
      <c r="C55">
        <v>6</v>
      </c>
      <c r="D55" s="7">
        <v>1.135</v>
      </c>
      <c r="E55" s="7">
        <v>0.72599999999999998</v>
      </c>
      <c r="F55" s="5">
        <f>100*E55/D55</f>
        <v>63.964757709251096</v>
      </c>
      <c r="G55" s="7">
        <v>0.40600000000000003</v>
      </c>
      <c r="H55" s="7">
        <f>G55*(500/310)</f>
        <v>0.65483870967741931</v>
      </c>
      <c r="I55" s="6">
        <v>1</v>
      </c>
    </row>
    <row r="56" spans="1:9" x14ac:dyDescent="0.2">
      <c r="B56">
        <v>49</v>
      </c>
      <c r="C56">
        <v>7</v>
      </c>
      <c r="D56" s="7">
        <v>2.8980000000000001</v>
      </c>
      <c r="E56" s="7">
        <f>0.159+0.08+0.415+0.176</f>
        <v>0.82999999999999985</v>
      </c>
      <c r="F56" s="5">
        <f>100*E56/D56</f>
        <v>28.640441683919938</v>
      </c>
      <c r="G56" s="7">
        <v>1.3240000000000001</v>
      </c>
      <c r="H56" s="7">
        <f>G56*(500/310)</f>
        <v>2.1354838709677417</v>
      </c>
      <c r="I56" s="6">
        <v>1</v>
      </c>
    </row>
    <row r="57" spans="1:9" x14ac:dyDescent="0.2">
      <c r="B57">
        <v>50</v>
      </c>
      <c r="C57">
        <v>8</v>
      </c>
      <c r="D57" s="7">
        <v>1.0980000000000001</v>
      </c>
      <c r="E57" s="7">
        <v>0.153</v>
      </c>
      <c r="F57" s="5">
        <f>100*E57/D57</f>
        <v>13.934426229508194</v>
      </c>
      <c r="G57" s="7">
        <v>0.34599999999999997</v>
      </c>
      <c r="H57" s="7">
        <f>G57*(500/310)</f>
        <v>0.55806451612903218</v>
      </c>
      <c r="I57" s="6">
        <v>1</v>
      </c>
    </row>
    <row r="58" spans="1:9" x14ac:dyDescent="0.2">
      <c r="B58">
        <v>51</v>
      </c>
      <c r="C58">
        <v>9</v>
      </c>
      <c r="D58" s="7">
        <v>4.5860000000000003</v>
      </c>
      <c r="E58" s="7">
        <f>0.426+0.793+0.249+0.169</f>
        <v>1.637</v>
      </c>
      <c r="F58" s="5">
        <f>100*E58/D58</f>
        <v>35.695595290013081</v>
      </c>
      <c r="G58" s="7">
        <v>1.895</v>
      </c>
      <c r="H58" s="7">
        <f>G58*(500/310)</f>
        <v>3.0564516129032255</v>
      </c>
      <c r="I58" s="6">
        <v>1</v>
      </c>
    </row>
    <row r="59" spans="1:9" x14ac:dyDescent="0.2">
      <c r="B59">
        <v>52</v>
      </c>
      <c r="C59">
        <v>10</v>
      </c>
      <c r="D59" s="7">
        <v>1.85</v>
      </c>
      <c r="E59" s="7">
        <f>0.195+0.523</f>
        <v>0.71799999999999997</v>
      </c>
      <c r="F59" s="5">
        <f>100*E59/D59</f>
        <v>38.810810810810807</v>
      </c>
      <c r="G59" s="7">
        <v>0.66800000000000004</v>
      </c>
      <c r="H59" s="7">
        <f>G59*(500/310)</f>
        <v>1.0774193548387097</v>
      </c>
      <c r="I59" s="6">
        <v>1</v>
      </c>
    </row>
    <row r="60" spans="1:9" x14ac:dyDescent="0.2">
      <c r="B60">
        <v>53</v>
      </c>
      <c r="C60">
        <v>11</v>
      </c>
      <c r="D60" s="7">
        <v>1.84</v>
      </c>
      <c r="E60" s="7">
        <v>0.52</v>
      </c>
      <c r="F60" s="5">
        <f>100*E60/D60</f>
        <v>28.260869565217391</v>
      </c>
      <c r="G60" s="7">
        <v>0.82299999999999995</v>
      </c>
      <c r="H60" s="7">
        <f>G60*(500/310)</f>
        <v>1.3274193548387094</v>
      </c>
      <c r="I60" s="6">
        <v>1</v>
      </c>
    </row>
    <row r="61" spans="1:9" x14ac:dyDescent="0.2">
      <c r="B61">
        <v>54</v>
      </c>
      <c r="C61">
        <v>12</v>
      </c>
      <c r="D61" s="7">
        <v>1.9450000000000001</v>
      </c>
      <c r="E61" s="7">
        <f>0.598+0.662</f>
        <v>1.26</v>
      </c>
      <c r="F61" s="5">
        <f>100*E61/D61</f>
        <v>64.781491002570689</v>
      </c>
      <c r="G61" s="7">
        <v>0.86599999999999999</v>
      </c>
      <c r="H61" s="7">
        <f>G61*(500/310)</f>
        <v>1.3967741935483871</v>
      </c>
      <c r="I61" s="6">
        <v>1</v>
      </c>
    </row>
    <row r="62" spans="1:9" x14ac:dyDescent="0.2">
      <c r="B62">
        <v>55</v>
      </c>
      <c r="C62">
        <v>13</v>
      </c>
      <c r="D62" s="7">
        <v>1.4730000000000001</v>
      </c>
      <c r="E62" s="7">
        <v>1.296</v>
      </c>
      <c r="F62" s="5">
        <f>100*E62/D62</f>
        <v>87.983706720977594</v>
      </c>
      <c r="G62" s="7">
        <v>0.52900000000000003</v>
      </c>
      <c r="H62" s="7">
        <f>G62*(500/310)</f>
        <v>0.85322580645161294</v>
      </c>
      <c r="I62" s="6">
        <v>1</v>
      </c>
    </row>
    <row r="63" spans="1:9" x14ac:dyDescent="0.2">
      <c r="B63">
        <v>56</v>
      </c>
      <c r="C63">
        <v>14</v>
      </c>
      <c r="D63" s="7">
        <v>1.7130000000000001</v>
      </c>
      <c r="E63" s="7">
        <v>0.78400000000000003</v>
      </c>
      <c r="F63" s="5">
        <f>100*E63/D63</f>
        <v>45.767659077641568</v>
      </c>
      <c r="G63" s="7">
        <v>0.56799999999999995</v>
      </c>
      <c r="H63" s="7">
        <f>G63*(500/310)</f>
        <v>0.91612903225806441</v>
      </c>
      <c r="I63" s="6">
        <v>1</v>
      </c>
    </row>
    <row r="64" spans="1:9" x14ac:dyDescent="0.2">
      <c r="B64">
        <v>57</v>
      </c>
      <c r="C64">
        <v>15</v>
      </c>
      <c r="D64" s="7">
        <v>1.597</v>
      </c>
      <c r="E64" s="7">
        <v>0.78900000000000003</v>
      </c>
      <c r="F64" s="5">
        <f>100*E64/D64</f>
        <v>49.405134627426428</v>
      </c>
      <c r="G64" s="7">
        <v>0.43099999999999999</v>
      </c>
      <c r="H64" s="7">
        <f>G64*(500/310)</f>
        <v>0.69516129032258056</v>
      </c>
      <c r="I64" s="6">
        <v>1</v>
      </c>
    </row>
    <row r="65" spans="1:9" x14ac:dyDescent="0.2">
      <c r="B65">
        <v>58</v>
      </c>
      <c r="C65">
        <v>16</v>
      </c>
      <c r="D65" s="7">
        <v>0.99299999999999999</v>
      </c>
      <c r="E65" s="7">
        <f>0.158+0.175</f>
        <v>0.33299999999999996</v>
      </c>
      <c r="F65" s="5">
        <f>100*E65/D65</f>
        <v>33.534743202416912</v>
      </c>
      <c r="G65" s="7">
        <v>0.33</v>
      </c>
      <c r="H65" s="7">
        <f>G65*(500/310)</f>
        <v>0.532258064516129</v>
      </c>
      <c r="I65" s="6">
        <v>1</v>
      </c>
    </row>
    <row r="66" spans="1:9" x14ac:dyDescent="0.2">
      <c r="A66" t="s">
        <v>38</v>
      </c>
      <c r="B66">
        <v>59</v>
      </c>
      <c r="C66">
        <v>1</v>
      </c>
      <c r="D66" s="7">
        <v>1.9470000000000001</v>
      </c>
      <c r="E66" s="7">
        <f>0.416+0.161+0.542</f>
        <v>1.119</v>
      </c>
      <c r="F66" s="5">
        <f>100*E66/D66</f>
        <v>57.473035439137135</v>
      </c>
      <c r="G66" s="7">
        <v>0.94399999999999995</v>
      </c>
      <c r="H66" s="7">
        <f>G66*(500/310)</f>
        <v>1.5225806451612902</v>
      </c>
      <c r="I66" s="6">
        <v>1</v>
      </c>
    </row>
    <row r="67" spans="1:9" x14ac:dyDescent="0.2">
      <c r="B67">
        <v>60</v>
      </c>
      <c r="C67">
        <v>2</v>
      </c>
      <c r="D67" s="7">
        <v>2.665</v>
      </c>
      <c r="E67" s="7">
        <f>0.38+0.219</f>
        <v>0.59899999999999998</v>
      </c>
      <c r="F67" s="5">
        <f>100*E67/D67</f>
        <v>22.476547842401501</v>
      </c>
      <c r="G67" s="7">
        <v>1.246</v>
      </c>
      <c r="H67" s="7">
        <f>G67*(500/310)</f>
        <v>2.0096774193548388</v>
      </c>
      <c r="I67" s="6">
        <v>1</v>
      </c>
    </row>
    <row r="68" spans="1:9" x14ac:dyDescent="0.2">
      <c r="B68">
        <v>61</v>
      </c>
      <c r="C68">
        <v>3</v>
      </c>
      <c r="D68" s="7">
        <v>1.4359999999999999</v>
      </c>
      <c r="E68" s="7">
        <f>0.22+0.568</f>
        <v>0.78799999999999992</v>
      </c>
      <c r="F68" s="5">
        <f>100*E68/D68</f>
        <v>54.874651810584957</v>
      </c>
      <c r="G68" s="7">
        <v>0.623</v>
      </c>
      <c r="H68" s="7">
        <f>G68*(500/310)</f>
        <v>1.0048387096774194</v>
      </c>
      <c r="I68" s="6">
        <v>1</v>
      </c>
    </row>
    <row r="69" spans="1:9" x14ac:dyDescent="0.2">
      <c r="B69">
        <v>62</v>
      </c>
      <c r="C69">
        <v>4</v>
      </c>
      <c r="D69" s="7">
        <v>0.88</v>
      </c>
      <c r="E69" s="7">
        <v>0.499</v>
      </c>
      <c r="F69" s="5">
        <f>100*E69/D69</f>
        <v>56.704545454545453</v>
      </c>
      <c r="G69" s="7">
        <v>0.33400000000000002</v>
      </c>
      <c r="H69" s="7">
        <f>G69*(500/310)</f>
        <v>0.53870967741935483</v>
      </c>
      <c r="I69" s="6">
        <v>1</v>
      </c>
    </row>
    <row r="70" spans="1:9" x14ac:dyDescent="0.2">
      <c r="B70">
        <v>63</v>
      </c>
      <c r="C70">
        <v>5</v>
      </c>
      <c r="D70" s="7">
        <v>1.0169999999999999</v>
      </c>
      <c r="E70" s="7">
        <f>0.161+0.217</f>
        <v>0.378</v>
      </c>
      <c r="F70" s="5">
        <f>100*E70/D70</f>
        <v>37.168141592920357</v>
      </c>
      <c r="G70" s="7">
        <v>0.39200000000000002</v>
      </c>
      <c r="H70" s="7">
        <f>G70*(500/310)</f>
        <v>0.63225806451612898</v>
      </c>
      <c r="I70" s="6">
        <v>1</v>
      </c>
    </row>
    <row r="71" spans="1:9" x14ac:dyDescent="0.2">
      <c r="B71">
        <v>63</v>
      </c>
      <c r="C71">
        <v>6</v>
      </c>
      <c r="D71" s="7">
        <v>1.335</v>
      </c>
      <c r="E71" s="7">
        <f>0.408+0.386</f>
        <v>0.79400000000000004</v>
      </c>
      <c r="F71" s="5">
        <f>100*E71/D71</f>
        <v>59.475655430711619</v>
      </c>
      <c r="G71" s="7">
        <v>0.51900000000000002</v>
      </c>
      <c r="H71" s="7">
        <f>G71*(500/310)</f>
        <v>0.83709677419354833</v>
      </c>
      <c r="I71" s="6">
        <v>1</v>
      </c>
    </row>
    <row r="72" spans="1:9" x14ac:dyDescent="0.2">
      <c r="B72">
        <v>64</v>
      </c>
      <c r="C72">
        <v>7</v>
      </c>
      <c r="D72" s="7">
        <v>4.625</v>
      </c>
      <c r="E72" s="7">
        <f>0.078+0.727+0.576</f>
        <v>1.3809999999999998</v>
      </c>
      <c r="F72" s="5">
        <f>100*E72/D72</f>
        <v>29.859459459459451</v>
      </c>
      <c r="G72" s="7">
        <v>2.0059999999999998</v>
      </c>
      <c r="H72" s="7">
        <f>G72*(500/310)</f>
        <v>3.2354838709677414</v>
      </c>
      <c r="I72" s="6">
        <v>1</v>
      </c>
    </row>
    <row r="73" spans="1:9" x14ac:dyDescent="0.2">
      <c r="B73">
        <v>65</v>
      </c>
      <c r="C73">
        <v>8</v>
      </c>
      <c r="D73" s="7">
        <v>4.8810000000000002</v>
      </c>
      <c r="E73" s="7">
        <f>0.671+0.4+0.412+0.894+0.205+0.268</f>
        <v>2.8500000000000005</v>
      </c>
      <c r="F73" s="5">
        <f>100*E73/D73</f>
        <v>58.389674247080528</v>
      </c>
      <c r="G73" s="7">
        <v>1.9950000000000001</v>
      </c>
      <c r="H73" s="7">
        <f>G73*(500/310)</f>
        <v>3.217741935483871</v>
      </c>
      <c r="I73" s="6">
        <v>1</v>
      </c>
    </row>
    <row r="74" spans="1:9" x14ac:dyDescent="0.2">
      <c r="B74">
        <v>66</v>
      </c>
      <c r="C74">
        <v>9</v>
      </c>
      <c r="D74" s="7">
        <v>4.7859999999999996</v>
      </c>
      <c r="E74" s="7">
        <f>0.13+0.496+0.472+0.183+0.156</f>
        <v>1.4369999999999998</v>
      </c>
      <c r="F74" s="5">
        <f>100*E74/D74</f>
        <v>30.02507312996239</v>
      </c>
      <c r="G74" s="7">
        <v>1.835</v>
      </c>
      <c r="H74" s="7">
        <f>G74*(500/310)</f>
        <v>2.9596774193548385</v>
      </c>
      <c r="I74" s="6">
        <v>1</v>
      </c>
    </row>
    <row r="76" spans="1:9" x14ac:dyDescent="0.2">
      <c r="C76" t="s">
        <v>14</v>
      </c>
      <c r="D76" s="7">
        <f>AVERAGE(D8:D74)</f>
        <v>2.4103432835820895</v>
      </c>
      <c r="E76" s="7">
        <f>AVERAGE(E8:E74)</f>
        <v>1.0637014925373132</v>
      </c>
      <c r="F76" s="7">
        <f>AVERAGE(F8:F74)</f>
        <v>46.698310138530026</v>
      </c>
      <c r="G76" s="7">
        <f>AVERAGE(G8:G74)</f>
        <v>1.0164626865671642</v>
      </c>
      <c r="H76" s="7">
        <f>AVERAGE(H8:H74)</f>
        <v>1.6394559460760714</v>
      </c>
      <c r="I76" s="13"/>
    </row>
    <row r="77" spans="1:9" x14ac:dyDescent="0.2">
      <c r="D77" s="7">
        <f>STDEV(D8:D74)</f>
        <v>1.5070058771299502</v>
      </c>
      <c r="E77" s="7">
        <f>STDEV(E8:E74)</f>
        <v>0.82882764986428692</v>
      </c>
      <c r="F77" s="7">
        <f>STDEV(F8:F74)</f>
        <v>19.872826078991952</v>
      </c>
      <c r="G77" s="7">
        <f>STDEV(G8:G74)</f>
        <v>0.67920642928833697</v>
      </c>
      <c r="H77" s="7">
        <f>STDEV(H8:H74)</f>
        <v>1.0954942407876398</v>
      </c>
    </row>
    <row r="79" spans="1:9" x14ac:dyDescent="0.2">
      <c r="A79" t="s">
        <v>37</v>
      </c>
    </row>
    <row r="80" spans="1:9" x14ac:dyDescent="0.2">
      <c r="A80" t="s">
        <v>2</v>
      </c>
    </row>
    <row r="81" spans="1:9" x14ac:dyDescent="0.2">
      <c r="A81" t="s">
        <v>6</v>
      </c>
    </row>
    <row r="83" spans="1:9" x14ac:dyDescent="0.2">
      <c r="A83" s="12" t="s">
        <v>30</v>
      </c>
      <c r="B83" s="12" t="s">
        <v>29</v>
      </c>
      <c r="C83" s="12" t="s">
        <v>28</v>
      </c>
      <c r="D83" s="10" t="s">
        <v>27</v>
      </c>
      <c r="E83" s="10" t="s">
        <v>26</v>
      </c>
      <c r="F83" s="11" t="s">
        <v>25</v>
      </c>
      <c r="G83" s="10" t="s">
        <v>24</v>
      </c>
      <c r="H83" s="10" t="s">
        <v>23</v>
      </c>
      <c r="I83" s="9" t="s">
        <v>22</v>
      </c>
    </row>
    <row r="84" spans="1:9" x14ac:dyDescent="0.2">
      <c r="A84" t="s">
        <v>36</v>
      </c>
      <c r="B84">
        <v>1</v>
      </c>
      <c r="C84">
        <v>1</v>
      </c>
      <c r="D84" s="7">
        <v>1.2450000000000001</v>
      </c>
      <c r="E84" s="7">
        <f>0.316+0.204</f>
        <v>0.52</v>
      </c>
      <c r="F84" s="5">
        <f>100*E84/D84</f>
        <v>41.767068273092363</v>
      </c>
      <c r="G84" s="7">
        <v>0.42</v>
      </c>
      <c r="H84" s="7">
        <f>G84*(500/310)</f>
        <v>0.67741935483870963</v>
      </c>
      <c r="I84" s="6">
        <v>1</v>
      </c>
    </row>
    <row r="85" spans="1:9" x14ac:dyDescent="0.2">
      <c r="B85">
        <v>2</v>
      </c>
      <c r="C85">
        <v>2</v>
      </c>
      <c r="D85" s="7">
        <v>1.62</v>
      </c>
      <c r="E85" s="7">
        <v>0.19400000000000001</v>
      </c>
      <c r="F85" s="5">
        <f>100*E85/D85</f>
        <v>11.975308641975309</v>
      </c>
      <c r="G85" s="7">
        <v>0.629</v>
      </c>
      <c r="H85" s="7">
        <f>G85*(500/310)</f>
        <v>1.014516129032258</v>
      </c>
      <c r="I85" s="6">
        <v>1</v>
      </c>
    </row>
    <row r="86" spans="1:9" x14ac:dyDescent="0.2">
      <c r="B86">
        <v>3</v>
      </c>
      <c r="C86">
        <v>3</v>
      </c>
      <c r="D86" s="7">
        <v>1.6319999999999999</v>
      </c>
      <c r="E86" s="7">
        <f>0.189+0.207</f>
        <v>0.39600000000000002</v>
      </c>
      <c r="F86" s="5">
        <f>100*E86/D86</f>
        <v>24.264705882352942</v>
      </c>
      <c r="G86" s="7">
        <v>0.57899999999999996</v>
      </c>
      <c r="H86" s="7">
        <f>G86*(500/310)</f>
        <v>0.93387096774193534</v>
      </c>
      <c r="I86" s="6">
        <v>1</v>
      </c>
    </row>
    <row r="87" spans="1:9" x14ac:dyDescent="0.2">
      <c r="B87">
        <v>4</v>
      </c>
      <c r="C87">
        <v>4</v>
      </c>
      <c r="D87" s="7">
        <v>1.405</v>
      </c>
      <c r="E87" s="7">
        <f>0.22+0.153</f>
        <v>0.373</v>
      </c>
      <c r="F87" s="5">
        <f>100*E87/D87</f>
        <v>26.548042704626333</v>
      </c>
      <c r="G87" s="7">
        <v>0.48699999999999999</v>
      </c>
      <c r="H87" s="7">
        <f>G87*(500/310)</f>
        <v>0.78548387096774186</v>
      </c>
      <c r="I87" s="6">
        <v>1</v>
      </c>
    </row>
    <row r="88" spans="1:9" x14ac:dyDescent="0.2">
      <c r="B88">
        <v>5</v>
      </c>
      <c r="C88">
        <v>5</v>
      </c>
      <c r="D88" s="7">
        <v>1.704</v>
      </c>
      <c r="E88" s="7">
        <f>0.449+0.538</f>
        <v>0.9870000000000001</v>
      </c>
      <c r="F88" s="5">
        <f>100*E88/D88</f>
        <v>57.922535211267615</v>
      </c>
      <c r="G88" s="7">
        <v>0.75700000000000001</v>
      </c>
      <c r="H88" s="7">
        <f>G88*(500/310)</f>
        <v>1.2209677419354839</v>
      </c>
      <c r="I88" s="6">
        <v>1</v>
      </c>
    </row>
    <row r="89" spans="1:9" x14ac:dyDescent="0.2">
      <c r="B89">
        <v>6</v>
      </c>
      <c r="C89">
        <v>6</v>
      </c>
      <c r="D89" s="7">
        <v>0.871</v>
      </c>
      <c r="E89" s="7">
        <v>0.161</v>
      </c>
      <c r="F89" s="5">
        <f>100*E89/D89</f>
        <v>18.484500574052813</v>
      </c>
      <c r="G89" s="7">
        <v>0.32800000000000001</v>
      </c>
      <c r="H89" s="7">
        <f>G89*(500/310)</f>
        <v>0.52903225806451615</v>
      </c>
      <c r="I89" s="6">
        <v>1</v>
      </c>
    </row>
    <row r="90" spans="1:9" x14ac:dyDescent="0.2">
      <c r="B90">
        <v>7</v>
      </c>
      <c r="C90">
        <v>7</v>
      </c>
      <c r="D90" s="7">
        <v>1.728</v>
      </c>
      <c r="E90" s="7">
        <v>0.50900000000000001</v>
      </c>
      <c r="F90" s="5">
        <f>100*E90/D90</f>
        <v>29.456018518518519</v>
      </c>
      <c r="G90" s="7">
        <v>0.63500000000000001</v>
      </c>
      <c r="H90" s="7">
        <f>G90*(500/310)</f>
        <v>1.0241935483870968</v>
      </c>
      <c r="I90" s="6">
        <v>1</v>
      </c>
    </row>
    <row r="91" spans="1:9" x14ac:dyDescent="0.2">
      <c r="B91">
        <v>8</v>
      </c>
      <c r="C91">
        <v>8</v>
      </c>
      <c r="D91" s="7">
        <v>1.8879999999999999</v>
      </c>
      <c r="E91" s="7">
        <f>0.344+0.209</f>
        <v>0.55299999999999994</v>
      </c>
      <c r="F91" s="5">
        <f>100*E91/D91</f>
        <v>29.290254237288135</v>
      </c>
      <c r="G91" s="7">
        <v>0.82099999999999995</v>
      </c>
      <c r="H91" s="7">
        <f>G91*(500/310)</f>
        <v>1.3241935483870966</v>
      </c>
      <c r="I91" s="6">
        <v>1</v>
      </c>
    </row>
    <row r="92" spans="1:9" x14ac:dyDescent="0.2">
      <c r="A92" t="s">
        <v>35</v>
      </c>
      <c r="B92">
        <v>9</v>
      </c>
      <c r="C92">
        <v>1</v>
      </c>
      <c r="D92" s="7">
        <v>2.895</v>
      </c>
      <c r="E92" s="7">
        <f>0.362+0.563+0.096</f>
        <v>1.0209999999999999</v>
      </c>
      <c r="F92" s="5">
        <f>100*E92/D92</f>
        <v>35.267702936096718</v>
      </c>
      <c r="G92" s="7">
        <v>1</v>
      </c>
      <c r="H92" s="7">
        <f>G92*(500/310)</f>
        <v>1.6129032258064515</v>
      </c>
      <c r="I92" s="6">
        <v>1</v>
      </c>
    </row>
    <row r="93" spans="1:9" x14ac:dyDescent="0.2">
      <c r="B93">
        <v>10</v>
      </c>
      <c r="C93">
        <v>2</v>
      </c>
      <c r="D93" s="7">
        <v>1.2330000000000001</v>
      </c>
      <c r="E93" s="7">
        <v>0.23899999999999999</v>
      </c>
      <c r="F93" s="5">
        <f>100*E93/D93</f>
        <v>19.383617193836169</v>
      </c>
      <c r="G93" s="7">
        <v>0.50800000000000001</v>
      </c>
      <c r="H93" s="7">
        <f>G93*(500/310)</f>
        <v>0.8193548387096774</v>
      </c>
      <c r="I93" s="6">
        <v>1</v>
      </c>
    </row>
    <row r="94" spans="1:9" x14ac:dyDescent="0.2">
      <c r="B94">
        <v>11</v>
      </c>
      <c r="C94">
        <v>3</v>
      </c>
      <c r="D94" s="7">
        <v>1.4850000000000001</v>
      </c>
      <c r="E94" s="7">
        <v>0.35499999999999998</v>
      </c>
      <c r="F94" s="5">
        <f>100*E94/D94</f>
        <v>23.905723905723903</v>
      </c>
      <c r="G94" s="7">
        <v>0.59099999999999997</v>
      </c>
      <c r="H94" s="7">
        <f>G94*(500/310)</f>
        <v>0.95322580645161281</v>
      </c>
      <c r="I94" s="6">
        <v>1</v>
      </c>
    </row>
    <row r="95" spans="1:9" x14ac:dyDescent="0.2">
      <c r="B95">
        <v>12</v>
      </c>
      <c r="C95">
        <v>4</v>
      </c>
      <c r="D95" s="7">
        <v>1.34</v>
      </c>
      <c r="E95" s="7">
        <v>0.114</v>
      </c>
      <c r="F95" s="5">
        <f>100*E95/D95</f>
        <v>8.5074626865671643</v>
      </c>
      <c r="G95" s="7">
        <v>0.55900000000000005</v>
      </c>
      <c r="H95" s="7">
        <f>G95*(500/310)</f>
        <v>0.90161290322580645</v>
      </c>
      <c r="I95" s="6">
        <v>1</v>
      </c>
    </row>
    <row r="96" spans="1:9" x14ac:dyDescent="0.2">
      <c r="B96">
        <v>13</v>
      </c>
      <c r="C96">
        <v>5</v>
      </c>
      <c r="D96" s="7">
        <v>1.252</v>
      </c>
      <c r="E96" s="7">
        <v>0.25600000000000001</v>
      </c>
      <c r="F96" s="5">
        <f>100*E96/D96</f>
        <v>20.447284345047926</v>
      </c>
      <c r="G96" s="7">
        <v>0.46500000000000002</v>
      </c>
      <c r="H96" s="7">
        <f>G96*(500/310)</f>
        <v>0.75</v>
      </c>
      <c r="I96" s="6">
        <v>1</v>
      </c>
    </row>
    <row r="97" spans="2:9" x14ac:dyDescent="0.2">
      <c r="B97">
        <v>14</v>
      </c>
      <c r="C97">
        <v>6</v>
      </c>
      <c r="D97" s="7">
        <v>1.095</v>
      </c>
      <c r="E97" s="7">
        <v>0.32100000000000001</v>
      </c>
      <c r="F97" s="5">
        <f>100*E97/D97</f>
        <v>29.315068493150687</v>
      </c>
      <c r="G97" s="7">
        <v>0.38800000000000001</v>
      </c>
      <c r="H97" s="7">
        <f>G97*(500/310)</f>
        <v>0.62580645161290316</v>
      </c>
      <c r="I97" s="6">
        <v>1</v>
      </c>
    </row>
    <row r="98" spans="2:9" x14ac:dyDescent="0.2">
      <c r="B98">
        <v>15</v>
      </c>
      <c r="C98">
        <v>7</v>
      </c>
      <c r="D98" s="7">
        <v>2.532</v>
      </c>
      <c r="E98" s="7">
        <f>0.304+0.093+0.325</f>
        <v>0.72199999999999998</v>
      </c>
      <c r="F98" s="5">
        <f>100*E98/D98</f>
        <v>28.515007898894154</v>
      </c>
      <c r="G98" s="7">
        <v>1.1950000000000001</v>
      </c>
      <c r="H98" s="7">
        <f>G98*(500/310)</f>
        <v>1.9274193548387097</v>
      </c>
      <c r="I98" s="6">
        <v>1</v>
      </c>
    </row>
    <row r="99" spans="2:9" x14ac:dyDescent="0.2">
      <c r="B99">
        <v>16</v>
      </c>
      <c r="C99">
        <v>8</v>
      </c>
      <c r="D99" s="7">
        <v>2.3690000000000002</v>
      </c>
      <c r="E99" s="7">
        <v>1.2869999999999999</v>
      </c>
      <c r="F99" s="5">
        <f>100*E99/D99</f>
        <v>54.326720135078084</v>
      </c>
      <c r="G99" s="7">
        <v>0.91500000000000004</v>
      </c>
      <c r="H99" s="7">
        <f>G99*(500/310)</f>
        <v>1.4758064516129032</v>
      </c>
      <c r="I99" s="6">
        <v>1</v>
      </c>
    </row>
    <row r="100" spans="2:9" x14ac:dyDescent="0.2">
      <c r="B100">
        <v>17</v>
      </c>
      <c r="C100">
        <v>9</v>
      </c>
      <c r="D100" s="7">
        <v>2.0640000000000001</v>
      </c>
      <c r="E100" s="7">
        <v>1.127</v>
      </c>
      <c r="F100" s="5">
        <f>100*E100/D100</f>
        <v>54.602713178294572</v>
      </c>
      <c r="G100" s="7">
        <v>0.80200000000000005</v>
      </c>
      <c r="H100" s="7">
        <f>G100*(500/310)</f>
        <v>1.2935483870967741</v>
      </c>
      <c r="I100" s="6">
        <v>1</v>
      </c>
    </row>
    <row r="101" spans="2:9" x14ac:dyDescent="0.2">
      <c r="B101">
        <v>18</v>
      </c>
      <c r="C101">
        <v>10</v>
      </c>
      <c r="D101" s="7">
        <v>1.1990000000000001</v>
      </c>
      <c r="E101" s="7">
        <f>0.495+0.56</f>
        <v>1.0550000000000002</v>
      </c>
      <c r="F101" s="5">
        <f>100*E101/D101</f>
        <v>87.989991659716438</v>
      </c>
      <c r="G101" s="7">
        <v>0.46700000000000003</v>
      </c>
      <c r="H101" s="7">
        <f>G101*(500/310)</f>
        <v>0.75322580645161286</v>
      </c>
      <c r="I101" s="6">
        <v>1</v>
      </c>
    </row>
    <row r="102" spans="2:9" x14ac:dyDescent="0.2">
      <c r="B102">
        <v>19</v>
      </c>
      <c r="C102">
        <v>11</v>
      </c>
      <c r="D102" s="7">
        <v>3.7730000000000001</v>
      </c>
      <c r="E102" s="7">
        <f>1.064+0.312+0.485+0.104+0.34</f>
        <v>2.3050000000000002</v>
      </c>
      <c r="F102" s="5">
        <f>100*E102/D102</f>
        <v>61.091969255234567</v>
      </c>
      <c r="G102" s="7">
        <v>1.718</v>
      </c>
      <c r="H102" s="7">
        <f>G102*(500/310)</f>
        <v>2.7709677419354835</v>
      </c>
      <c r="I102" s="6">
        <v>1</v>
      </c>
    </row>
    <row r="103" spans="2:9" x14ac:dyDescent="0.2">
      <c r="B103">
        <v>20</v>
      </c>
      <c r="C103">
        <v>12</v>
      </c>
      <c r="D103" s="7">
        <v>4.4980000000000002</v>
      </c>
      <c r="E103" s="7">
        <f>0.192+0.112+0.12+0.735+0.231</f>
        <v>1.3900000000000001</v>
      </c>
      <c r="F103" s="5">
        <f>100*E103/D103</f>
        <v>30.902623388172518</v>
      </c>
      <c r="G103" s="7">
        <v>2.097</v>
      </c>
      <c r="H103" s="7">
        <f>G103*(500/310)</f>
        <v>3.3822580645161286</v>
      </c>
      <c r="I103" s="6">
        <v>1</v>
      </c>
    </row>
    <row r="104" spans="2:9" x14ac:dyDescent="0.2">
      <c r="B104">
        <v>21</v>
      </c>
      <c r="C104">
        <v>13</v>
      </c>
      <c r="D104" s="7">
        <v>1.8160000000000001</v>
      </c>
      <c r="E104" s="7">
        <f>0.534+0.087+0.115</f>
        <v>0.73599999999999999</v>
      </c>
      <c r="F104" s="5">
        <f>100*E104/D104</f>
        <v>40.528634361233479</v>
      </c>
      <c r="G104" s="7">
        <v>0.63200000000000001</v>
      </c>
      <c r="H104" s="7">
        <f>G104*(500/310)</f>
        <v>1.0193548387096774</v>
      </c>
      <c r="I104" s="6">
        <v>1</v>
      </c>
    </row>
    <row r="105" spans="2:9" x14ac:dyDescent="0.2">
      <c r="B105">
        <v>22</v>
      </c>
      <c r="C105">
        <v>14</v>
      </c>
      <c r="D105" s="7">
        <v>0.96399999999999997</v>
      </c>
      <c r="E105" s="7">
        <v>0.40200000000000002</v>
      </c>
      <c r="F105" s="5">
        <f>100*E105/D105</f>
        <v>41.701244813278009</v>
      </c>
      <c r="G105" s="7">
        <v>0.317</v>
      </c>
      <c r="H105" s="7">
        <f>G105*(500/310)</f>
        <v>0.51129032258064511</v>
      </c>
      <c r="I105" s="6">
        <v>1</v>
      </c>
    </row>
    <row r="106" spans="2:9" x14ac:dyDescent="0.2">
      <c r="B106">
        <v>23</v>
      </c>
      <c r="C106">
        <v>15</v>
      </c>
      <c r="D106" s="7">
        <v>1.7170000000000001</v>
      </c>
      <c r="E106" s="7">
        <f>0.436+0.854</f>
        <v>1.29</v>
      </c>
      <c r="F106" s="5">
        <f>100*E106/D106</f>
        <v>75.131042516016308</v>
      </c>
      <c r="G106" s="7">
        <v>0.55700000000000005</v>
      </c>
      <c r="H106" s="7">
        <f>G106*(500/310)</f>
        <v>0.89838709677419359</v>
      </c>
      <c r="I106" s="6">
        <v>1</v>
      </c>
    </row>
    <row r="107" spans="2:9" x14ac:dyDescent="0.2">
      <c r="B107">
        <v>24</v>
      </c>
      <c r="C107">
        <v>16</v>
      </c>
      <c r="D107" s="7">
        <v>2.8479999999999999</v>
      </c>
      <c r="E107" s="7">
        <f>0.092+0.961+0.122+0.485</f>
        <v>1.6599999999999997</v>
      </c>
      <c r="F107" s="5">
        <f>100*E107/D107</f>
        <v>58.286516853932575</v>
      </c>
      <c r="G107" s="7">
        <v>1.135</v>
      </c>
      <c r="H107" s="7">
        <f>G107*(500/310)</f>
        <v>1.8306451612903225</v>
      </c>
      <c r="I107" s="6">
        <v>1</v>
      </c>
    </row>
    <row r="108" spans="2:9" x14ac:dyDescent="0.2">
      <c r="B108">
        <v>25</v>
      </c>
      <c r="C108">
        <v>17</v>
      </c>
      <c r="D108" s="7">
        <v>2.589</v>
      </c>
      <c r="E108" s="7">
        <f>0.219+0.519</f>
        <v>0.73799999999999999</v>
      </c>
      <c r="F108" s="5">
        <f>100*E108/D108</f>
        <v>28.50521436848204</v>
      </c>
      <c r="G108" s="7">
        <v>1.0920000000000001</v>
      </c>
      <c r="H108" s="7">
        <f>G108*(500/310)</f>
        <v>1.7612903225806451</v>
      </c>
      <c r="I108" s="6">
        <v>1</v>
      </c>
    </row>
    <row r="109" spans="2:9" x14ac:dyDescent="0.2">
      <c r="B109">
        <v>26</v>
      </c>
      <c r="C109">
        <v>18</v>
      </c>
      <c r="D109" s="7">
        <v>1.1830000000000001</v>
      </c>
      <c r="E109" s="7">
        <v>0.26800000000000002</v>
      </c>
      <c r="F109" s="5">
        <f>100*E109/D109</f>
        <v>22.65426880811496</v>
      </c>
      <c r="G109" s="7">
        <v>0.44700000000000001</v>
      </c>
      <c r="H109" s="7">
        <f>G109*(500/310)</f>
        <v>0.72096774193548385</v>
      </c>
      <c r="I109" s="6">
        <v>1</v>
      </c>
    </row>
    <row r="110" spans="2:9" x14ac:dyDescent="0.2">
      <c r="B110">
        <v>27</v>
      </c>
      <c r="C110">
        <v>19</v>
      </c>
      <c r="D110" s="7">
        <v>1.6180000000000001</v>
      </c>
      <c r="E110" s="7">
        <f>0.386+0.236</f>
        <v>0.622</v>
      </c>
      <c r="F110" s="5">
        <f>100*E110/D110</f>
        <v>38.442521631644006</v>
      </c>
      <c r="G110" s="7">
        <v>0.54600000000000004</v>
      </c>
      <c r="H110" s="7">
        <f>G110*(500/310)</f>
        <v>0.88064516129032255</v>
      </c>
      <c r="I110" s="6">
        <v>1</v>
      </c>
    </row>
    <row r="111" spans="2:9" x14ac:dyDescent="0.2">
      <c r="B111">
        <v>28</v>
      </c>
      <c r="C111">
        <v>20</v>
      </c>
      <c r="D111" s="7">
        <v>2.8149999999999999</v>
      </c>
      <c r="E111" s="7">
        <f>0.678+0.272+0.408</f>
        <v>1.3580000000000001</v>
      </c>
      <c r="F111" s="5">
        <f>100*E111/D111</f>
        <v>48.241563055062173</v>
      </c>
      <c r="G111" s="7">
        <v>1.139</v>
      </c>
      <c r="H111" s="7">
        <f>G111*(500/310)</f>
        <v>1.8370967741935482</v>
      </c>
      <c r="I111" s="6">
        <v>1</v>
      </c>
    </row>
    <row r="112" spans="2:9" x14ac:dyDescent="0.2">
      <c r="B112">
        <v>29</v>
      </c>
      <c r="C112">
        <v>21</v>
      </c>
      <c r="D112" s="7">
        <v>1.5349999999999999</v>
      </c>
      <c r="E112" s="7">
        <v>1.0049999999999999</v>
      </c>
      <c r="F112" s="5">
        <f>100*E112/D112</f>
        <v>65.472312703583057</v>
      </c>
      <c r="G112" s="7">
        <v>0.58899999999999997</v>
      </c>
      <c r="H112" s="7">
        <f>G112*(500/310)</f>
        <v>0.94999999999999984</v>
      </c>
      <c r="I112" s="6">
        <v>1</v>
      </c>
    </row>
    <row r="113" spans="1:9" x14ac:dyDescent="0.2">
      <c r="B113">
        <v>30</v>
      </c>
      <c r="C113">
        <v>22</v>
      </c>
      <c r="D113" s="7">
        <v>0.86599999999999999</v>
      </c>
      <c r="E113" s="7">
        <f>0.277+0.102</f>
        <v>0.379</v>
      </c>
      <c r="F113" s="5">
        <f>100*E113/D113</f>
        <v>43.764434180138565</v>
      </c>
      <c r="G113" s="7">
        <v>0.35199999999999998</v>
      </c>
      <c r="H113" s="7">
        <f>G113*(500/310)</f>
        <v>0.56774193548387086</v>
      </c>
      <c r="I113" s="6">
        <v>1</v>
      </c>
    </row>
    <row r="114" spans="1:9" x14ac:dyDescent="0.2">
      <c r="B114">
        <v>31</v>
      </c>
      <c r="C114">
        <v>23</v>
      </c>
      <c r="D114" s="7">
        <v>1.5269999999999999</v>
      </c>
      <c r="E114" s="7">
        <f>0.111+0.428+0.176+0.063</f>
        <v>0.77800000000000002</v>
      </c>
      <c r="F114" s="5">
        <f>100*E114/D114</f>
        <v>50.949574328749179</v>
      </c>
      <c r="G114" s="7">
        <v>0.64900000000000002</v>
      </c>
      <c r="H114" s="7">
        <f>G114*(500/310)</f>
        <v>1.046774193548387</v>
      </c>
      <c r="I114" s="6">
        <v>1</v>
      </c>
    </row>
    <row r="115" spans="1:9" x14ac:dyDescent="0.2">
      <c r="B115">
        <v>32</v>
      </c>
      <c r="C115">
        <v>24</v>
      </c>
      <c r="D115" s="7">
        <v>2.2440000000000002</v>
      </c>
      <c r="E115" s="7">
        <f>1.332+0.246</f>
        <v>1.5780000000000001</v>
      </c>
      <c r="F115" s="5">
        <f>100*E115/D115</f>
        <v>70.320855614973254</v>
      </c>
      <c r="G115" s="7">
        <v>0.88100000000000001</v>
      </c>
      <c r="H115" s="7">
        <f>G115*(500/310)</f>
        <v>1.4209677419354838</v>
      </c>
      <c r="I115" s="6">
        <v>1</v>
      </c>
    </row>
    <row r="116" spans="1:9" x14ac:dyDescent="0.2">
      <c r="B116">
        <v>33</v>
      </c>
      <c r="C116">
        <v>25</v>
      </c>
      <c r="D116" s="7">
        <v>1.121</v>
      </c>
      <c r="E116" s="7">
        <f>0.257+0.174</f>
        <v>0.43099999999999999</v>
      </c>
      <c r="F116" s="5">
        <f>100*E116/D116</f>
        <v>38.447814451382698</v>
      </c>
      <c r="G116" s="7">
        <v>0.33</v>
      </c>
      <c r="H116" s="7">
        <f>G116*(500/310)</f>
        <v>0.532258064516129</v>
      </c>
      <c r="I116" s="6">
        <v>1</v>
      </c>
    </row>
    <row r="117" spans="1:9" x14ac:dyDescent="0.2">
      <c r="A117" t="s">
        <v>34</v>
      </c>
      <c r="B117">
        <v>34</v>
      </c>
      <c r="C117">
        <v>1</v>
      </c>
      <c r="D117" s="7">
        <v>1.389</v>
      </c>
      <c r="E117" s="7">
        <f>0.472+0.336</f>
        <v>0.80800000000000005</v>
      </c>
      <c r="F117" s="5">
        <f>100*E117/D117</f>
        <v>58.171346292296626</v>
      </c>
      <c r="G117" s="7">
        <v>0.58099999999999996</v>
      </c>
      <c r="H117" s="7">
        <f>G117*(500/310)</f>
        <v>0.93709677419354831</v>
      </c>
      <c r="I117" s="6">
        <v>1</v>
      </c>
    </row>
    <row r="118" spans="1:9" x14ac:dyDescent="0.2">
      <c r="B118">
        <v>35</v>
      </c>
      <c r="C118">
        <v>2</v>
      </c>
      <c r="D118" s="7">
        <v>1.5349999999999999</v>
      </c>
      <c r="E118" s="7">
        <f>0.151+0.225</f>
        <v>0.376</v>
      </c>
      <c r="F118" s="5">
        <f>100*E118/D118</f>
        <v>24.495114006514662</v>
      </c>
      <c r="G118" s="7">
        <v>0.66800000000000004</v>
      </c>
      <c r="H118" s="7">
        <f>G118*(500/310)</f>
        <v>1.0774193548387097</v>
      </c>
      <c r="I118" s="6">
        <v>1</v>
      </c>
    </row>
    <row r="119" spans="1:9" x14ac:dyDescent="0.2">
      <c r="B119">
        <v>36</v>
      </c>
      <c r="C119">
        <v>3</v>
      </c>
      <c r="D119" s="7">
        <v>3.2770000000000001</v>
      </c>
      <c r="E119" s="7">
        <f>0.611+0.249+0.197</f>
        <v>1.0569999999999999</v>
      </c>
      <c r="F119" s="5">
        <f>100*E119/D119</f>
        <v>32.25511138236191</v>
      </c>
      <c r="G119" s="7">
        <v>1.159</v>
      </c>
      <c r="H119" s="7">
        <f>G119*(500/310)</f>
        <v>1.8693548387096774</v>
      </c>
      <c r="I119" s="6">
        <v>1</v>
      </c>
    </row>
    <row r="120" spans="1:9" x14ac:dyDescent="0.2">
      <c r="A120" t="s">
        <v>33</v>
      </c>
      <c r="B120">
        <v>37</v>
      </c>
      <c r="C120">
        <v>1</v>
      </c>
      <c r="D120" s="7">
        <v>1.724</v>
      </c>
      <c r="E120" s="7">
        <f>0.296+0.143+0.209</f>
        <v>0.64799999999999991</v>
      </c>
      <c r="F120" s="5">
        <f>100*E120/D120</f>
        <v>37.587006960556842</v>
      </c>
      <c r="G120" s="7">
        <v>0.76</v>
      </c>
      <c r="H120" s="7">
        <f>G120*(500/310)</f>
        <v>1.2258064516129032</v>
      </c>
      <c r="I120" s="6">
        <v>1</v>
      </c>
    </row>
    <row r="121" spans="1:9" x14ac:dyDescent="0.2">
      <c r="B121">
        <v>38</v>
      </c>
      <c r="C121">
        <v>2</v>
      </c>
      <c r="D121" s="7">
        <v>1.4039999999999999</v>
      </c>
      <c r="E121" s="7">
        <f>0.298+0.252</f>
        <v>0.55000000000000004</v>
      </c>
      <c r="F121" s="5">
        <f>100*E121/D121</f>
        <v>39.173789173789181</v>
      </c>
      <c r="G121" s="7">
        <v>0.51200000000000001</v>
      </c>
      <c r="H121" s="7">
        <f>G121*(500/310)</f>
        <v>0.82580645161290323</v>
      </c>
      <c r="I121" s="6">
        <v>1</v>
      </c>
    </row>
    <row r="122" spans="1:9" x14ac:dyDescent="0.2">
      <c r="B122">
        <v>39</v>
      </c>
      <c r="C122">
        <v>3</v>
      </c>
      <c r="D122" s="7">
        <v>2.2530000000000001</v>
      </c>
      <c r="E122" s="7">
        <f>0.157+0.097</f>
        <v>0.254</v>
      </c>
      <c r="F122" s="5">
        <f>100*E122/D122</f>
        <v>11.273857079449622</v>
      </c>
      <c r="G122" s="7">
        <v>0.93700000000000006</v>
      </c>
      <c r="H122" s="7">
        <f>G122*(500/310)</f>
        <v>1.5112903225806451</v>
      </c>
      <c r="I122" s="6">
        <v>1</v>
      </c>
    </row>
    <row r="123" spans="1:9" x14ac:dyDescent="0.2">
      <c r="B123">
        <v>40</v>
      </c>
      <c r="C123">
        <v>4</v>
      </c>
      <c r="D123" s="7">
        <v>1.474</v>
      </c>
      <c r="E123" s="7">
        <f>0.092+0.254</f>
        <v>0.34599999999999997</v>
      </c>
      <c r="F123" s="5">
        <f>100*E123/D123</f>
        <v>23.47354138398914</v>
      </c>
      <c r="G123" s="7">
        <v>0.56899999999999995</v>
      </c>
      <c r="H123" s="7">
        <f>G123*(500/310)</f>
        <v>0.91774193548387084</v>
      </c>
      <c r="I123" s="6">
        <v>1</v>
      </c>
    </row>
    <row r="124" spans="1:9" x14ac:dyDescent="0.2">
      <c r="B124">
        <v>41</v>
      </c>
      <c r="C124">
        <v>5</v>
      </c>
      <c r="D124" s="7">
        <v>1.796</v>
      </c>
      <c r="E124" s="7">
        <f>0.239+0.181+0.254</f>
        <v>0.67399999999999993</v>
      </c>
      <c r="F124" s="5">
        <f>100*E124/D124</f>
        <v>37.527839643652555</v>
      </c>
      <c r="G124" s="7">
        <v>0.75</v>
      </c>
      <c r="H124" s="7">
        <f>G124*(500/310)</f>
        <v>1.2096774193548385</v>
      </c>
      <c r="I124" s="6">
        <v>1</v>
      </c>
    </row>
    <row r="125" spans="1:9" x14ac:dyDescent="0.2">
      <c r="B125">
        <v>42</v>
      </c>
      <c r="C125">
        <v>6</v>
      </c>
      <c r="D125" s="7">
        <v>3.452</v>
      </c>
      <c r="E125" s="7">
        <f>0.543+0.685+0.134</f>
        <v>1.3620000000000001</v>
      </c>
      <c r="F125" s="5">
        <f>100*E125/D125</f>
        <v>39.455388180764778</v>
      </c>
      <c r="G125" s="7">
        <v>1.4039999999999999</v>
      </c>
      <c r="H125" s="7">
        <f>G125*(500/310)</f>
        <v>2.2645161290322577</v>
      </c>
      <c r="I125" s="6">
        <v>1</v>
      </c>
    </row>
    <row r="126" spans="1:9" x14ac:dyDescent="0.2">
      <c r="B126">
        <v>43</v>
      </c>
      <c r="C126">
        <v>7</v>
      </c>
      <c r="D126" s="7">
        <v>1.002</v>
      </c>
      <c r="E126" s="7">
        <v>0.35899999999999999</v>
      </c>
      <c r="F126" s="5">
        <f>100*E126/D126</f>
        <v>35.828343313373253</v>
      </c>
      <c r="G126" s="7">
        <v>0.372</v>
      </c>
      <c r="H126" s="7">
        <f>G126*(500/310)</f>
        <v>0.6</v>
      </c>
      <c r="I126" s="6">
        <v>1</v>
      </c>
    </row>
    <row r="127" spans="1:9" x14ac:dyDescent="0.2">
      <c r="B127">
        <v>44</v>
      </c>
      <c r="C127">
        <v>8</v>
      </c>
      <c r="D127" s="7">
        <v>1.5529999999999999</v>
      </c>
      <c r="E127" s="7">
        <f>0.552+0.07</f>
        <v>0.62200000000000011</v>
      </c>
      <c r="F127" s="5">
        <f>100*E127/D127</f>
        <v>40.051513200257574</v>
      </c>
      <c r="G127" s="7">
        <v>0.51500000000000001</v>
      </c>
      <c r="H127" s="7">
        <f>G127*(500/310)</f>
        <v>0.83064516129032251</v>
      </c>
      <c r="I127" s="6">
        <v>1</v>
      </c>
    </row>
    <row r="128" spans="1:9" x14ac:dyDescent="0.2">
      <c r="B128">
        <v>45</v>
      </c>
      <c r="C128">
        <v>9</v>
      </c>
      <c r="D128" s="7">
        <v>1.8440000000000001</v>
      </c>
      <c r="E128" s="7">
        <f>0.303+0.117+0.212</f>
        <v>0.63200000000000001</v>
      </c>
      <c r="F128" s="5">
        <f>100*E128/D128</f>
        <v>34.273318872017356</v>
      </c>
      <c r="G128" s="7">
        <v>0.76500000000000001</v>
      </c>
      <c r="H128" s="7">
        <f>G128*(500/310)</f>
        <v>1.2338709677419355</v>
      </c>
      <c r="I128" s="6">
        <v>1</v>
      </c>
    </row>
    <row r="129" spans="1:9" x14ac:dyDescent="0.2">
      <c r="B129">
        <v>46</v>
      </c>
      <c r="C129">
        <v>10</v>
      </c>
      <c r="D129" s="7">
        <v>1.343</v>
      </c>
      <c r="E129" s="7">
        <f>0.658+0.235</f>
        <v>0.89300000000000002</v>
      </c>
      <c r="F129" s="5">
        <f>100*E129/D129</f>
        <v>66.492926284437829</v>
      </c>
      <c r="G129" s="7">
        <v>0.505</v>
      </c>
      <c r="H129" s="7">
        <f>G129*(500/310)</f>
        <v>0.81451612903225801</v>
      </c>
      <c r="I129" s="6">
        <v>1</v>
      </c>
    </row>
    <row r="130" spans="1:9" x14ac:dyDescent="0.2">
      <c r="B130">
        <v>47</v>
      </c>
      <c r="C130">
        <v>11</v>
      </c>
      <c r="D130" s="7">
        <v>1.381</v>
      </c>
      <c r="E130" s="7">
        <f>0.472+0.337</f>
        <v>0.80899999999999994</v>
      </c>
      <c r="F130" s="5">
        <f>100*E130/D130</f>
        <v>58.580738595220851</v>
      </c>
      <c r="G130" s="7">
        <v>0.436</v>
      </c>
      <c r="H130" s="7">
        <f>G130*(500/310)</f>
        <v>0.70322580645161281</v>
      </c>
      <c r="I130" s="6">
        <v>1</v>
      </c>
    </row>
    <row r="131" spans="1:9" x14ac:dyDescent="0.2">
      <c r="B131">
        <v>48</v>
      </c>
      <c r="C131">
        <v>12</v>
      </c>
      <c r="D131" s="7">
        <v>1.998</v>
      </c>
      <c r="E131" s="7">
        <v>0.79900000000000004</v>
      </c>
      <c r="F131" s="5">
        <f>100*E131/D131</f>
        <v>39.989989989989994</v>
      </c>
      <c r="G131" s="7">
        <v>0.82399999999999995</v>
      </c>
      <c r="H131" s="7">
        <f>G131*(500/310)</f>
        <v>1.329032258064516</v>
      </c>
      <c r="I131" s="6">
        <v>1</v>
      </c>
    </row>
    <row r="132" spans="1:9" x14ac:dyDescent="0.2">
      <c r="B132">
        <v>49</v>
      </c>
      <c r="C132">
        <v>13</v>
      </c>
      <c r="D132" s="7">
        <v>1.393</v>
      </c>
      <c r="E132" s="7">
        <f>0.142+0.315</f>
        <v>0.45699999999999996</v>
      </c>
      <c r="F132" s="5">
        <f>100*E132/D132</f>
        <v>32.806891600861448</v>
      </c>
      <c r="G132" s="7">
        <v>0.44700000000000001</v>
      </c>
      <c r="H132" s="7">
        <f>G132*(500/310)</f>
        <v>0.72096774193548385</v>
      </c>
      <c r="I132" s="6">
        <v>1</v>
      </c>
    </row>
    <row r="133" spans="1:9" x14ac:dyDescent="0.2">
      <c r="B133">
        <v>50</v>
      </c>
      <c r="C133">
        <v>14</v>
      </c>
      <c r="D133" s="7">
        <v>1.0449999999999999</v>
      </c>
      <c r="E133" s="7">
        <f>0.085+0.196</f>
        <v>0.28100000000000003</v>
      </c>
      <c r="F133" s="5">
        <f>100*E133/D133</f>
        <v>26.889952153110052</v>
      </c>
      <c r="G133" s="7">
        <v>0.36199999999999999</v>
      </c>
      <c r="H133" s="7">
        <f>G133*(500/310)</f>
        <v>0.58387096774193548</v>
      </c>
      <c r="I133" s="6">
        <v>1</v>
      </c>
    </row>
    <row r="134" spans="1:9" x14ac:dyDescent="0.2">
      <c r="B134">
        <v>51</v>
      </c>
      <c r="C134">
        <v>15</v>
      </c>
      <c r="D134" s="7">
        <v>1.3320000000000001</v>
      </c>
      <c r="E134" s="7">
        <v>0.54300000000000004</v>
      </c>
      <c r="F134" s="5">
        <f>100*E134/D134</f>
        <v>40.765765765765764</v>
      </c>
      <c r="G134" s="7">
        <v>0.48899999999999999</v>
      </c>
      <c r="H134" s="7">
        <f>G134*(500/310)</f>
        <v>0.78870967741935483</v>
      </c>
      <c r="I134" s="6">
        <v>1</v>
      </c>
    </row>
    <row r="135" spans="1:9" x14ac:dyDescent="0.2">
      <c r="B135">
        <v>52</v>
      </c>
      <c r="C135">
        <v>16</v>
      </c>
      <c r="D135" s="7">
        <v>1.448</v>
      </c>
      <c r="E135" s="7">
        <f>0.226+0.551</f>
        <v>0.77700000000000002</v>
      </c>
      <c r="F135" s="5">
        <f>100*E135/D135</f>
        <v>53.660220994475139</v>
      </c>
      <c r="G135" s="7">
        <v>0.52700000000000002</v>
      </c>
      <c r="H135" s="7">
        <f>G135*(500/310)</f>
        <v>0.85</v>
      </c>
      <c r="I135" s="6">
        <v>1</v>
      </c>
    </row>
    <row r="136" spans="1:9" x14ac:dyDescent="0.2">
      <c r="B136">
        <v>53</v>
      </c>
      <c r="C136">
        <v>17</v>
      </c>
      <c r="D136" s="7">
        <v>2.1509999999999998</v>
      </c>
      <c r="E136" s="7">
        <f>0.837+0.228</f>
        <v>1.0649999999999999</v>
      </c>
      <c r="F136" s="5">
        <f>100*E136/D136</f>
        <v>49.511854951185498</v>
      </c>
      <c r="G136" s="7">
        <v>0.80700000000000005</v>
      </c>
      <c r="H136" s="7">
        <f>G136*(500/310)</f>
        <v>1.3016129032258064</v>
      </c>
      <c r="I136" s="6">
        <v>1</v>
      </c>
    </row>
    <row r="137" spans="1:9" x14ac:dyDescent="0.2">
      <c r="B137">
        <v>54</v>
      </c>
      <c r="C137">
        <v>18</v>
      </c>
      <c r="D137" s="7">
        <v>3.2229999999999999</v>
      </c>
      <c r="E137" s="7">
        <f>0.505+0.55</f>
        <v>1.0550000000000002</v>
      </c>
      <c r="F137" s="5">
        <f>100*E137/D137</f>
        <v>32.733478125969597</v>
      </c>
      <c r="G137" s="7">
        <v>1.4970000000000001</v>
      </c>
      <c r="H137" s="7">
        <f>G137*(500/310)</f>
        <v>2.4145161290322581</v>
      </c>
      <c r="I137" s="6">
        <v>1</v>
      </c>
    </row>
    <row r="138" spans="1:9" x14ac:dyDescent="0.2">
      <c r="A138" t="s">
        <v>32</v>
      </c>
      <c r="B138">
        <v>55</v>
      </c>
      <c r="C138">
        <v>1</v>
      </c>
      <c r="D138" s="7">
        <v>1.8380000000000001</v>
      </c>
      <c r="E138" s="7">
        <v>0.18</v>
      </c>
      <c r="F138" s="5">
        <f>100*E138/D138</f>
        <v>9.7932535364526654</v>
      </c>
      <c r="G138" s="7">
        <v>0.79300000000000004</v>
      </c>
      <c r="H138" s="7">
        <f>G138*(500/310)</f>
        <v>1.2790322580645161</v>
      </c>
      <c r="I138" s="6">
        <v>1</v>
      </c>
    </row>
    <row r="139" spans="1:9" x14ac:dyDescent="0.2">
      <c r="B139">
        <v>56</v>
      </c>
      <c r="C139">
        <v>2</v>
      </c>
      <c r="D139" s="7">
        <v>1.9</v>
      </c>
      <c r="E139" s="7">
        <f>0.313+0.12</f>
        <v>0.433</v>
      </c>
      <c r="F139" s="5">
        <f>100*E139/D139</f>
        <v>22.789473684210527</v>
      </c>
      <c r="G139" s="7">
        <v>0.80100000000000005</v>
      </c>
      <c r="H139" s="7">
        <f>G139*(500/310)</f>
        <v>1.2919354838709678</v>
      </c>
      <c r="I139" s="6">
        <v>1</v>
      </c>
    </row>
    <row r="140" spans="1:9" x14ac:dyDescent="0.2">
      <c r="B140">
        <v>57</v>
      </c>
      <c r="C140">
        <v>3</v>
      </c>
      <c r="D140" s="7">
        <v>1.1419999999999999</v>
      </c>
      <c r="E140" s="7">
        <v>0.74199999999999999</v>
      </c>
      <c r="F140" s="5">
        <f>100*E140/D140</f>
        <v>64.973730297723307</v>
      </c>
      <c r="G140" s="7">
        <v>0.42399999999999999</v>
      </c>
      <c r="H140" s="7">
        <f>G140*(500/310)</f>
        <v>0.68387096774193545</v>
      </c>
      <c r="I140" s="6">
        <v>1</v>
      </c>
    </row>
    <row r="141" spans="1:9" x14ac:dyDescent="0.2">
      <c r="B141">
        <v>58</v>
      </c>
      <c r="C141">
        <v>4</v>
      </c>
      <c r="D141" s="7">
        <v>1.216</v>
      </c>
      <c r="E141" s="7">
        <f>0.217+0.381</f>
        <v>0.59799999999999998</v>
      </c>
      <c r="F141" s="5">
        <f>100*E141/D141</f>
        <v>49.17763157894737</v>
      </c>
      <c r="G141" s="7">
        <v>0.39400000000000002</v>
      </c>
      <c r="H141" s="7">
        <f>G141*(500/310)</f>
        <v>0.63548387096774195</v>
      </c>
      <c r="I141" s="6">
        <v>1</v>
      </c>
    </row>
    <row r="142" spans="1:9" x14ac:dyDescent="0.2">
      <c r="B142">
        <v>59</v>
      </c>
      <c r="C142">
        <v>5</v>
      </c>
      <c r="D142" s="7">
        <v>1.367</v>
      </c>
      <c r="E142" s="7">
        <v>0.66500000000000004</v>
      </c>
      <c r="F142" s="5">
        <f>100*E142/D142</f>
        <v>48.646671543525969</v>
      </c>
      <c r="G142" s="7">
        <v>0.503</v>
      </c>
      <c r="H142" s="7">
        <f>G142*(500/310)</f>
        <v>0.81129032258064515</v>
      </c>
      <c r="I142" s="6">
        <v>1</v>
      </c>
    </row>
    <row r="143" spans="1:9" x14ac:dyDescent="0.2">
      <c r="B143">
        <v>60</v>
      </c>
      <c r="C143">
        <v>6</v>
      </c>
      <c r="D143" s="7">
        <v>2.42</v>
      </c>
      <c r="E143" s="7">
        <f>0.218+0.183+0.725</f>
        <v>1.1259999999999999</v>
      </c>
      <c r="F143" s="5">
        <f>100*E143/D143</f>
        <v>46.528925619834709</v>
      </c>
      <c r="G143" s="7">
        <v>0.96799999999999997</v>
      </c>
      <c r="H143" s="7">
        <f>G143*(500/310)</f>
        <v>1.5612903225806449</v>
      </c>
      <c r="I143" s="6">
        <v>1</v>
      </c>
    </row>
    <row r="144" spans="1:9" x14ac:dyDescent="0.2">
      <c r="B144">
        <v>61</v>
      </c>
      <c r="C144">
        <v>7</v>
      </c>
      <c r="D144" s="7">
        <v>1.0429999999999999</v>
      </c>
      <c r="E144" s="7">
        <v>0.66600000000000004</v>
      </c>
      <c r="F144" s="5">
        <f>100*E144/D144</f>
        <v>63.854266538830309</v>
      </c>
      <c r="G144" s="7">
        <v>0.376</v>
      </c>
      <c r="H144" s="7">
        <f>G144*(500/310)</f>
        <v>0.6064516129032258</v>
      </c>
      <c r="I144" s="6">
        <v>1</v>
      </c>
    </row>
    <row r="145" spans="1:9" x14ac:dyDescent="0.2">
      <c r="B145">
        <v>62</v>
      </c>
      <c r="C145">
        <v>8</v>
      </c>
      <c r="D145" s="7">
        <v>1.3680000000000001</v>
      </c>
      <c r="E145" s="7">
        <f>0.094+0.373</f>
        <v>0.46699999999999997</v>
      </c>
      <c r="F145" s="5">
        <f>100*E145/D145</f>
        <v>34.137426900584792</v>
      </c>
      <c r="G145" s="7">
        <v>0.52100000000000002</v>
      </c>
      <c r="H145" s="7">
        <f>G145*(500/310)</f>
        <v>0.8403225806451613</v>
      </c>
      <c r="I145" s="6">
        <v>1</v>
      </c>
    </row>
    <row r="146" spans="1:9" x14ac:dyDescent="0.2">
      <c r="B146">
        <v>63</v>
      </c>
      <c r="C146">
        <v>9</v>
      </c>
      <c r="D146" s="7">
        <v>1.9</v>
      </c>
      <c r="E146" s="7">
        <v>0.753</v>
      </c>
      <c r="F146" s="5">
        <f>100*E146/D146</f>
        <v>39.631578947368425</v>
      </c>
      <c r="G146" s="7">
        <v>0.754</v>
      </c>
      <c r="H146" s="7">
        <f>G146*(500/310)</f>
        <v>1.2161290322580645</v>
      </c>
      <c r="I146" s="6">
        <v>1</v>
      </c>
    </row>
    <row r="147" spans="1:9" x14ac:dyDescent="0.2">
      <c r="B147">
        <v>64</v>
      </c>
      <c r="C147">
        <v>10</v>
      </c>
      <c r="D147" s="7">
        <v>1.137</v>
      </c>
      <c r="E147" s="7">
        <f>0.451+0.046+0.415</f>
        <v>0.91199999999999992</v>
      </c>
      <c r="F147" s="5">
        <f>100*E147/D147</f>
        <v>80.211081794195238</v>
      </c>
      <c r="G147" s="7">
        <v>0.40400000000000003</v>
      </c>
      <c r="H147" s="7">
        <f>G147*(500/310)</f>
        <v>0.65161290322580645</v>
      </c>
      <c r="I147" s="6">
        <v>1</v>
      </c>
    </row>
    <row r="148" spans="1:9" x14ac:dyDescent="0.2">
      <c r="B148">
        <v>65</v>
      </c>
      <c r="C148">
        <v>11</v>
      </c>
      <c r="D148" s="7">
        <v>0.93100000000000005</v>
      </c>
      <c r="E148" s="7">
        <v>0.48599999999999999</v>
      </c>
      <c r="F148" s="5">
        <f>100*E148/D148</f>
        <v>52.201933404940924</v>
      </c>
      <c r="G148" s="7">
        <v>0.27400000000000002</v>
      </c>
      <c r="H148" s="7">
        <f>G148*(500/310)</f>
        <v>0.44193548387096776</v>
      </c>
      <c r="I148" s="6">
        <v>1</v>
      </c>
    </row>
    <row r="149" spans="1:9" x14ac:dyDescent="0.2">
      <c r="B149">
        <v>66</v>
      </c>
      <c r="C149">
        <v>12</v>
      </c>
      <c r="D149" s="7">
        <v>1.2390000000000001</v>
      </c>
      <c r="E149" s="7">
        <f>0.49+0.326</f>
        <v>0.81600000000000006</v>
      </c>
      <c r="F149" s="5">
        <f>100*E149/D149</f>
        <v>65.859564164648916</v>
      </c>
      <c r="G149" s="7">
        <v>0.503</v>
      </c>
      <c r="H149" s="7">
        <f>G149*(500/310)</f>
        <v>0.81129032258064515</v>
      </c>
      <c r="I149" s="6">
        <v>1</v>
      </c>
    </row>
    <row r="150" spans="1:9" x14ac:dyDescent="0.2">
      <c r="B150">
        <v>67</v>
      </c>
      <c r="C150">
        <v>13</v>
      </c>
      <c r="D150" s="7">
        <v>0.96599999999999997</v>
      </c>
      <c r="E150" s="7">
        <f>0.407+0.326</f>
        <v>0.73299999999999998</v>
      </c>
      <c r="F150" s="5">
        <f>100*E150/D150</f>
        <v>75.879917184265011</v>
      </c>
      <c r="G150" s="7">
        <v>0.374</v>
      </c>
      <c r="H150" s="7">
        <f>G150*(500/310)</f>
        <v>0.60322580645161283</v>
      </c>
      <c r="I150" s="6">
        <v>1</v>
      </c>
    </row>
    <row r="152" spans="1:9" x14ac:dyDescent="0.2">
      <c r="C152" t="s">
        <v>14</v>
      </c>
      <c r="D152" s="7">
        <f>AVERAGE(D84:D150)</f>
        <v>1.7485820895522384</v>
      </c>
      <c r="E152" s="7">
        <f>AVERAGE(E84:E150)</f>
        <v>0.71752238805970114</v>
      </c>
      <c r="F152" s="7">
        <f>AVERAGE(F84:F150)</f>
        <v>41.56856358136038</v>
      </c>
      <c r="G152" s="7">
        <f>AVERAGE(G84:G150)</f>
        <v>0.68659701492537306</v>
      </c>
      <c r="H152" s="7">
        <f>AVERAGE(H84:H150)</f>
        <v>1.1074145402022153</v>
      </c>
      <c r="I152" s="13"/>
    </row>
    <row r="153" spans="1:9" x14ac:dyDescent="0.2">
      <c r="C153" t="s">
        <v>13</v>
      </c>
      <c r="D153" s="7">
        <f>STDEV(D84:D150)</f>
        <v>0.74035206918129426</v>
      </c>
      <c r="E153" s="7">
        <f>STDEV(E84:E150)</f>
        <v>0.41190048659211059</v>
      </c>
      <c r="F153" s="7">
        <f>STDEV(F84:F150)</f>
        <v>17.909871232732289</v>
      </c>
      <c r="G153" s="7">
        <f>STDEV(G84:G150)</f>
        <v>0.34610215078619944</v>
      </c>
      <c r="H153" s="7">
        <f>STDEV(H84:H150)</f>
        <v>0.5582292754616105</v>
      </c>
      <c r="I153" s="7"/>
    </row>
    <row r="155" spans="1:9" x14ac:dyDescent="0.2">
      <c r="A155" t="s">
        <v>31</v>
      </c>
    </row>
    <row r="156" spans="1:9" x14ac:dyDescent="0.2">
      <c r="A156" t="s">
        <v>1</v>
      </c>
    </row>
    <row r="157" spans="1:9" x14ac:dyDescent="0.2">
      <c r="A157" t="s">
        <v>6</v>
      </c>
    </row>
    <row r="159" spans="1:9" x14ac:dyDescent="0.2">
      <c r="A159" s="12" t="s">
        <v>30</v>
      </c>
      <c r="B159" s="12" t="s">
        <v>29</v>
      </c>
      <c r="C159" s="12" t="s">
        <v>28</v>
      </c>
      <c r="D159" s="10" t="s">
        <v>27</v>
      </c>
      <c r="E159" s="10" t="s">
        <v>26</v>
      </c>
      <c r="F159" s="11" t="s">
        <v>25</v>
      </c>
      <c r="G159" s="10" t="s">
        <v>24</v>
      </c>
      <c r="H159" s="10" t="s">
        <v>23</v>
      </c>
      <c r="I159" s="9" t="s">
        <v>22</v>
      </c>
    </row>
    <row r="160" spans="1:9" x14ac:dyDescent="0.2">
      <c r="A160" t="s">
        <v>21</v>
      </c>
      <c r="B160">
        <v>1</v>
      </c>
      <c r="C160">
        <v>1</v>
      </c>
      <c r="D160" s="7">
        <v>2.54</v>
      </c>
      <c r="E160" s="7">
        <f>0.141+0.097</f>
        <v>0.23799999999999999</v>
      </c>
      <c r="F160" s="5">
        <f>100*E160/D160</f>
        <v>9.3700787401574797</v>
      </c>
      <c r="G160" s="7">
        <v>1.071</v>
      </c>
      <c r="H160" s="7">
        <f>G160*(500/310)</f>
        <v>1.7274193548387096</v>
      </c>
      <c r="I160" s="6">
        <v>1</v>
      </c>
    </row>
    <row r="161" spans="1:9" x14ac:dyDescent="0.2">
      <c r="B161">
        <v>2</v>
      </c>
      <c r="C161">
        <v>2</v>
      </c>
      <c r="D161" s="7">
        <v>4.7069999999999999</v>
      </c>
      <c r="E161" s="7">
        <v>0.33300000000000002</v>
      </c>
      <c r="F161" s="5">
        <f>100*E161/D161</f>
        <v>7.0745697896749533</v>
      </c>
      <c r="G161" s="7">
        <v>2.0139999999999998</v>
      </c>
      <c r="H161" s="7">
        <f>G161*(500/310)</f>
        <v>3.2483870967741928</v>
      </c>
      <c r="I161" s="6">
        <v>1</v>
      </c>
    </row>
    <row r="162" spans="1:9" x14ac:dyDescent="0.2">
      <c r="B162">
        <v>3</v>
      </c>
      <c r="C162">
        <v>3</v>
      </c>
      <c r="D162" s="7">
        <v>3.8220000000000001</v>
      </c>
      <c r="E162" s="7">
        <v>0.378</v>
      </c>
      <c r="F162" s="5">
        <f>100*E162/D162</f>
        <v>9.8901098901098887</v>
      </c>
      <c r="G162" s="7">
        <v>1.724</v>
      </c>
      <c r="H162" s="7">
        <f>G162*(500/310)</f>
        <v>2.7806451612903222</v>
      </c>
      <c r="I162" s="6">
        <v>1</v>
      </c>
    </row>
    <row r="163" spans="1:9" x14ac:dyDescent="0.2">
      <c r="B163">
        <v>4</v>
      </c>
      <c r="C163">
        <v>4</v>
      </c>
      <c r="D163" s="7">
        <v>4.0570000000000004</v>
      </c>
      <c r="E163" s="7">
        <f>0.587+0.082</f>
        <v>0.66899999999999993</v>
      </c>
      <c r="F163" s="5">
        <f>100*E163/D163</f>
        <v>16.490017254128663</v>
      </c>
      <c r="G163" s="7">
        <v>1.6120000000000001</v>
      </c>
      <c r="H163" s="7">
        <f>G163*(500/310)</f>
        <v>2.6</v>
      </c>
      <c r="I163" s="6">
        <v>1</v>
      </c>
    </row>
    <row r="164" spans="1:9" x14ac:dyDescent="0.2">
      <c r="B164">
        <v>5</v>
      </c>
      <c r="C164">
        <v>5</v>
      </c>
      <c r="D164" s="7">
        <v>3.5179999999999998</v>
      </c>
      <c r="E164" s="7">
        <v>0.30599999999999999</v>
      </c>
      <c r="F164" s="5">
        <f>100*E164/D164</f>
        <v>8.6981239340534398</v>
      </c>
      <c r="G164" s="7">
        <v>1.4550000000000001</v>
      </c>
      <c r="H164" s="7">
        <f>G164*(500/310)</f>
        <v>2.346774193548387</v>
      </c>
      <c r="I164" s="6">
        <v>1</v>
      </c>
    </row>
    <row r="165" spans="1:9" x14ac:dyDescent="0.2">
      <c r="B165">
        <v>6</v>
      </c>
      <c r="C165">
        <v>6</v>
      </c>
      <c r="D165" s="7">
        <v>2.1840000000000002</v>
      </c>
      <c r="E165" s="7">
        <v>0.14499999999999999</v>
      </c>
      <c r="F165" s="5">
        <f>100*E165/D165</f>
        <v>6.6391941391941378</v>
      </c>
      <c r="G165" s="7">
        <v>0.73799999999999999</v>
      </c>
      <c r="H165" s="7">
        <f>G165*(500/310)</f>
        <v>1.1903225806451612</v>
      </c>
      <c r="I165" s="6">
        <v>1</v>
      </c>
    </row>
    <row r="166" spans="1:9" x14ac:dyDescent="0.2">
      <c r="B166">
        <v>7</v>
      </c>
      <c r="C166">
        <v>7</v>
      </c>
      <c r="D166" s="7">
        <v>1.1499999999999999</v>
      </c>
      <c r="E166" s="7">
        <v>0.39600000000000002</v>
      </c>
      <c r="F166" s="5">
        <f>100*E166/D166</f>
        <v>34.434782608695656</v>
      </c>
      <c r="G166" s="7">
        <v>0.372</v>
      </c>
      <c r="H166" s="7">
        <f>G166*(500/310)</f>
        <v>0.6</v>
      </c>
      <c r="I166" s="6">
        <v>1</v>
      </c>
    </row>
    <row r="167" spans="1:9" x14ac:dyDescent="0.2">
      <c r="B167">
        <v>8</v>
      </c>
      <c r="C167">
        <v>8</v>
      </c>
      <c r="D167" s="7">
        <v>1.3169999999999999</v>
      </c>
      <c r="E167" s="7">
        <v>0.2</v>
      </c>
      <c r="F167" s="5">
        <f>100*E167/D167</f>
        <v>15.186028853454822</v>
      </c>
      <c r="G167" s="7">
        <v>0.499</v>
      </c>
      <c r="H167" s="7">
        <f>G167*(500/310)</f>
        <v>0.80483870967741933</v>
      </c>
      <c r="I167" s="6">
        <v>1</v>
      </c>
    </row>
    <row r="168" spans="1:9" x14ac:dyDescent="0.2">
      <c r="B168">
        <v>9</v>
      </c>
      <c r="C168">
        <v>9</v>
      </c>
      <c r="D168" s="7">
        <v>1.7110000000000001</v>
      </c>
      <c r="E168" s="7">
        <f>0.143+0.163</f>
        <v>0.30599999999999999</v>
      </c>
      <c r="F168" s="5">
        <f>100*E168/D168</f>
        <v>17.884278199883106</v>
      </c>
      <c r="G168" s="7">
        <v>0.66700000000000004</v>
      </c>
      <c r="H168" s="7">
        <f>G168*(500/310)</f>
        <v>1.0758064516129031</v>
      </c>
      <c r="I168" s="6">
        <v>1</v>
      </c>
    </row>
    <row r="169" spans="1:9" x14ac:dyDescent="0.2">
      <c r="A169" t="s">
        <v>20</v>
      </c>
      <c r="B169">
        <v>10</v>
      </c>
      <c r="C169">
        <v>1</v>
      </c>
      <c r="D169" s="7">
        <v>0.72499999999999998</v>
      </c>
      <c r="E169" s="7">
        <v>0</v>
      </c>
      <c r="F169" s="5">
        <f>100*E169/D169</f>
        <v>0</v>
      </c>
      <c r="G169" s="7">
        <v>0.72</v>
      </c>
      <c r="H169" s="7">
        <f>G169*(500/310)</f>
        <v>1.161290322580645</v>
      </c>
      <c r="I169" s="6">
        <v>0</v>
      </c>
    </row>
    <row r="170" spans="1:9" x14ac:dyDescent="0.2">
      <c r="A170" t="s">
        <v>19</v>
      </c>
      <c r="B170">
        <v>11</v>
      </c>
      <c r="C170">
        <v>2</v>
      </c>
      <c r="D170" s="7">
        <v>2.0289999999999999</v>
      </c>
      <c r="E170" s="7">
        <v>0</v>
      </c>
      <c r="F170" s="5">
        <f>100*E170/D170</f>
        <v>0</v>
      </c>
      <c r="G170" s="7">
        <v>0.78700000000000003</v>
      </c>
      <c r="H170" s="7">
        <f>G170*(500/310)</f>
        <v>1.2693548387096774</v>
      </c>
      <c r="I170" s="6">
        <v>0</v>
      </c>
    </row>
    <row r="171" spans="1:9" x14ac:dyDescent="0.2">
      <c r="A171" t="s">
        <v>18</v>
      </c>
      <c r="B171">
        <v>12</v>
      </c>
      <c r="C171">
        <v>3</v>
      </c>
      <c r="D171" s="7">
        <v>2.145</v>
      </c>
      <c r="E171" s="7">
        <v>0.69899999999999995</v>
      </c>
      <c r="F171" s="5">
        <f>100*E171/D171</f>
        <v>32.587412587412587</v>
      </c>
      <c r="G171" s="7">
        <v>0.82299999999999995</v>
      </c>
      <c r="H171" s="7">
        <f>G171*(500/310)</f>
        <v>1.3274193548387094</v>
      </c>
      <c r="I171" s="6">
        <v>1</v>
      </c>
    </row>
    <row r="172" spans="1:9" x14ac:dyDescent="0.2">
      <c r="A172" t="s">
        <v>17</v>
      </c>
      <c r="B172">
        <v>13</v>
      </c>
      <c r="C172">
        <v>4</v>
      </c>
      <c r="D172" s="7">
        <v>2.8530000000000002</v>
      </c>
      <c r="E172" s="7">
        <v>0.25600000000000001</v>
      </c>
      <c r="F172" s="5">
        <f>100*E172/D172</f>
        <v>8.9730108657553451</v>
      </c>
      <c r="G172" s="7">
        <v>1.1830000000000001</v>
      </c>
      <c r="H172" s="7">
        <f>G172*(500/310)</f>
        <v>1.9080645161290322</v>
      </c>
      <c r="I172" s="6">
        <v>1</v>
      </c>
    </row>
    <row r="173" spans="1:9" x14ac:dyDescent="0.2">
      <c r="A173" t="s">
        <v>16</v>
      </c>
      <c r="B173">
        <v>14</v>
      </c>
      <c r="C173">
        <v>5</v>
      </c>
      <c r="D173" s="7">
        <v>1.214</v>
      </c>
      <c r="E173" s="7">
        <v>0</v>
      </c>
      <c r="F173" s="5">
        <f>100*E173/D173</f>
        <v>0</v>
      </c>
      <c r="G173" s="7">
        <v>0.39</v>
      </c>
      <c r="H173" s="7">
        <f>G173*(500/310)</f>
        <v>0.62903225806451613</v>
      </c>
      <c r="I173" s="6">
        <v>0</v>
      </c>
    </row>
    <row r="174" spans="1:9" x14ac:dyDescent="0.2">
      <c r="B174">
        <v>15</v>
      </c>
      <c r="C174">
        <v>6</v>
      </c>
      <c r="D174" s="7">
        <v>2.15</v>
      </c>
      <c r="E174" s="7">
        <v>0.45200000000000001</v>
      </c>
      <c r="F174" s="5">
        <f>100*E174/D174</f>
        <v>21.02325581395349</v>
      </c>
      <c r="G174" s="7">
        <v>0.82799999999999996</v>
      </c>
      <c r="H174" s="7">
        <f>G174*(500/310)</f>
        <v>1.3354838709677417</v>
      </c>
      <c r="I174" s="6">
        <v>1</v>
      </c>
    </row>
    <row r="175" spans="1:9" x14ac:dyDescent="0.2">
      <c r="B175">
        <v>16</v>
      </c>
      <c r="C175">
        <v>7</v>
      </c>
      <c r="D175" s="7">
        <v>2.214</v>
      </c>
      <c r="E175" s="7">
        <v>0.46899999999999997</v>
      </c>
      <c r="F175" s="5">
        <f>100*E175/D175</f>
        <v>21.183378500451671</v>
      </c>
      <c r="G175" s="7">
        <v>0.91300000000000003</v>
      </c>
      <c r="H175" s="7">
        <f>G175*(500/310)</f>
        <v>1.4725806451612904</v>
      </c>
      <c r="I175" s="6">
        <v>1</v>
      </c>
    </row>
    <row r="176" spans="1:9" x14ac:dyDescent="0.2">
      <c r="B176">
        <v>17</v>
      </c>
      <c r="C176">
        <v>8</v>
      </c>
      <c r="D176" s="7">
        <v>1.133</v>
      </c>
      <c r="E176" s="7">
        <v>0.23499999999999999</v>
      </c>
      <c r="F176" s="5">
        <f>100*E176/D176</f>
        <v>20.741394527802296</v>
      </c>
      <c r="G176" s="7">
        <v>0.379</v>
      </c>
      <c r="H176" s="7">
        <f>G176*(500/310)</f>
        <v>0.61129032258064508</v>
      </c>
      <c r="I176" s="6">
        <v>1</v>
      </c>
    </row>
    <row r="177" spans="2:9" x14ac:dyDescent="0.2">
      <c r="B177">
        <v>18</v>
      </c>
      <c r="C177">
        <v>9</v>
      </c>
      <c r="D177" s="7">
        <v>1.208</v>
      </c>
      <c r="E177" s="7">
        <v>0.151</v>
      </c>
      <c r="F177" s="5">
        <f>100*E177/D177</f>
        <v>12.5</v>
      </c>
      <c r="G177" s="7">
        <v>0.40300000000000002</v>
      </c>
      <c r="H177" s="7">
        <f>G177*(500/310)</f>
        <v>0.65</v>
      </c>
      <c r="I177" s="6">
        <v>1</v>
      </c>
    </row>
    <row r="178" spans="2:9" x14ac:dyDescent="0.2">
      <c r="B178">
        <v>19</v>
      </c>
      <c r="C178">
        <v>10</v>
      </c>
      <c r="D178" s="7">
        <v>1.1140000000000001</v>
      </c>
      <c r="E178" s="7">
        <v>6.9000000000000006E-2</v>
      </c>
      <c r="F178" s="5">
        <f>100*E178/D178</f>
        <v>6.1938958707360863</v>
      </c>
      <c r="G178" s="7">
        <v>0.41099999999999998</v>
      </c>
      <c r="H178" s="7">
        <f>G178*(500/310)</f>
        <v>0.66290322580645156</v>
      </c>
      <c r="I178" s="6">
        <v>1</v>
      </c>
    </row>
    <row r="179" spans="2:9" x14ac:dyDescent="0.2">
      <c r="B179">
        <v>20</v>
      </c>
      <c r="C179">
        <v>11</v>
      </c>
      <c r="D179" s="7">
        <v>1.105</v>
      </c>
      <c r="E179" s="7">
        <v>0.42399999999999999</v>
      </c>
      <c r="F179" s="5">
        <f>100*E179/D179</f>
        <v>38.371040723981899</v>
      </c>
      <c r="G179" s="7">
        <v>0.41099999999999998</v>
      </c>
      <c r="H179" s="7">
        <f>G179*(500/310)</f>
        <v>0.66290322580645156</v>
      </c>
      <c r="I179" s="6">
        <v>1</v>
      </c>
    </row>
    <row r="180" spans="2:9" x14ac:dyDescent="0.2">
      <c r="B180">
        <v>21</v>
      </c>
      <c r="C180">
        <v>12</v>
      </c>
      <c r="D180" s="7">
        <v>1.724</v>
      </c>
      <c r="E180" s="7">
        <v>0</v>
      </c>
      <c r="F180" s="5">
        <f>100*E180/D180</f>
        <v>0</v>
      </c>
      <c r="G180" s="7">
        <v>0.56200000000000006</v>
      </c>
      <c r="H180" s="7">
        <f>G180*(500/310)</f>
        <v>0.90645161290322585</v>
      </c>
      <c r="I180" s="6">
        <v>0</v>
      </c>
    </row>
    <row r="181" spans="2:9" x14ac:dyDescent="0.2">
      <c r="B181">
        <v>22</v>
      </c>
      <c r="C181">
        <v>13</v>
      </c>
      <c r="D181" s="7">
        <v>1.202</v>
      </c>
      <c r="E181" s="7">
        <v>0.308</v>
      </c>
      <c r="F181" s="5">
        <f>100*E181/D181</f>
        <v>25.623960066555743</v>
      </c>
      <c r="G181" s="7">
        <v>0.41399999999999998</v>
      </c>
      <c r="H181" s="7">
        <f>G181*(500/310)</f>
        <v>0.66774193548387084</v>
      </c>
      <c r="I181" s="6">
        <v>1</v>
      </c>
    </row>
    <row r="182" spans="2:9" x14ac:dyDescent="0.2">
      <c r="B182">
        <v>23</v>
      </c>
      <c r="C182">
        <v>14</v>
      </c>
      <c r="D182" s="7">
        <v>0.35899999999999999</v>
      </c>
      <c r="E182" s="7">
        <v>0</v>
      </c>
      <c r="F182" s="5">
        <f>100*E182/D182</f>
        <v>0</v>
      </c>
      <c r="G182" s="7">
        <v>0.52600000000000002</v>
      </c>
      <c r="H182" s="7">
        <f>G182*(500/310)</f>
        <v>0.84838709677419355</v>
      </c>
      <c r="I182" s="6">
        <v>0</v>
      </c>
    </row>
    <row r="183" spans="2:9" x14ac:dyDescent="0.2">
      <c r="B183">
        <v>24</v>
      </c>
      <c r="C183">
        <v>15</v>
      </c>
      <c r="D183" s="7">
        <v>1.5940000000000001</v>
      </c>
      <c r="E183" s="7">
        <v>0</v>
      </c>
      <c r="F183" s="5">
        <f>100*E183/D183</f>
        <v>0</v>
      </c>
      <c r="G183" s="7">
        <v>0.53</v>
      </c>
      <c r="H183" s="7">
        <f>G183*(500/310)</f>
        <v>0.85483870967741937</v>
      </c>
      <c r="I183" s="6">
        <v>0</v>
      </c>
    </row>
    <row r="184" spans="2:9" x14ac:dyDescent="0.2">
      <c r="B184">
        <v>25</v>
      </c>
      <c r="C184">
        <v>16</v>
      </c>
      <c r="D184" s="7">
        <v>2.1110000000000002</v>
      </c>
      <c r="E184" s="7">
        <v>0.80100000000000005</v>
      </c>
      <c r="F184" s="5">
        <f>100*E184/D184</f>
        <v>37.944102321174796</v>
      </c>
      <c r="G184" s="7">
        <v>0.83099999999999996</v>
      </c>
      <c r="H184" s="7">
        <f>G184*(500/310)</f>
        <v>1.3403225806451611</v>
      </c>
      <c r="I184" s="6">
        <v>1</v>
      </c>
    </row>
    <row r="185" spans="2:9" x14ac:dyDescent="0.2">
      <c r="B185">
        <v>26</v>
      </c>
      <c r="C185">
        <v>17</v>
      </c>
      <c r="D185" s="7">
        <v>2.5910000000000002</v>
      </c>
      <c r="E185" s="7">
        <v>0.33800000000000002</v>
      </c>
      <c r="F185" s="5">
        <f>100*E185/D185</f>
        <v>13.045156310304902</v>
      </c>
      <c r="G185" s="7">
        <v>1.0229999999999999</v>
      </c>
      <c r="H185" s="7">
        <f>G185*(500/310)</f>
        <v>1.6499999999999997</v>
      </c>
      <c r="I185" s="6">
        <v>1</v>
      </c>
    </row>
    <row r="186" spans="2:9" x14ac:dyDescent="0.2">
      <c r="B186">
        <v>27</v>
      </c>
      <c r="C186">
        <v>18</v>
      </c>
      <c r="D186" s="7">
        <v>1.637</v>
      </c>
      <c r="E186" s="7">
        <v>0</v>
      </c>
      <c r="F186" s="5">
        <f>100*E186/D186</f>
        <v>0</v>
      </c>
      <c r="G186" s="7">
        <v>0.627</v>
      </c>
      <c r="H186" s="7">
        <f>G186*(500/310)</f>
        <v>1.0112903225806451</v>
      </c>
      <c r="I186" s="6">
        <v>0</v>
      </c>
    </row>
    <row r="187" spans="2:9" x14ac:dyDescent="0.2">
      <c r="B187">
        <v>28</v>
      </c>
      <c r="C187">
        <v>19</v>
      </c>
      <c r="D187" s="7">
        <v>2.23</v>
      </c>
      <c r="E187" s="7">
        <v>0</v>
      </c>
      <c r="F187" s="5">
        <f>100*E187/D187</f>
        <v>0</v>
      </c>
      <c r="G187" s="7">
        <v>0.92600000000000005</v>
      </c>
      <c r="H187" s="7">
        <f>G187*(500/310)</f>
        <v>1.4935483870967741</v>
      </c>
      <c r="I187" s="6">
        <v>0</v>
      </c>
    </row>
    <row r="188" spans="2:9" x14ac:dyDescent="0.2">
      <c r="B188">
        <v>29</v>
      </c>
      <c r="C188">
        <v>20</v>
      </c>
      <c r="D188" s="7">
        <v>1.444</v>
      </c>
      <c r="E188" s="7">
        <v>8.8999999999999996E-2</v>
      </c>
      <c r="F188" s="5">
        <f>100*E188/D188</f>
        <v>6.1634349030470919</v>
      </c>
      <c r="G188" s="7">
        <v>0.50800000000000001</v>
      </c>
      <c r="H188" s="7">
        <f>G188*(500/310)</f>
        <v>0.8193548387096774</v>
      </c>
      <c r="I188" s="6">
        <v>1</v>
      </c>
    </row>
    <row r="189" spans="2:9" x14ac:dyDescent="0.2">
      <c r="B189">
        <v>30</v>
      </c>
      <c r="C189">
        <v>21</v>
      </c>
      <c r="D189" s="7">
        <v>1.8580000000000001</v>
      </c>
      <c r="E189" s="7">
        <f>0.379+0.228</f>
        <v>0.60699999999999998</v>
      </c>
      <c r="F189" s="5">
        <f>100*E189/D189</f>
        <v>32.669537136706133</v>
      </c>
      <c r="G189" s="7">
        <v>0.72</v>
      </c>
      <c r="H189" s="7">
        <f>G189*(500/310)</f>
        <v>1.161290322580645</v>
      </c>
      <c r="I189" s="6">
        <v>1</v>
      </c>
    </row>
    <row r="190" spans="2:9" x14ac:dyDescent="0.2">
      <c r="B190">
        <v>31</v>
      </c>
      <c r="C190">
        <v>22</v>
      </c>
      <c r="D190" s="7">
        <v>1.9059999999999999</v>
      </c>
      <c r="E190" s="7">
        <v>0.30399999999999999</v>
      </c>
      <c r="F190" s="5">
        <f>100*E190/D190</f>
        <v>15.949632738719831</v>
      </c>
      <c r="G190" s="7">
        <v>0.747</v>
      </c>
      <c r="H190" s="7">
        <f>G190*(500/310)</f>
        <v>1.2048387096774194</v>
      </c>
      <c r="I190" s="6">
        <v>1</v>
      </c>
    </row>
    <row r="191" spans="2:9" x14ac:dyDescent="0.2">
      <c r="B191">
        <v>32</v>
      </c>
      <c r="C191">
        <v>23</v>
      </c>
      <c r="D191" s="7">
        <v>1.234</v>
      </c>
      <c r="E191" s="7">
        <v>0.113</v>
      </c>
      <c r="F191" s="5">
        <f>100*E191/D191</f>
        <v>9.1572123176661275</v>
      </c>
      <c r="G191" s="7">
        <v>0.41499999999999998</v>
      </c>
      <c r="H191" s="7">
        <f>G191*(500/310)</f>
        <v>0.66935483870967738</v>
      </c>
      <c r="I191" s="6">
        <v>1</v>
      </c>
    </row>
    <row r="192" spans="2:9" x14ac:dyDescent="0.2">
      <c r="B192">
        <v>33</v>
      </c>
      <c r="C192">
        <v>24</v>
      </c>
      <c r="D192" s="7">
        <v>1.3819999999999999</v>
      </c>
      <c r="E192" s="7">
        <v>0.26500000000000001</v>
      </c>
      <c r="F192" s="5">
        <f>100*E192/D192</f>
        <v>19.175108538350219</v>
      </c>
      <c r="G192" s="7">
        <v>0.46800000000000003</v>
      </c>
      <c r="H192" s="7">
        <f>G192*(500/310)</f>
        <v>0.75483870967741939</v>
      </c>
      <c r="I192" s="6">
        <v>1</v>
      </c>
    </row>
    <row r="193" spans="1:9" x14ac:dyDescent="0.2">
      <c r="B193">
        <v>34</v>
      </c>
      <c r="C193">
        <v>25</v>
      </c>
      <c r="D193" s="7">
        <v>1.3440000000000001</v>
      </c>
      <c r="E193" s="7">
        <v>0</v>
      </c>
      <c r="F193" s="5">
        <f>100*E193/D193</f>
        <v>0</v>
      </c>
      <c r="G193" s="7">
        <v>0.52400000000000002</v>
      </c>
      <c r="H193" s="7">
        <f>G193*(500/310)</f>
        <v>0.84516129032258058</v>
      </c>
      <c r="I193" s="6">
        <v>0</v>
      </c>
    </row>
    <row r="194" spans="1:9" x14ac:dyDescent="0.2">
      <c r="B194">
        <v>35</v>
      </c>
      <c r="C194">
        <v>26</v>
      </c>
      <c r="D194" s="7">
        <v>1.4259999999999999</v>
      </c>
      <c r="E194" s="7">
        <v>0.112</v>
      </c>
      <c r="F194" s="5">
        <f>100*E194/D194</f>
        <v>7.8541374474053303</v>
      </c>
      <c r="G194" s="7">
        <v>0.51100000000000001</v>
      </c>
      <c r="H194" s="7">
        <f>G194*(500/310)</f>
        <v>0.82419354838709669</v>
      </c>
      <c r="I194" s="6">
        <v>1</v>
      </c>
    </row>
    <row r="195" spans="1:9" x14ac:dyDescent="0.2">
      <c r="B195">
        <v>36</v>
      </c>
      <c r="C195">
        <v>27</v>
      </c>
      <c r="D195" s="7">
        <v>1.375</v>
      </c>
      <c r="E195" s="7">
        <v>9.7000000000000003E-2</v>
      </c>
      <c r="F195" s="5">
        <f>100*E195/D195</f>
        <v>7.0545454545454556</v>
      </c>
      <c r="G195" s="7">
        <v>0.45600000000000002</v>
      </c>
      <c r="H195" s="7">
        <f>G195*(500/310)</f>
        <v>0.73548387096774193</v>
      </c>
      <c r="I195" s="6">
        <v>1</v>
      </c>
    </row>
    <row r="196" spans="1:9" x14ac:dyDescent="0.2">
      <c r="B196">
        <v>37</v>
      </c>
      <c r="C196">
        <v>28</v>
      </c>
      <c r="D196" s="7">
        <v>1.345</v>
      </c>
      <c r="E196" s="7">
        <v>6.3E-2</v>
      </c>
      <c r="F196" s="5">
        <f>100*E196/D196</f>
        <v>4.6840148698884754</v>
      </c>
      <c r="G196" s="7">
        <v>0.46700000000000003</v>
      </c>
      <c r="H196" s="7">
        <f>G196*(500/310)</f>
        <v>0.75322580645161286</v>
      </c>
      <c r="I196" s="6">
        <v>1</v>
      </c>
    </row>
    <row r="197" spans="1:9" x14ac:dyDescent="0.2">
      <c r="B197">
        <v>38</v>
      </c>
      <c r="C197">
        <v>29</v>
      </c>
      <c r="D197" s="7">
        <v>1.4910000000000001</v>
      </c>
      <c r="E197" s="7">
        <v>0.73899999999999999</v>
      </c>
      <c r="F197" s="5">
        <f>100*E197/D197</f>
        <v>49.564050972501676</v>
      </c>
      <c r="G197" s="7">
        <v>0.50800000000000001</v>
      </c>
      <c r="H197" s="7">
        <f>G197*(500/310)</f>
        <v>0.8193548387096774</v>
      </c>
      <c r="I197" s="6">
        <v>1</v>
      </c>
    </row>
    <row r="198" spans="1:9" x14ac:dyDescent="0.2">
      <c r="B198">
        <v>39</v>
      </c>
      <c r="C198">
        <v>30</v>
      </c>
      <c r="D198" s="7">
        <v>1.4079999999999999</v>
      </c>
      <c r="E198" s="7">
        <v>0.22700000000000001</v>
      </c>
      <c r="F198" s="5">
        <f>100*E198/D198</f>
        <v>16.12215909090909</v>
      </c>
      <c r="G198" s="7">
        <v>0.52400000000000002</v>
      </c>
      <c r="H198" s="7">
        <f>G198*(500/310)</f>
        <v>0.84516129032258058</v>
      </c>
      <c r="I198" s="6">
        <v>1</v>
      </c>
    </row>
    <row r="199" spans="1:9" x14ac:dyDescent="0.2">
      <c r="B199">
        <v>40</v>
      </c>
      <c r="C199">
        <v>31</v>
      </c>
      <c r="D199" s="7">
        <v>1.4239999999999999</v>
      </c>
      <c r="E199" s="7">
        <v>0.13300000000000001</v>
      </c>
      <c r="F199" s="5">
        <f>100*E199/D199</f>
        <v>9.3398876404494384</v>
      </c>
      <c r="G199" s="7">
        <v>0.44700000000000001</v>
      </c>
      <c r="H199" s="7">
        <f>G199*(500/310)</f>
        <v>0.72096774193548385</v>
      </c>
      <c r="I199" s="6">
        <v>1</v>
      </c>
    </row>
    <row r="200" spans="1:9" x14ac:dyDescent="0.2">
      <c r="B200">
        <v>41</v>
      </c>
      <c r="C200">
        <v>32</v>
      </c>
      <c r="D200" s="7">
        <v>1.8109999999999999</v>
      </c>
      <c r="E200" s="7">
        <f>0.51+0.157+0.3</f>
        <v>0.96700000000000008</v>
      </c>
      <c r="F200" s="5">
        <f>100*E200/D200</f>
        <v>53.395913859746003</v>
      </c>
      <c r="G200" s="7">
        <v>0.67600000000000005</v>
      </c>
      <c r="H200" s="7">
        <f>G200*(500/310)</f>
        <v>1.0903225806451613</v>
      </c>
      <c r="I200" s="6">
        <v>1</v>
      </c>
    </row>
    <row r="201" spans="1:9" x14ac:dyDescent="0.2">
      <c r="B201">
        <v>42</v>
      </c>
      <c r="C201">
        <v>33</v>
      </c>
      <c r="D201" s="7">
        <v>1.63</v>
      </c>
      <c r="E201" s="7">
        <v>0.53700000000000003</v>
      </c>
      <c r="F201" s="5">
        <f>100*E201/D201</f>
        <v>32.944785276073624</v>
      </c>
      <c r="G201" s="7">
        <v>0.622</v>
      </c>
      <c r="H201" s="7">
        <f>G201*(500/310)</f>
        <v>1.0032258064516129</v>
      </c>
      <c r="I201" s="6">
        <v>1</v>
      </c>
    </row>
    <row r="202" spans="1:9" x14ac:dyDescent="0.2">
      <c r="B202">
        <v>43</v>
      </c>
      <c r="C202">
        <v>34</v>
      </c>
      <c r="D202" s="7">
        <v>0.96199999999999997</v>
      </c>
      <c r="E202" s="7">
        <v>0.249</v>
      </c>
      <c r="F202" s="5">
        <f>100*E202/D202</f>
        <v>25.883575883575883</v>
      </c>
      <c r="G202" s="7">
        <v>0.30499999999999999</v>
      </c>
      <c r="H202" s="7">
        <f>G202*(500/310)</f>
        <v>0.49193548387096769</v>
      </c>
      <c r="I202" s="6">
        <v>1</v>
      </c>
    </row>
    <row r="203" spans="1:9" x14ac:dyDescent="0.2">
      <c r="B203">
        <v>44</v>
      </c>
      <c r="C203">
        <v>35</v>
      </c>
      <c r="D203" s="7">
        <v>2.1379999999999999</v>
      </c>
      <c r="E203" s="7">
        <v>8.8999999999999996E-2</v>
      </c>
      <c r="F203" s="5">
        <f>100*E203/D203</f>
        <v>4.1627689429373254</v>
      </c>
      <c r="G203" s="7">
        <v>0.876</v>
      </c>
      <c r="H203" s="7">
        <f>G203*(500/310)</f>
        <v>1.4129032258064516</v>
      </c>
      <c r="I203" s="6">
        <v>1</v>
      </c>
    </row>
    <row r="204" spans="1:9" x14ac:dyDescent="0.2">
      <c r="B204">
        <v>45</v>
      </c>
      <c r="C204">
        <v>36</v>
      </c>
      <c r="D204" s="7">
        <v>2.0960000000000001</v>
      </c>
      <c r="E204" s="7">
        <v>8.5000000000000006E-2</v>
      </c>
      <c r="F204" s="5">
        <f>100*E204/D204</f>
        <v>4.0553435114503813</v>
      </c>
      <c r="G204" s="7">
        <v>0.82599999999999996</v>
      </c>
      <c r="H204" s="7">
        <f>G204*(500/310)</f>
        <v>1.3322580645161288</v>
      </c>
      <c r="I204" s="6">
        <v>1</v>
      </c>
    </row>
    <row r="205" spans="1:9" x14ac:dyDescent="0.2">
      <c r="B205">
        <v>46</v>
      </c>
      <c r="C205">
        <v>37</v>
      </c>
      <c r="D205" s="7">
        <v>1.6140000000000001</v>
      </c>
      <c r="E205" s="7">
        <v>0</v>
      </c>
      <c r="F205" s="5">
        <f>100*E205/D205</f>
        <v>0</v>
      </c>
      <c r="G205" s="7">
        <v>0.65</v>
      </c>
      <c r="H205" s="7">
        <f>G205*(500/310)</f>
        <v>1.0483870967741935</v>
      </c>
      <c r="I205" s="6">
        <v>0</v>
      </c>
    </row>
    <row r="206" spans="1:9" x14ac:dyDescent="0.2">
      <c r="A206" s="8" t="s">
        <v>15</v>
      </c>
      <c r="B206">
        <v>47</v>
      </c>
      <c r="C206">
        <v>1</v>
      </c>
      <c r="D206" s="7">
        <v>1.9610000000000001</v>
      </c>
      <c r="E206" s="7">
        <f>0.063+0.033+0.647+0.115</f>
        <v>0.85799999999999998</v>
      </c>
      <c r="F206" s="5">
        <f>100*E206/D206</f>
        <v>43.753187149413563</v>
      </c>
      <c r="G206" s="7">
        <v>0.64600000000000002</v>
      </c>
      <c r="H206" s="7">
        <f>G206*(500/310)</f>
        <v>1.0419354838709678</v>
      </c>
      <c r="I206" s="6">
        <v>1</v>
      </c>
    </row>
    <row r="207" spans="1:9" x14ac:dyDescent="0.2">
      <c r="A207" s="8"/>
      <c r="B207">
        <v>48</v>
      </c>
      <c r="C207">
        <v>2</v>
      </c>
      <c r="D207" s="7">
        <v>2.1749999999999998</v>
      </c>
      <c r="E207" s="7">
        <v>7.0000000000000007E-2</v>
      </c>
      <c r="F207" s="5">
        <f>100*E207/D207</f>
        <v>3.2183908045977017</v>
      </c>
      <c r="G207" s="7">
        <v>0.86599999999999999</v>
      </c>
      <c r="H207" s="7">
        <f>G207*(500/310)</f>
        <v>1.3967741935483871</v>
      </c>
      <c r="I207" s="6">
        <v>1</v>
      </c>
    </row>
    <row r="208" spans="1:9" x14ac:dyDescent="0.2">
      <c r="A208" s="8"/>
      <c r="B208">
        <v>49</v>
      </c>
      <c r="C208">
        <v>3</v>
      </c>
      <c r="D208" s="7">
        <v>2.1680000000000001</v>
      </c>
      <c r="E208" s="7">
        <v>0.188</v>
      </c>
      <c r="F208" s="5">
        <f>100*E208/D208</f>
        <v>8.6715867158671589</v>
      </c>
      <c r="G208" s="7">
        <v>0.86299999999999999</v>
      </c>
      <c r="H208" s="7">
        <f>G208*(500/310)</f>
        <v>1.3919354838709677</v>
      </c>
      <c r="I208" s="6">
        <v>1</v>
      </c>
    </row>
    <row r="209" spans="1:9" x14ac:dyDescent="0.2">
      <c r="A209" s="8"/>
      <c r="B209">
        <v>50</v>
      </c>
      <c r="C209">
        <v>4</v>
      </c>
      <c r="D209" s="7">
        <v>1.1419999999999999</v>
      </c>
      <c r="E209" s="7">
        <f>0.092+0.136</f>
        <v>0.22800000000000001</v>
      </c>
      <c r="F209" s="5">
        <f>100*E209/D209</f>
        <v>19.964973730297725</v>
      </c>
      <c r="G209" s="7">
        <v>0.40300000000000002</v>
      </c>
      <c r="H209" s="7">
        <f>G209*(500/310)</f>
        <v>0.65</v>
      </c>
      <c r="I209" s="6">
        <v>1</v>
      </c>
    </row>
    <row r="210" spans="1:9" x14ac:dyDescent="0.2">
      <c r="B210">
        <v>51</v>
      </c>
      <c r="C210">
        <v>5</v>
      </c>
      <c r="D210" s="7">
        <v>1.165</v>
      </c>
      <c r="E210" s="7">
        <f>0.14+0.055</f>
        <v>0.19500000000000001</v>
      </c>
      <c r="F210" s="5">
        <f>100*E210/D210</f>
        <v>16.738197424892704</v>
      </c>
      <c r="G210" s="7">
        <v>0.36899999999999999</v>
      </c>
      <c r="H210" s="7">
        <f>G210*(500/310)</f>
        <v>0.59516129032258058</v>
      </c>
      <c r="I210" s="6">
        <v>1</v>
      </c>
    </row>
    <row r="211" spans="1:9" x14ac:dyDescent="0.2">
      <c r="B211">
        <v>52</v>
      </c>
      <c r="C211">
        <v>6</v>
      </c>
      <c r="D211" s="7">
        <v>2.2770000000000001</v>
      </c>
      <c r="E211" s="7">
        <v>0.501</v>
      </c>
      <c r="F211" s="5">
        <f>100*E211/D211</f>
        <v>22.002635046113305</v>
      </c>
      <c r="G211" s="7">
        <v>0.86499999999999999</v>
      </c>
      <c r="H211" s="7">
        <f>G211*(500/310)</f>
        <v>1.3951612903225805</v>
      </c>
      <c r="I211" s="6">
        <v>1</v>
      </c>
    </row>
    <row r="212" spans="1:9" x14ac:dyDescent="0.2">
      <c r="B212">
        <v>53</v>
      </c>
      <c r="C212">
        <v>7</v>
      </c>
      <c r="D212" s="7">
        <v>2.1920000000000002</v>
      </c>
      <c r="E212" s="7">
        <v>0.25900000000000001</v>
      </c>
      <c r="F212" s="5">
        <f>100*E212/D212</f>
        <v>11.815693430656934</v>
      </c>
      <c r="G212" s="7">
        <v>0.92200000000000004</v>
      </c>
      <c r="H212" s="7">
        <f>G212*(500/310)</f>
        <v>1.4870967741935484</v>
      </c>
      <c r="I212" s="6">
        <v>1</v>
      </c>
    </row>
    <row r="213" spans="1:9" x14ac:dyDescent="0.2">
      <c r="B213">
        <v>54</v>
      </c>
      <c r="C213">
        <v>8</v>
      </c>
      <c r="D213" s="7">
        <v>1.21</v>
      </c>
      <c r="E213" s="7">
        <f>0.299+0.236</f>
        <v>0.53499999999999992</v>
      </c>
      <c r="F213" s="5">
        <f>100*E213/D213</f>
        <v>44.214876033057848</v>
      </c>
      <c r="G213" s="7">
        <v>0.45200000000000001</v>
      </c>
      <c r="H213" s="7">
        <f>G213*(500/310)</f>
        <v>0.7290322580645161</v>
      </c>
      <c r="I213" s="6">
        <v>1</v>
      </c>
    </row>
    <row r="214" spans="1:9" x14ac:dyDescent="0.2">
      <c r="B214">
        <v>55</v>
      </c>
      <c r="C214">
        <v>9</v>
      </c>
      <c r="D214" s="7">
        <v>1.198</v>
      </c>
      <c r="E214" s="7">
        <v>0.14299999999999999</v>
      </c>
      <c r="F214" s="5">
        <f>100*E214/D214</f>
        <v>11.936560934891485</v>
      </c>
      <c r="G214" s="7">
        <v>0.46</v>
      </c>
      <c r="H214" s="7">
        <f>G214*(500/310)</f>
        <v>0.74193548387096775</v>
      </c>
      <c r="I214" s="6">
        <v>1</v>
      </c>
    </row>
    <row r="215" spans="1:9" x14ac:dyDescent="0.2">
      <c r="B215">
        <v>56</v>
      </c>
      <c r="C215">
        <v>10</v>
      </c>
      <c r="D215" s="7">
        <v>1.524</v>
      </c>
      <c r="E215" s="7">
        <f>0.165+0.106</f>
        <v>0.27100000000000002</v>
      </c>
      <c r="F215" s="5">
        <f>100*E215/D215</f>
        <v>17.782152230971128</v>
      </c>
      <c r="G215" s="7">
        <v>0.61799999999999999</v>
      </c>
      <c r="H215" s="7">
        <f>G215*(500/310)</f>
        <v>0.99677419354838703</v>
      </c>
      <c r="I215" s="6">
        <v>1</v>
      </c>
    </row>
    <row r="216" spans="1:9" x14ac:dyDescent="0.2">
      <c r="B216">
        <v>57</v>
      </c>
      <c r="C216">
        <v>11</v>
      </c>
      <c r="D216" s="7">
        <v>2.8450000000000002</v>
      </c>
      <c r="E216" s="7">
        <v>0.124</v>
      </c>
      <c r="F216" s="5">
        <f>100*E216/D216</f>
        <v>4.3585237258347975</v>
      </c>
      <c r="G216" s="7">
        <v>1.216</v>
      </c>
      <c r="H216" s="7">
        <f>G216*(500/310)</f>
        <v>1.9612903225806451</v>
      </c>
      <c r="I216" s="6">
        <v>1</v>
      </c>
    </row>
    <row r="217" spans="1:9" x14ac:dyDescent="0.2">
      <c r="B217">
        <v>58</v>
      </c>
      <c r="C217">
        <v>12</v>
      </c>
      <c r="D217" s="7">
        <v>2.29</v>
      </c>
      <c r="E217" s="7">
        <v>0.98599999999999999</v>
      </c>
      <c r="F217" s="5">
        <f>100*E217/D217</f>
        <v>43.056768558951958</v>
      </c>
      <c r="G217" s="7">
        <v>0.84399999999999997</v>
      </c>
      <c r="H217" s="7">
        <f>G217*(500/310)</f>
        <v>1.361290322580645</v>
      </c>
      <c r="I217" s="6">
        <v>1</v>
      </c>
    </row>
    <row r="218" spans="1:9" x14ac:dyDescent="0.2">
      <c r="B218">
        <v>59</v>
      </c>
      <c r="C218">
        <v>13</v>
      </c>
      <c r="D218" s="7">
        <v>1.9330000000000001</v>
      </c>
      <c r="E218" s="7">
        <v>0.66900000000000004</v>
      </c>
      <c r="F218" s="5">
        <f>100*E218/D218</f>
        <v>34.609415416451114</v>
      </c>
      <c r="G218" s="7">
        <v>0.71</v>
      </c>
      <c r="H218" s="7">
        <f>G218*(500/310)</f>
        <v>1.1451612903225805</v>
      </c>
      <c r="I218" s="6">
        <v>1</v>
      </c>
    </row>
    <row r="219" spans="1:9" x14ac:dyDescent="0.2">
      <c r="B219">
        <v>60</v>
      </c>
      <c r="C219">
        <v>14</v>
      </c>
      <c r="D219" s="7">
        <v>0.19400000000000001</v>
      </c>
      <c r="E219" s="7">
        <v>6.5000000000000002E-2</v>
      </c>
      <c r="F219" s="5">
        <f>100*E219/D219</f>
        <v>33.505154639175259</v>
      </c>
      <c r="G219" s="7">
        <v>0.82499999999999996</v>
      </c>
      <c r="H219" s="7">
        <f>G219*(500/310)</f>
        <v>1.3306451612903225</v>
      </c>
      <c r="I219" s="6">
        <v>1</v>
      </c>
    </row>
    <row r="220" spans="1:9" x14ac:dyDescent="0.2">
      <c r="B220">
        <v>61</v>
      </c>
      <c r="C220">
        <v>15</v>
      </c>
      <c r="D220" s="7">
        <v>2.1659999999999999</v>
      </c>
      <c r="E220" s="7">
        <v>0.188</v>
      </c>
      <c r="F220" s="5">
        <f>100*E220/D220</f>
        <v>8.6795937211449683</v>
      </c>
      <c r="G220" s="7">
        <v>0.76100000000000001</v>
      </c>
      <c r="H220" s="7">
        <f>G220*(500/310)</f>
        <v>1.2274193548387096</v>
      </c>
      <c r="I220" s="6">
        <v>1</v>
      </c>
    </row>
    <row r="221" spans="1:9" x14ac:dyDescent="0.2">
      <c r="B221">
        <v>62</v>
      </c>
      <c r="C221">
        <v>16</v>
      </c>
      <c r="D221" s="7">
        <v>0.93600000000000005</v>
      </c>
      <c r="E221" s="7">
        <v>0.46500000000000002</v>
      </c>
      <c r="F221" s="5">
        <f>100*E221/D221</f>
        <v>49.679487179487175</v>
      </c>
      <c r="G221" s="7">
        <v>0.309</v>
      </c>
      <c r="H221" s="7">
        <f>G221*(500/310)</f>
        <v>0.49838709677419352</v>
      </c>
      <c r="I221" s="6">
        <v>1</v>
      </c>
    </row>
    <row r="222" spans="1:9" x14ac:dyDescent="0.2">
      <c r="B222">
        <v>63</v>
      </c>
      <c r="C222">
        <v>17</v>
      </c>
      <c r="D222" s="7">
        <v>1.619</v>
      </c>
      <c r="E222" s="7">
        <v>0.20300000000000001</v>
      </c>
      <c r="F222" s="5">
        <f>100*E222/D222</f>
        <v>12.538604076590488</v>
      </c>
      <c r="G222" s="7">
        <v>0.56100000000000005</v>
      </c>
      <c r="H222" s="7">
        <f>G222*(500/310)</f>
        <v>0.90483870967741942</v>
      </c>
      <c r="I222" s="6">
        <v>1</v>
      </c>
    </row>
    <row r="223" spans="1:9" x14ac:dyDescent="0.2">
      <c r="B223">
        <v>64</v>
      </c>
      <c r="C223">
        <v>18</v>
      </c>
      <c r="D223" s="7">
        <v>1.1459999999999999</v>
      </c>
      <c r="E223" s="7">
        <v>0</v>
      </c>
      <c r="F223" s="5">
        <f>100*E223/D223</f>
        <v>0</v>
      </c>
      <c r="G223" s="7">
        <v>0.42699999999999999</v>
      </c>
      <c r="H223" s="7">
        <f>G223*(500/310)</f>
        <v>0.68870967741935474</v>
      </c>
      <c r="I223" s="6">
        <v>0</v>
      </c>
    </row>
    <row r="224" spans="1:9" x14ac:dyDescent="0.2">
      <c r="B224">
        <v>65</v>
      </c>
      <c r="C224">
        <v>19</v>
      </c>
      <c r="D224" s="7">
        <v>1.4870000000000001</v>
      </c>
      <c r="E224" s="7">
        <v>0</v>
      </c>
      <c r="F224" s="5">
        <f>100*E224/D224</f>
        <v>0</v>
      </c>
      <c r="G224" s="7">
        <v>0.505</v>
      </c>
      <c r="H224" s="7">
        <f>G224*(500/310)</f>
        <v>0.81451612903225801</v>
      </c>
      <c r="I224" s="6">
        <v>0</v>
      </c>
    </row>
    <row r="225" spans="2:9" x14ac:dyDescent="0.2">
      <c r="B225">
        <v>66</v>
      </c>
      <c r="C225">
        <v>20</v>
      </c>
      <c r="D225" s="7">
        <v>1.827</v>
      </c>
      <c r="E225" s="7">
        <v>0</v>
      </c>
      <c r="F225" s="5">
        <f>100*E225/D225</f>
        <v>0</v>
      </c>
      <c r="G225" s="7">
        <v>0.56299999999999994</v>
      </c>
      <c r="H225" s="7">
        <f>G225*(500/310)</f>
        <v>0.90806451612903216</v>
      </c>
      <c r="I225" s="6">
        <v>0</v>
      </c>
    </row>
    <row r="226" spans="2:9" x14ac:dyDescent="0.2">
      <c r="B226">
        <v>67</v>
      </c>
      <c r="C226">
        <v>21</v>
      </c>
      <c r="D226" s="7">
        <v>1.1359999999999999</v>
      </c>
      <c r="E226" s="7">
        <v>7.3999999999999996E-2</v>
      </c>
      <c r="F226" s="5">
        <f>100*E226/D226</f>
        <v>6.5140845070422539</v>
      </c>
      <c r="G226" s="7">
        <v>0.42699999999999999</v>
      </c>
      <c r="H226" s="7">
        <f>G226*(500/310)</f>
        <v>0.68870967741935474</v>
      </c>
      <c r="I226" s="6">
        <v>1</v>
      </c>
    </row>
    <row r="227" spans="2:9" x14ac:dyDescent="0.2">
      <c r="B227">
        <v>68</v>
      </c>
      <c r="C227">
        <v>22</v>
      </c>
      <c r="D227" s="7">
        <v>2.1779999999999999</v>
      </c>
      <c r="E227" s="7">
        <f>0.29+0.234</f>
        <v>0.52400000000000002</v>
      </c>
      <c r="F227" s="5">
        <f>100*E227/D227</f>
        <v>24.058769513314971</v>
      </c>
      <c r="G227" s="7">
        <v>0.9</v>
      </c>
      <c r="H227" s="7">
        <f>G227*(500/310)</f>
        <v>1.4516129032258065</v>
      </c>
      <c r="I227" s="6">
        <v>1</v>
      </c>
    </row>
    <row r="228" spans="2:9" x14ac:dyDescent="0.2">
      <c r="B228">
        <v>69</v>
      </c>
      <c r="C228">
        <v>23</v>
      </c>
      <c r="D228" s="7">
        <v>1.048</v>
      </c>
      <c r="E228" s="7">
        <f>0.128+0.108</f>
        <v>0.23599999999999999</v>
      </c>
      <c r="F228" s="5">
        <f>100*E228/D228</f>
        <v>22.519083969465647</v>
      </c>
      <c r="G228" s="7">
        <v>0.41599999999999998</v>
      </c>
      <c r="H228" s="7">
        <f>G228*(500/310)</f>
        <v>0.67096774193548381</v>
      </c>
      <c r="I228" s="6">
        <v>1</v>
      </c>
    </row>
    <row r="229" spans="2:9" x14ac:dyDescent="0.2">
      <c r="B229">
        <v>70</v>
      </c>
      <c r="C229">
        <v>24</v>
      </c>
      <c r="D229" s="7">
        <v>2.1869999999999998</v>
      </c>
      <c r="E229" s="7">
        <v>0.61299999999999999</v>
      </c>
      <c r="F229" s="5">
        <f>100*E229/D229</f>
        <v>28.029263831732969</v>
      </c>
      <c r="G229" s="7">
        <v>0.96599999999999997</v>
      </c>
      <c r="H229" s="7">
        <f>G229*(500/310)</f>
        <v>1.5580645161290321</v>
      </c>
      <c r="I229" s="6">
        <v>1</v>
      </c>
    </row>
    <row r="231" spans="2:9" x14ac:dyDescent="0.2">
      <c r="C231" t="s">
        <v>14</v>
      </c>
      <c r="D231" s="7">
        <f>AVERAGE(D160:D229)</f>
        <v>1.7747999999999997</v>
      </c>
      <c r="E231" s="7">
        <f>AVERAGE(E160:E229)</f>
        <v>0.27491428571428589</v>
      </c>
      <c r="F231" s="7">
        <f>AVERAGE(F160:F229)</f>
        <v>16.138241460305775</v>
      </c>
      <c r="G231" s="7">
        <f>AVERAGE(G160:G229)</f>
        <v>0.69975714285714297</v>
      </c>
      <c r="H231" s="7">
        <f>AVERAGE(H160:H229)</f>
        <v>1.1286405529953916</v>
      </c>
      <c r="I231" s="7"/>
    </row>
    <row r="232" spans="2:9" x14ac:dyDescent="0.2">
      <c r="C232" t="s">
        <v>13</v>
      </c>
      <c r="D232" s="7">
        <f>STDEV(D160:D229)</f>
        <v>0.77871349869093565</v>
      </c>
      <c r="E232" s="7">
        <f>STDEV(E160:E229)</f>
        <v>0.25441685198816777</v>
      </c>
      <c r="F232" s="7">
        <f>STDEV(F160:F229)</f>
        <v>14.46729947888198</v>
      </c>
      <c r="G232" s="7">
        <f>STDEV(G160:G229)</f>
        <v>0.33204506572584047</v>
      </c>
      <c r="H232" s="7">
        <f>STDEV(H160:H229)</f>
        <v>0.53555655762232313</v>
      </c>
      <c r="I232" s="7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A2" sqref="A2"/>
    </sheetView>
  </sheetViews>
  <sheetFormatPr baseColWidth="10" defaultRowHeight="16" x14ac:dyDescent="0.2"/>
  <sheetData>
    <row r="1" spans="1:14" x14ac:dyDescent="0.2">
      <c r="A1" t="s">
        <v>74</v>
      </c>
    </row>
    <row r="3" spans="1:14" x14ac:dyDescent="0.2">
      <c r="A3" t="s">
        <v>46</v>
      </c>
      <c r="F3" s="5"/>
      <c r="J3" s="5"/>
      <c r="N3" s="5"/>
    </row>
    <row r="4" spans="1:14" x14ac:dyDescent="0.2">
      <c r="F4" s="5"/>
      <c r="J4" s="5"/>
      <c r="N4" s="5"/>
    </row>
    <row r="5" spans="1:14" x14ac:dyDescent="0.2">
      <c r="B5" t="s">
        <v>12</v>
      </c>
      <c r="C5" t="s">
        <v>10</v>
      </c>
      <c r="D5" t="s">
        <v>9</v>
      </c>
      <c r="E5" t="s">
        <v>8</v>
      </c>
      <c r="F5" s="5" t="s">
        <v>7</v>
      </c>
      <c r="H5" t="s">
        <v>9</v>
      </c>
      <c r="I5" t="s">
        <v>8</v>
      </c>
      <c r="J5" s="5" t="s">
        <v>7</v>
      </c>
      <c r="L5" t="s">
        <v>9</v>
      </c>
      <c r="M5" t="s">
        <v>8</v>
      </c>
      <c r="N5" s="5" t="s">
        <v>7</v>
      </c>
    </row>
    <row r="6" spans="1:14" x14ac:dyDescent="0.2">
      <c r="B6" t="s">
        <v>6</v>
      </c>
      <c r="C6">
        <v>0</v>
      </c>
      <c r="D6">
        <v>0</v>
      </c>
      <c r="E6">
        <v>100</v>
      </c>
      <c r="F6" s="5">
        <f>100*D6/(D6+E6)</f>
        <v>0</v>
      </c>
      <c r="H6">
        <v>0</v>
      </c>
      <c r="I6">
        <v>100</v>
      </c>
      <c r="J6" s="5">
        <f>100*H6/(H6+I6)</f>
        <v>0</v>
      </c>
      <c r="L6">
        <v>0</v>
      </c>
      <c r="M6">
        <v>100</v>
      </c>
      <c r="N6" s="5">
        <f>100*L6/(L6+M6)</f>
        <v>0</v>
      </c>
    </row>
    <row r="7" spans="1:14" x14ac:dyDescent="0.2">
      <c r="C7">
        <v>1</v>
      </c>
      <c r="D7">
        <v>82</v>
      </c>
      <c r="E7">
        <v>19</v>
      </c>
      <c r="F7" s="5">
        <f>100*D7/(D7+E7)</f>
        <v>81.188118811881182</v>
      </c>
      <c r="H7">
        <v>99</v>
      </c>
      <c r="I7">
        <v>12</v>
      </c>
      <c r="J7" s="5">
        <f>100*H7/(H7+I7)</f>
        <v>89.189189189189193</v>
      </c>
      <c r="L7">
        <v>97</v>
      </c>
      <c r="M7">
        <v>17</v>
      </c>
      <c r="N7" s="5">
        <f>100*L7/(L7+M7)</f>
        <v>85.087719298245617</v>
      </c>
    </row>
    <row r="8" spans="1:14" x14ac:dyDescent="0.2">
      <c r="C8">
        <v>4</v>
      </c>
      <c r="D8">
        <v>108</v>
      </c>
      <c r="E8">
        <v>4</v>
      </c>
      <c r="F8" s="5">
        <f>100*D8/(D8+E8)</f>
        <v>96.428571428571431</v>
      </c>
      <c r="H8">
        <v>97</v>
      </c>
      <c r="I8">
        <v>3</v>
      </c>
      <c r="J8" s="5">
        <f>100*H8/(H8+I8)</f>
        <v>97</v>
      </c>
      <c r="L8">
        <v>100</v>
      </c>
      <c r="M8">
        <v>1</v>
      </c>
      <c r="N8" s="5">
        <f>100*L8/(L8+M8)</f>
        <v>99.009900990099013</v>
      </c>
    </row>
    <row r="9" spans="1:14" x14ac:dyDescent="0.2">
      <c r="B9" t="s">
        <v>5</v>
      </c>
      <c r="C9">
        <v>0</v>
      </c>
      <c r="D9">
        <v>0</v>
      </c>
      <c r="E9">
        <v>100</v>
      </c>
      <c r="F9" s="5">
        <f>100*D9/(D9+E9)</f>
        <v>0</v>
      </c>
      <c r="H9">
        <v>0</v>
      </c>
      <c r="I9">
        <v>100</v>
      </c>
      <c r="J9" s="5">
        <f>100*H9/(H9+I9)</f>
        <v>0</v>
      </c>
      <c r="L9">
        <v>0</v>
      </c>
      <c r="M9">
        <v>100</v>
      </c>
      <c r="N9" s="5">
        <f>100*L9/(L9+M9)</f>
        <v>0</v>
      </c>
    </row>
    <row r="10" spans="1:14" x14ac:dyDescent="0.2">
      <c r="C10">
        <v>1</v>
      </c>
      <c r="D10">
        <v>14</v>
      </c>
      <c r="E10">
        <v>86</v>
      </c>
      <c r="F10" s="5">
        <f>100*D10/(D10+E10)</f>
        <v>14</v>
      </c>
      <c r="H10">
        <v>15</v>
      </c>
      <c r="I10">
        <v>95</v>
      </c>
      <c r="J10" s="5">
        <f>100*H10/(H10+I10)</f>
        <v>13.636363636363637</v>
      </c>
      <c r="L10">
        <v>16</v>
      </c>
      <c r="M10">
        <v>84</v>
      </c>
      <c r="N10" s="5">
        <f>100*L10/(L10+M10)</f>
        <v>16</v>
      </c>
    </row>
    <row r="11" spans="1:14" x14ac:dyDescent="0.2">
      <c r="C11">
        <v>4</v>
      </c>
      <c r="D11">
        <v>102</v>
      </c>
      <c r="E11">
        <v>24</v>
      </c>
      <c r="F11" s="5">
        <f>100*D11/(D11+E11)</f>
        <v>80.952380952380949</v>
      </c>
      <c r="H11">
        <v>109</v>
      </c>
      <c r="I11">
        <v>19</v>
      </c>
      <c r="J11" s="5">
        <f>100*H11/(H11+I11)</f>
        <v>85.15625</v>
      </c>
      <c r="L11">
        <v>87</v>
      </c>
      <c r="M11">
        <v>18</v>
      </c>
      <c r="N11" s="5">
        <f>100*L11/(L11+M11)</f>
        <v>82.857142857142861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A30" sqref="A30"/>
    </sheetView>
  </sheetViews>
  <sheetFormatPr baseColWidth="10" defaultRowHeight="16" x14ac:dyDescent="0.2"/>
  <sheetData>
    <row r="1" spans="1:14" x14ac:dyDescent="0.2">
      <c r="A1" t="s">
        <v>76</v>
      </c>
    </row>
    <row r="2" spans="1:14" x14ac:dyDescent="0.2">
      <c r="A2" t="s">
        <v>12</v>
      </c>
      <c r="B2" t="s">
        <v>11</v>
      </c>
      <c r="C2" t="s">
        <v>10</v>
      </c>
      <c r="D2" t="s">
        <v>9</v>
      </c>
      <c r="E2" t="s">
        <v>8</v>
      </c>
      <c r="F2" s="5" t="s">
        <v>7</v>
      </c>
      <c r="H2" t="s">
        <v>9</v>
      </c>
      <c r="I2" t="s">
        <v>8</v>
      </c>
      <c r="J2" s="5" t="s">
        <v>7</v>
      </c>
      <c r="L2" t="s">
        <v>9</v>
      </c>
      <c r="M2" t="s">
        <v>8</v>
      </c>
      <c r="N2" s="5" t="s">
        <v>7</v>
      </c>
    </row>
    <row r="3" spans="1:14" x14ac:dyDescent="0.2">
      <c r="A3" t="s">
        <v>6</v>
      </c>
      <c r="B3" t="s">
        <v>0</v>
      </c>
      <c r="C3">
        <v>0</v>
      </c>
      <c r="D3">
        <v>0</v>
      </c>
      <c r="E3">
        <v>100</v>
      </c>
      <c r="F3" s="5">
        <f>100*D3/(D3+E3)</f>
        <v>0</v>
      </c>
      <c r="H3">
        <v>0</v>
      </c>
      <c r="I3">
        <v>100</v>
      </c>
      <c r="J3" s="5">
        <f>100*H3/(H3+I3)</f>
        <v>0</v>
      </c>
      <c r="L3">
        <v>0</v>
      </c>
      <c r="M3">
        <v>100</v>
      </c>
      <c r="N3" s="5">
        <f>100*L3/(L3+M3)</f>
        <v>0</v>
      </c>
    </row>
    <row r="4" spans="1:14" x14ac:dyDescent="0.2">
      <c r="A4" s="14"/>
      <c r="B4" s="14"/>
      <c r="C4" s="14">
        <v>1</v>
      </c>
      <c r="D4">
        <v>58</v>
      </c>
      <c r="E4">
        <v>55</v>
      </c>
      <c r="F4" s="5">
        <f>100*D4/(D4+E4)</f>
        <v>51.327433628318587</v>
      </c>
      <c r="H4">
        <v>48</v>
      </c>
      <c r="I4">
        <v>59</v>
      </c>
      <c r="J4" s="5">
        <f>100*H4/(H4+I4)</f>
        <v>44.859813084112147</v>
      </c>
      <c r="L4">
        <v>63</v>
      </c>
      <c r="M4">
        <v>55</v>
      </c>
      <c r="N4" s="5">
        <f>100*L4/(L4+M4)</f>
        <v>53.389830508474574</v>
      </c>
    </row>
    <row r="5" spans="1:14" x14ac:dyDescent="0.2">
      <c r="C5">
        <v>4</v>
      </c>
      <c r="D5">
        <v>100</v>
      </c>
      <c r="E5">
        <v>5</v>
      </c>
      <c r="F5" s="5">
        <f>100*D5/(D5+E5)</f>
        <v>95.238095238095241</v>
      </c>
      <c r="H5">
        <v>113</v>
      </c>
      <c r="I5">
        <v>7</v>
      </c>
      <c r="J5" s="5">
        <f>100*H5/(H5+I5)</f>
        <v>94.166666666666671</v>
      </c>
      <c r="L5">
        <v>108</v>
      </c>
      <c r="M5">
        <v>5</v>
      </c>
      <c r="N5" s="5">
        <f>100*L5/(L5+M5)</f>
        <v>95.575221238938056</v>
      </c>
    </row>
    <row r="6" spans="1:14" x14ac:dyDescent="0.2">
      <c r="B6" t="s">
        <v>1</v>
      </c>
      <c r="C6">
        <v>0</v>
      </c>
      <c r="D6">
        <v>0</v>
      </c>
      <c r="E6">
        <v>100</v>
      </c>
      <c r="F6" s="5">
        <f>100*D6/(D6+E6)</f>
        <v>0</v>
      </c>
      <c r="H6">
        <v>0</v>
      </c>
      <c r="I6">
        <v>100</v>
      </c>
      <c r="J6" s="5">
        <f>100*H6/(H6+I6)</f>
        <v>0</v>
      </c>
      <c r="L6">
        <v>0</v>
      </c>
      <c r="M6">
        <v>100</v>
      </c>
      <c r="N6" s="5">
        <f>100*L6/(L6+M6)</f>
        <v>0</v>
      </c>
    </row>
    <row r="7" spans="1:14" x14ac:dyDescent="0.2">
      <c r="A7" s="14"/>
      <c r="B7" s="14"/>
      <c r="C7" s="14">
        <v>1</v>
      </c>
      <c r="D7">
        <v>88</v>
      </c>
      <c r="E7">
        <v>16</v>
      </c>
      <c r="F7" s="5">
        <f>100*D7/(D7+E7)</f>
        <v>84.615384615384613</v>
      </c>
      <c r="H7">
        <v>102</v>
      </c>
      <c r="I7">
        <v>15</v>
      </c>
      <c r="J7" s="5">
        <f>100*H7/(H7+I7)</f>
        <v>87.179487179487182</v>
      </c>
      <c r="L7">
        <v>99</v>
      </c>
      <c r="M7">
        <v>10</v>
      </c>
      <c r="N7" s="5">
        <f>100*L7/(L7+M7)</f>
        <v>90.825688073394502</v>
      </c>
    </row>
    <row r="8" spans="1:14" x14ac:dyDescent="0.2">
      <c r="C8">
        <v>4</v>
      </c>
      <c r="D8">
        <v>99</v>
      </c>
      <c r="E8">
        <v>2</v>
      </c>
      <c r="F8" s="5">
        <f>100*D8/(D8+E8)</f>
        <v>98.019801980198025</v>
      </c>
      <c r="H8">
        <v>101</v>
      </c>
      <c r="I8">
        <v>4</v>
      </c>
      <c r="J8" s="5">
        <f>100*H8/(H8+I8)</f>
        <v>96.19047619047619</v>
      </c>
      <c r="L8">
        <v>103</v>
      </c>
      <c r="M8">
        <v>1</v>
      </c>
      <c r="N8" s="5">
        <f>100*L8/(L8+M8)</f>
        <v>99.038461538461533</v>
      </c>
    </row>
    <row r="9" spans="1:14" x14ac:dyDescent="0.2">
      <c r="B9" t="s">
        <v>49</v>
      </c>
      <c r="C9">
        <v>0</v>
      </c>
      <c r="D9">
        <v>0</v>
      </c>
      <c r="E9">
        <v>100</v>
      </c>
      <c r="F9" s="5">
        <f>100*D9/(D9+E9)</f>
        <v>0</v>
      </c>
      <c r="H9">
        <v>0</v>
      </c>
      <c r="I9">
        <v>100</v>
      </c>
      <c r="J9" s="5">
        <f>100*H9/(H9+I9)</f>
        <v>0</v>
      </c>
      <c r="L9">
        <v>0</v>
      </c>
      <c r="M9">
        <v>100</v>
      </c>
      <c r="N9" s="5">
        <f>100*L9/(L9+M9)</f>
        <v>0</v>
      </c>
    </row>
    <row r="10" spans="1:14" x14ac:dyDescent="0.2">
      <c r="C10">
        <v>1</v>
      </c>
      <c r="D10">
        <v>99</v>
      </c>
      <c r="E10">
        <v>17</v>
      </c>
      <c r="F10" s="5">
        <f>100*D10/(D10+E10)</f>
        <v>85.34482758620689</v>
      </c>
      <c r="H10">
        <v>99</v>
      </c>
      <c r="I10">
        <v>22</v>
      </c>
      <c r="J10" s="5">
        <f>100*H10/(H10+I10)</f>
        <v>81.818181818181813</v>
      </c>
      <c r="L10">
        <v>95</v>
      </c>
      <c r="M10">
        <v>37</v>
      </c>
      <c r="N10" s="5">
        <f>100*L10/(L10+M10)</f>
        <v>71.969696969696969</v>
      </c>
    </row>
    <row r="11" spans="1:14" x14ac:dyDescent="0.2">
      <c r="C11">
        <v>4</v>
      </c>
      <c r="D11">
        <v>144</v>
      </c>
      <c r="E11">
        <v>9</v>
      </c>
      <c r="F11" s="5">
        <f>100*D11/(D11+E11)</f>
        <v>94.117647058823536</v>
      </c>
      <c r="H11">
        <v>94</v>
      </c>
      <c r="I11">
        <v>7</v>
      </c>
      <c r="J11" s="5">
        <f>100*H11/(H11+I11)</f>
        <v>93.069306930693074</v>
      </c>
      <c r="L11">
        <v>112</v>
      </c>
      <c r="M11">
        <v>2</v>
      </c>
      <c r="N11" s="5">
        <f>100*L11/(L11+M11)</f>
        <v>98.245614035087726</v>
      </c>
    </row>
    <row r="12" spans="1:14" x14ac:dyDescent="0.2">
      <c r="B12" t="s">
        <v>48</v>
      </c>
      <c r="C12">
        <v>0</v>
      </c>
      <c r="D12">
        <v>0</v>
      </c>
      <c r="E12">
        <v>100</v>
      </c>
      <c r="F12" s="5">
        <f>100*D12/(D12+E12)</f>
        <v>0</v>
      </c>
      <c r="H12">
        <v>0</v>
      </c>
      <c r="I12">
        <v>100</v>
      </c>
      <c r="J12" s="5">
        <f>100*H12/(H12+I12)</f>
        <v>0</v>
      </c>
      <c r="L12">
        <v>0</v>
      </c>
      <c r="M12">
        <v>100</v>
      </c>
      <c r="N12" s="5">
        <f>100*L12/(L12+M12)</f>
        <v>0</v>
      </c>
    </row>
    <row r="13" spans="1:14" x14ac:dyDescent="0.2">
      <c r="C13">
        <v>1</v>
      </c>
      <c r="D13">
        <v>87</v>
      </c>
      <c r="E13">
        <v>18</v>
      </c>
      <c r="F13" s="5">
        <f>100*D13/(D13+E13)</f>
        <v>82.857142857142861</v>
      </c>
      <c r="H13">
        <v>88</v>
      </c>
      <c r="I13">
        <v>18</v>
      </c>
      <c r="J13" s="5">
        <f>100*H13/(H13+I13)</f>
        <v>83.018867924528308</v>
      </c>
      <c r="L13">
        <v>107</v>
      </c>
      <c r="M13">
        <v>7</v>
      </c>
      <c r="N13" s="5">
        <f>100*L13/(L13+M13)</f>
        <v>93.859649122807014</v>
      </c>
    </row>
    <row r="14" spans="1:14" x14ac:dyDescent="0.2">
      <c r="C14">
        <v>4</v>
      </c>
      <c r="D14">
        <v>99</v>
      </c>
      <c r="E14">
        <v>6</v>
      </c>
      <c r="F14" s="5">
        <f>100*D14/(D14+E14)</f>
        <v>94.285714285714292</v>
      </c>
      <c r="H14">
        <v>98</v>
      </c>
      <c r="I14">
        <v>4</v>
      </c>
      <c r="J14" s="5">
        <f>100*H14/(H14+I14)</f>
        <v>96.078431372549019</v>
      </c>
      <c r="L14">
        <v>110</v>
      </c>
      <c r="M14">
        <v>0</v>
      </c>
      <c r="N14" s="5">
        <f>100*L14/(L14+M14)</f>
        <v>100</v>
      </c>
    </row>
    <row r="15" spans="1:14" x14ac:dyDescent="0.2">
      <c r="A15" t="s">
        <v>5</v>
      </c>
      <c r="B15" t="s">
        <v>0</v>
      </c>
      <c r="C15">
        <v>0</v>
      </c>
      <c r="D15">
        <v>0</v>
      </c>
      <c r="E15">
        <v>100</v>
      </c>
      <c r="F15" s="5">
        <f>100*D15/(D15+E15)</f>
        <v>0</v>
      </c>
      <c r="H15">
        <v>0</v>
      </c>
      <c r="I15">
        <v>100</v>
      </c>
      <c r="J15" s="5">
        <f>100*H15/(H15+I15)</f>
        <v>0</v>
      </c>
      <c r="L15">
        <v>0</v>
      </c>
      <c r="M15">
        <v>100</v>
      </c>
      <c r="N15" s="5">
        <f>100*L15/(L15+M15)</f>
        <v>0</v>
      </c>
    </row>
    <row r="16" spans="1:14" x14ac:dyDescent="0.2">
      <c r="C16">
        <v>1</v>
      </c>
      <c r="D16">
        <v>8</v>
      </c>
      <c r="E16">
        <v>95</v>
      </c>
      <c r="F16" s="5">
        <f>100*D16/(D16+E16)</f>
        <v>7.766990291262136</v>
      </c>
      <c r="H16">
        <v>6</v>
      </c>
      <c r="I16">
        <v>100</v>
      </c>
      <c r="J16" s="5">
        <f>100*H16/(H16+I16)</f>
        <v>5.6603773584905657</v>
      </c>
      <c r="L16">
        <v>3</v>
      </c>
      <c r="M16">
        <v>108</v>
      </c>
      <c r="N16" s="5">
        <f>100*L16/(L16+M16)</f>
        <v>2.7027027027027026</v>
      </c>
    </row>
    <row r="17" spans="1:14" x14ac:dyDescent="0.2">
      <c r="C17">
        <v>4</v>
      </c>
      <c r="D17">
        <v>117</v>
      </c>
      <c r="E17">
        <v>17</v>
      </c>
      <c r="F17" s="5">
        <f>100*D17/(D17+E17)</f>
        <v>87.31343283582089</v>
      </c>
      <c r="H17">
        <v>126</v>
      </c>
      <c r="I17">
        <v>17</v>
      </c>
      <c r="J17" s="5">
        <f>100*H17/(H17+I17)</f>
        <v>88.111888111888106</v>
      </c>
      <c r="L17">
        <v>88</v>
      </c>
      <c r="M17">
        <v>31</v>
      </c>
      <c r="N17" s="5">
        <f>100*L17/(L17+M17)</f>
        <v>73.949579831932766</v>
      </c>
    </row>
    <row r="18" spans="1:14" x14ac:dyDescent="0.2">
      <c r="B18" t="s">
        <v>1</v>
      </c>
      <c r="C18">
        <v>0</v>
      </c>
      <c r="D18">
        <v>0</v>
      </c>
      <c r="E18">
        <v>100</v>
      </c>
      <c r="F18" s="5">
        <f>100*D18/(D18+E18)</f>
        <v>0</v>
      </c>
      <c r="H18">
        <v>0</v>
      </c>
      <c r="I18">
        <v>100</v>
      </c>
      <c r="J18" s="5">
        <f>100*H18/(H18+I18)</f>
        <v>0</v>
      </c>
      <c r="L18">
        <v>0</v>
      </c>
      <c r="M18">
        <v>100</v>
      </c>
      <c r="N18" s="5">
        <f>100*L18/(L18+M18)</f>
        <v>0</v>
      </c>
    </row>
    <row r="19" spans="1:14" x14ac:dyDescent="0.2">
      <c r="B19" s="14"/>
      <c r="C19">
        <v>1</v>
      </c>
      <c r="D19">
        <v>60</v>
      </c>
      <c r="E19">
        <v>41</v>
      </c>
      <c r="F19" s="5">
        <f>100*D19/(D19+E19)</f>
        <v>59.405940594059409</v>
      </c>
      <c r="H19">
        <v>57</v>
      </c>
      <c r="I19">
        <v>60</v>
      </c>
      <c r="J19" s="5">
        <f>100*H19/(H19+I19)</f>
        <v>48.717948717948715</v>
      </c>
      <c r="L19">
        <v>23</v>
      </c>
      <c r="M19">
        <v>78</v>
      </c>
      <c r="N19" s="5">
        <f>100*L19/(L19+M19)</f>
        <v>22.772277227722771</v>
      </c>
    </row>
    <row r="20" spans="1:14" x14ac:dyDescent="0.2">
      <c r="C20">
        <v>4</v>
      </c>
      <c r="D20">
        <v>113</v>
      </c>
      <c r="E20">
        <v>8</v>
      </c>
      <c r="F20" s="5">
        <f>100*D20/(D20+E20)</f>
        <v>93.388429752066116</v>
      </c>
      <c r="H20">
        <v>101</v>
      </c>
      <c r="I20">
        <v>4</v>
      </c>
      <c r="J20" s="5">
        <f>100*H20/(H20+I20)</f>
        <v>96.19047619047619</v>
      </c>
      <c r="L20">
        <v>86</v>
      </c>
      <c r="M20">
        <v>19</v>
      </c>
      <c r="N20" s="5">
        <f>100*L20/(L20+M20)</f>
        <v>81.904761904761898</v>
      </c>
    </row>
    <row r="21" spans="1:14" x14ac:dyDescent="0.2">
      <c r="B21" t="s">
        <v>49</v>
      </c>
      <c r="C21">
        <v>0</v>
      </c>
      <c r="D21">
        <v>0</v>
      </c>
      <c r="E21">
        <v>100</v>
      </c>
      <c r="F21" s="5">
        <f>100*D21/(D21+E21)</f>
        <v>0</v>
      </c>
      <c r="H21">
        <v>0</v>
      </c>
      <c r="I21">
        <v>100</v>
      </c>
      <c r="J21" s="5">
        <f>100*H21/(H21+I21)</f>
        <v>0</v>
      </c>
      <c r="L21">
        <v>0</v>
      </c>
      <c r="M21">
        <v>100</v>
      </c>
      <c r="N21" s="5">
        <f>100*L21/(L21+M21)</f>
        <v>0</v>
      </c>
    </row>
    <row r="22" spans="1:14" x14ac:dyDescent="0.2">
      <c r="C22">
        <v>1</v>
      </c>
      <c r="D22">
        <v>55</v>
      </c>
      <c r="E22">
        <v>87</v>
      </c>
      <c r="F22" s="5">
        <f>100*D22/(D22+E22)</f>
        <v>38.732394366197184</v>
      </c>
      <c r="H22">
        <v>34</v>
      </c>
      <c r="I22">
        <v>74</v>
      </c>
      <c r="J22" s="5">
        <f>100*H22/(H22+I22)</f>
        <v>31.481481481481481</v>
      </c>
      <c r="L22">
        <v>46</v>
      </c>
      <c r="M22">
        <v>78</v>
      </c>
      <c r="N22" s="5">
        <f>100*L22/(L22+M22)</f>
        <v>37.096774193548384</v>
      </c>
    </row>
    <row r="23" spans="1:14" x14ac:dyDescent="0.2">
      <c r="C23">
        <v>4</v>
      </c>
      <c r="D23">
        <v>114</v>
      </c>
      <c r="E23">
        <v>8</v>
      </c>
      <c r="F23" s="5">
        <f>100*D23/(D23+E23)</f>
        <v>93.442622950819668</v>
      </c>
      <c r="H23">
        <v>106</v>
      </c>
      <c r="I23">
        <v>2</v>
      </c>
      <c r="J23" s="5">
        <f>100*H23/(H23+I23)</f>
        <v>98.148148148148152</v>
      </c>
      <c r="L23">
        <v>109</v>
      </c>
      <c r="M23">
        <v>6</v>
      </c>
      <c r="N23" s="5">
        <f>100*L23/(L23+M23)</f>
        <v>94.782608695652172</v>
      </c>
    </row>
    <row r="24" spans="1:14" x14ac:dyDescent="0.2">
      <c r="B24" t="s">
        <v>48</v>
      </c>
      <c r="C24">
        <v>0</v>
      </c>
      <c r="D24">
        <v>0</v>
      </c>
      <c r="E24">
        <v>100</v>
      </c>
      <c r="F24" s="5">
        <f>100*D24/(D24+E24)</f>
        <v>0</v>
      </c>
      <c r="H24">
        <v>0</v>
      </c>
      <c r="I24">
        <v>100</v>
      </c>
      <c r="J24" s="5">
        <f>100*H24/(H24+I24)</f>
        <v>0</v>
      </c>
      <c r="L24">
        <v>0</v>
      </c>
      <c r="M24">
        <v>100</v>
      </c>
      <c r="N24" s="5">
        <f>100*L24/(L24+M24)</f>
        <v>0</v>
      </c>
    </row>
    <row r="25" spans="1:14" x14ac:dyDescent="0.2">
      <c r="C25">
        <v>1</v>
      </c>
      <c r="D25">
        <v>61</v>
      </c>
      <c r="E25">
        <v>57</v>
      </c>
      <c r="F25" s="5">
        <f>100*D25/(D25+E25)</f>
        <v>51.694915254237287</v>
      </c>
      <c r="H25">
        <v>67</v>
      </c>
      <c r="I25">
        <v>53</v>
      </c>
      <c r="J25" s="5">
        <f>100*H25/(H25+I25)</f>
        <v>55.833333333333336</v>
      </c>
      <c r="L25">
        <v>43</v>
      </c>
      <c r="M25">
        <v>63</v>
      </c>
      <c r="N25" s="5">
        <f>100*L25/(L25+M25)</f>
        <v>40.566037735849058</v>
      </c>
    </row>
    <row r="26" spans="1:14" x14ac:dyDescent="0.2">
      <c r="C26">
        <v>4</v>
      </c>
      <c r="D26">
        <v>90</v>
      </c>
      <c r="E26">
        <v>12</v>
      </c>
      <c r="F26" s="5">
        <f>100*D26/(D26+E26)</f>
        <v>88.235294117647058</v>
      </c>
      <c r="H26">
        <v>92</v>
      </c>
      <c r="I26">
        <v>9</v>
      </c>
      <c r="J26" s="5">
        <f>100*H26/(H26+I26)</f>
        <v>91.089108910891085</v>
      </c>
      <c r="L26">
        <v>95</v>
      </c>
      <c r="M26">
        <v>14</v>
      </c>
      <c r="N26" s="5">
        <f>100*L26/(L26+M26)</f>
        <v>87.155963302752298</v>
      </c>
    </row>
    <row r="27" spans="1:14" x14ac:dyDescent="0.2">
      <c r="F27" s="5"/>
      <c r="J27" s="5"/>
      <c r="N27" s="5"/>
    </row>
    <row r="28" spans="1:14" x14ac:dyDescent="0.2">
      <c r="F28" s="5"/>
      <c r="J28" s="5"/>
      <c r="N28" s="5"/>
    </row>
    <row r="29" spans="1:14" x14ac:dyDescent="0.2">
      <c r="A29" t="s">
        <v>77</v>
      </c>
      <c r="F29" s="5"/>
      <c r="J29" s="5"/>
      <c r="N29" s="5"/>
    </row>
    <row r="30" spans="1:14" x14ac:dyDescent="0.2">
      <c r="A30" t="s">
        <v>12</v>
      </c>
      <c r="B30" t="s">
        <v>11</v>
      </c>
      <c r="C30" t="s">
        <v>10</v>
      </c>
      <c r="D30" t="s">
        <v>9</v>
      </c>
      <c r="E30" t="s">
        <v>8</v>
      </c>
      <c r="F30" s="5" t="s">
        <v>7</v>
      </c>
      <c r="H30" t="s">
        <v>9</v>
      </c>
      <c r="I30" t="s">
        <v>8</v>
      </c>
      <c r="J30" s="5" t="s">
        <v>7</v>
      </c>
      <c r="L30" t="s">
        <v>9</v>
      </c>
      <c r="M30" t="s">
        <v>8</v>
      </c>
      <c r="N30" s="5" t="s">
        <v>7</v>
      </c>
    </row>
    <row r="31" spans="1:14" x14ac:dyDescent="0.2">
      <c r="A31" t="s">
        <v>6</v>
      </c>
      <c r="B31" t="s">
        <v>0</v>
      </c>
      <c r="C31">
        <v>0</v>
      </c>
      <c r="D31">
        <v>0</v>
      </c>
      <c r="E31">
        <v>100</v>
      </c>
      <c r="F31" s="5">
        <f>100*D31/(D31+E31)</f>
        <v>0</v>
      </c>
      <c r="H31">
        <v>0</v>
      </c>
      <c r="I31">
        <v>100</v>
      </c>
      <c r="J31" s="5">
        <f>100*H31/(H31+I31)</f>
        <v>0</v>
      </c>
      <c r="L31">
        <v>0</v>
      </c>
      <c r="M31">
        <v>100</v>
      </c>
      <c r="N31" s="5">
        <f>100*L31/(L31+M31)</f>
        <v>0</v>
      </c>
    </row>
    <row r="32" spans="1:14" x14ac:dyDescent="0.2">
      <c r="C32">
        <v>1</v>
      </c>
      <c r="D32">
        <v>51</v>
      </c>
      <c r="E32">
        <v>49</v>
      </c>
      <c r="F32" s="5">
        <f>100*D32/(D32+E32)</f>
        <v>51</v>
      </c>
      <c r="H32">
        <v>71</v>
      </c>
      <c r="I32">
        <v>33</v>
      </c>
      <c r="J32" s="5">
        <f>100*H32/(H32+I32)</f>
        <v>68.269230769230774</v>
      </c>
      <c r="L32">
        <v>90</v>
      </c>
      <c r="M32">
        <v>35</v>
      </c>
      <c r="N32" s="5">
        <f>100*L32/(L32+M32)</f>
        <v>72</v>
      </c>
    </row>
    <row r="33" spans="1:14" x14ac:dyDescent="0.2">
      <c r="C33">
        <v>4</v>
      </c>
      <c r="D33">
        <v>107</v>
      </c>
      <c r="E33">
        <v>6</v>
      </c>
      <c r="F33" s="5">
        <f>100*D33/(D33+E33)</f>
        <v>94.690265486725664</v>
      </c>
      <c r="H33">
        <v>117</v>
      </c>
      <c r="I33">
        <v>6</v>
      </c>
      <c r="J33" s="5">
        <f>100*H33/(H33+I33)</f>
        <v>95.121951219512198</v>
      </c>
      <c r="L33">
        <v>113</v>
      </c>
      <c r="M33">
        <v>10</v>
      </c>
      <c r="N33" s="5">
        <f>100*L33/(L33+M33)</f>
        <v>91.869918699186996</v>
      </c>
    </row>
    <row r="34" spans="1:14" x14ac:dyDescent="0.2">
      <c r="B34" t="s">
        <v>2</v>
      </c>
      <c r="C34">
        <v>0</v>
      </c>
      <c r="D34">
        <v>0</v>
      </c>
      <c r="E34">
        <v>100</v>
      </c>
      <c r="F34" s="5">
        <f>100*D34/(D34+E34)</f>
        <v>0</v>
      </c>
      <c r="H34">
        <v>0</v>
      </c>
      <c r="I34">
        <v>100</v>
      </c>
      <c r="J34" s="5">
        <f>100*H34/(H34+I34)</f>
        <v>0</v>
      </c>
      <c r="L34">
        <v>0</v>
      </c>
      <c r="M34">
        <v>100</v>
      </c>
      <c r="N34" s="5">
        <f>100*L34/(L34+M34)</f>
        <v>0</v>
      </c>
    </row>
    <row r="35" spans="1:14" x14ac:dyDescent="0.2">
      <c r="C35">
        <v>1</v>
      </c>
      <c r="D35">
        <v>62</v>
      </c>
      <c r="E35">
        <v>38</v>
      </c>
      <c r="F35" s="5">
        <f>100*D35/(D35+E35)</f>
        <v>62</v>
      </c>
      <c r="H35">
        <v>70</v>
      </c>
      <c r="I35">
        <v>35</v>
      </c>
      <c r="J35" s="5">
        <f>100*H35/(H35+I35)</f>
        <v>66.666666666666671</v>
      </c>
      <c r="L35">
        <v>80</v>
      </c>
      <c r="M35">
        <v>43</v>
      </c>
      <c r="N35" s="5">
        <f>100*L35/(L35+M35)</f>
        <v>65.040650406504071</v>
      </c>
    </row>
    <row r="36" spans="1:14" x14ac:dyDescent="0.2">
      <c r="C36">
        <v>4</v>
      </c>
      <c r="D36">
        <v>120</v>
      </c>
      <c r="E36">
        <v>7</v>
      </c>
      <c r="F36" s="5">
        <f>100*D36/(D36+E36)</f>
        <v>94.488188976377955</v>
      </c>
      <c r="H36">
        <v>152</v>
      </c>
      <c r="I36">
        <v>8</v>
      </c>
      <c r="J36" s="5">
        <f>100*H36/(H36+I36)</f>
        <v>95</v>
      </c>
      <c r="L36">
        <v>109</v>
      </c>
      <c r="M36">
        <v>8</v>
      </c>
      <c r="N36" s="5">
        <f>100*L36/(L36+M36)</f>
        <v>93.162393162393158</v>
      </c>
    </row>
    <row r="37" spans="1:14" x14ac:dyDescent="0.2">
      <c r="B37" s="8" t="s">
        <v>1</v>
      </c>
      <c r="C37" s="8">
        <v>0</v>
      </c>
      <c r="D37">
        <v>0</v>
      </c>
      <c r="E37">
        <v>100</v>
      </c>
      <c r="F37" s="5">
        <f>100*D37/(D37+E37)</f>
        <v>0</v>
      </c>
      <c r="H37">
        <v>9</v>
      </c>
      <c r="I37">
        <v>98</v>
      </c>
      <c r="J37" s="5">
        <f>100*H37/(H37+I37)</f>
        <v>8.4112149532710276</v>
      </c>
      <c r="L37">
        <v>9</v>
      </c>
      <c r="M37">
        <v>107</v>
      </c>
      <c r="N37" s="5">
        <f>100*L37/(L37+M37)</f>
        <v>7.7586206896551726</v>
      </c>
    </row>
    <row r="38" spans="1:14" x14ac:dyDescent="0.2">
      <c r="B38" s="8"/>
      <c r="C38" s="8">
        <v>1</v>
      </c>
      <c r="D38">
        <v>97</v>
      </c>
      <c r="E38">
        <v>17</v>
      </c>
      <c r="F38" s="5">
        <f>100*D38/(D38+E38)</f>
        <v>85.087719298245617</v>
      </c>
      <c r="H38">
        <v>93</v>
      </c>
      <c r="I38">
        <v>20</v>
      </c>
      <c r="J38" s="5">
        <f>100*H38/(H38+I38)</f>
        <v>82.30088495575221</v>
      </c>
      <c r="L38">
        <v>113</v>
      </c>
      <c r="M38">
        <v>11</v>
      </c>
      <c r="N38" s="5">
        <f>100*L38/(L38+M38)</f>
        <v>91.129032258064512</v>
      </c>
    </row>
    <row r="39" spans="1:14" x14ac:dyDescent="0.2">
      <c r="B39" s="8"/>
      <c r="C39" s="8">
        <v>4</v>
      </c>
      <c r="D39">
        <v>121</v>
      </c>
      <c r="E39">
        <v>0</v>
      </c>
      <c r="F39" s="5">
        <f>100*D39/(D39+E39)</f>
        <v>100</v>
      </c>
      <c r="H39">
        <v>105</v>
      </c>
      <c r="I39">
        <v>4</v>
      </c>
      <c r="J39" s="5">
        <f>100*H39/(H39+I39)</f>
        <v>96.330275229357795</v>
      </c>
      <c r="L39">
        <v>101</v>
      </c>
      <c r="M39">
        <v>8</v>
      </c>
      <c r="N39" s="5">
        <f>100*L39/(L39+M39)</f>
        <v>92.660550458715591</v>
      </c>
    </row>
    <row r="40" spans="1:14" x14ac:dyDescent="0.2">
      <c r="B40" s="8" t="s">
        <v>47</v>
      </c>
      <c r="C40" s="8">
        <v>0</v>
      </c>
      <c r="D40">
        <v>0</v>
      </c>
      <c r="E40">
        <v>100</v>
      </c>
      <c r="F40" s="5">
        <f>100*D40/(D40+E40)</f>
        <v>0</v>
      </c>
      <c r="H40">
        <v>0</v>
      </c>
      <c r="I40">
        <v>100</v>
      </c>
      <c r="J40" s="5">
        <f>100*H40/(H40+I40)</f>
        <v>0</v>
      </c>
      <c r="L40">
        <v>0</v>
      </c>
      <c r="M40">
        <v>100</v>
      </c>
      <c r="N40" s="5">
        <f>100*L40/(L40+M40)</f>
        <v>0</v>
      </c>
    </row>
    <row r="41" spans="1:14" x14ac:dyDescent="0.2">
      <c r="B41" s="8"/>
      <c r="C41" s="8">
        <v>1</v>
      </c>
      <c r="D41">
        <v>86</v>
      </c>
      <c r="E41">
        <v>19</v>
      </c>
      <c r="F41" s="5">
        <f>100*D41/(D41+E41)</f>
        <v>81.904761904761898</v>
      </c>
      <c r="H41">
        <v>92</v>
      </c>
      <c r="I41">
        <v>8</v>
      </c>
      <c r="J41" s="5">
        <f>100*H41/(H41+I41)</f>
        <v>92</v>
      </c>
      <c r="L41">
        <v>82</v>
      </c>
      <c r="M41">
        <v>24</v>
      </c>
      <c r="N41" s="5">
        <f>100*L41/(L41+M41)</f>
        <v>77.35849056603773</v>
      </c>
    </row>
    <row r="42" spans="1:14" x14ac:dyDescent="0.2">
      <c r="B42" s="8"/>
      <c r="C42" s="8">
        <v>4</v>
      </c>
      <c r="D42">
        <v>108</v>
      </c>
      <c r="E42">
        <v>3</v>
      </c>
      <c r="F42" s="5">
        <f>100*D42/(D42+E42)</f>
        <v>97.297297297297291</v>
      </c>
      <c r="H42">
        <v>101</v>
      </c>
      <c r="I42">
        <v>4</v>
      </c>
      <c r="J42" s="5">
        <f>100*H42/(H42+I42)</f>
        <v>96.19047619047619</v>
      </c>
      <c r="L42">
        <v>102</v>
      </c>
      <c r="M42">
        <v>3</v>
      </c>
      <c r="N42" s="5">
        <f>100*L42/(L42+M42)</f>
        <v>97.142857142857139</v>
      </c>
    </row>
    <row r="43" spans="1:14" x14ac:dyDescent="0.2">
      <c r="A43" t="s">
        <v>6</v>
      </c>
      <c r="B43" t="s">
        <v>0</v>
      </c>
      <c r="C43">
        <v>0</v>
      </c>
      <c r="D43">
        <v>0</v>
      </c>
      <c r="E43">
        <v>100</v>
      </c>
      <c r="F43" s="5">
        <f>100*D43/(D43+E43)</f>
        <v>0</v>
      </c>
      <c r="H43">
        <v>0</v>
      </c>
      <c r="I43">
        <v>100</v>
      </c>
      <c r="J43" s="5">
        <f>100*H43/(H43+I43)</f>
        <v>0</v>
      </c>
      <c r="L43">
        <v>0</v>
      </c>
      <c r="M43">
        <v>100</v>
      </c>
      <c r="N43" s="5">
        <f>100*L43/(L43+M43)</f>
        <v>0</v>
      </c>
    </row>
    <row r="44" spans="1:14" x14ac:dyDescent="0.2">
      <c r="C44">
        <v>1</v>
      </c>
      <c r="D44">
        <v>5</v>
      </c>
      <c r="E44">
        <v>99</v>
      </c>
      <c r="F44" s="5">
        <f>100*D44/(D44+E44)</f>
        <v>4.8076923076923075</v>
      </c>
      <c r="H44">
        <v>14</v>
      </c>
      <c r="I44">
        <v>102</v>
      </c>
      <c r="J44" s="5">
        <f>100*H44/(H44+I44)</f>
        <v>12.068965517241379</v>
      </c>
      <c r="L44">
        <v>42</v>
      </c>
      <c r="M44">
        <v>104</v>
      </c>
      <c r="N44" s="5">
        <f>100*L44/(L44+M44)</f>
        <v>28.767123287671232</v>
      </c>
    </row>
    <row r="45" spans="1:14" x14ac:dyDescent="0.2">
      <c r="C45">
        <v>4</v>
      </c>
      <c r="D45">
        <v>95</v>
      </c>
      <c r="E45">
        <v>8</v>
      </c>
      <c r="F45" s="5">
        <f>100*D45/(D45+E45)</f>
        <v>92.233009708737868</v>
      </c>
      <c r="H45">
        <v>121</v>
      </c>
      <c r="I45">
        <v>16</v>
      </c>
      <c r="J45" s="5">
        <f>100*H45/(H45+I45)</f>
        <v>88.321167883211672</v>
      </c>
      <c r="L45">
        <v>98</v>
      </c>
      <c r="M45">
        <v>18</v>
      </c>
      <c r="N45" s="5">
        <f>100*L45/(L45+M45)</f>
        <v>84.482758620689651</v>
      </c>
    </row>
    <row r="46" spans="1:14" x14ac:dyDescent="0.2">
      <c r="B46" t="s">
        <v>2</v>
      </c>
      <c r="C46">
        <v>0</v>
      </c>
      <c r="D46">
        <v>0</v>
      </c>
      <c r="E46">
        <v>100</v>
      </c>
      <c r="F46" s="5">
        <f>100*D46/(D46+E46)</f>
        <v>0</v>
      </c>
      <c r="H46">
        <v>0</v>
      </c>
      <c r="I46">
        <v>100</v>
      </c>
      <c r="J46" s="5">
        <f>100*H46/(H46+I46)</f>
        <v>0</v>
      </c>
      <c r="L46">
        <v>0</v>
      </c>
      <c r="M46">
        <v>100</v>
      </c>
      <c r="N46" s="5">
        <f>100*L46/(L46+M46)</f>
        <v>0</v>
      </c>
    </row>
    <row r="47" spans="1:14" x14ac:dyDescent="0.2">
      <c r="C47">
        <v>1</v>
      </c>
      <c r="D47">
        <v>13</v>
      </c>
      <c r="E47">
        <v>117</v>
      </c>
      <c r="F47" s="5">
        <f>100*D47/(D47+E47)</f>
        <v>10</v>
      </c>
      <c r="H47">
        <v>13</v>
      </c>
      <c r="I47">
        <v>93</v>
      </c>
      <c r="J47" s="5">
        <f>100*H47/(H47+I47)</f>
        <v>12.264150943396226</v>
      </c>
      <c r="L47">
        <v>17</v>
      </c>
      <c r="M47">
        <v>115</v>
      </c>
      <c r="N47" s="5">
        <f>100*L47/(L47+M47)</f>
        <v>12.878787878787879</v>
      </c>
    </row>
    <row r="48" spans="1:14" x14ac:dyDescent="0.2">
      <c r="C48">
        <v>4</v>
      </c>
      <c r="D48">
        <v>96</v>
      </c>
      <c r="E48">
        <v>13</v>
      </c>
      <c r="F48" s="5">
        <f>100*D48/(D48+E48)</f>
        <v>88.073394495412842</v>
      </c>
      <c r="H48">
        <v>114</v>
      </c>
      <c r="I48">
        <v>9</v>
      </c>
      <c r="J48" s="5">
        <f>100*H48/(H48+I48)</f>
        <v>92.682926829268297</v>
      </c>
      <c r="L48">
        <v>108</v>
      </c>
      <c r="M48">
        <v>10</v>
      </c>
      <c r="N48" s="5">
        <f>100*L48/(L48+M48)</f>
        <v>91.525423728813564</v>
      </c>
    </row>
    <row r="49" spans="2:14" x14ac:dyDescent="0.2">
      <c r="B49" s="8" t="s">
        <v>1</v>
      </c>
      <c r="C49" s="8">
        <v>0</v>
      </c>
      <c r="D49">
        <v>0</v>
      </c>
      <c r="E49">
        <v>100</v>
      </c>
      <c r="F49" s="5">
        <f>100*D49/(D49+E49)</f>
        <v>0</v>
      </c>
      <c r="H49">
        <v>0</v>
      </c>
      <c r="I49">
        <v>100</v>
      </c>
      <c r="J49" s="5">
        <f>100*H49/(H49+I49)</f>
        <v>0</v>
      </c>
      <c r="L49">
        <v>0</v>
      </c>
      <c r="M49">
        <v>100</v>
      </c>
      <c r="N49" s="5">
        <f>100*L49/(L49+M49)</f>
        <v>0</v>
      </c>
    </row>
    <row r="50" spans="2:14" x14ac:dyDescent="0.2">
      <c r="B50" s="8"/>
      <c r="C50" s="8">
        <v>1</v>
      </c>
      <c r="D50">
        <v>70</v>
      </c>
      <c r="E50">
        <v>39</v>
      </c>
      <c r="F50" s="5">
        <f>100*D50/(D50+E50)</f>
        <v>64.220183486238525</v>
      </c>
      <c r="H50">
        <v>88</v>
      </c>
      <c r="I50">
        <v>32</v>
      </c>
      <c r="J50" s="5">
        <f>100*H50/(H50+I50)</f>
        <v>73.333333333333329</v>
      </c>
      <c r="L50">
        <v>73</v>
      </c>
      <c r="M50">
        <v>32</v>
      </c>
      <c r="N50" s="5">
        <f>100*L50/(L50+M50)</f>
        <v>69.523809523809518</v>
      </c>
    </row>
    <row r="51" spans="2:14" x14ac:dyDescent="0.2">
      <c r="B51" s="8"/>
      <c r="C51" s="8">
        <v>4</v>
      </c>
      <c r="D51">
        <v>133</v>
      </c>
      <c r="E51">
        <v>6</v>
      </c>
      <c r="F51" s="5">
        <f>100*D51/(D51+E51)</f>
        <v>95.683453237410077</v>
      </c>
      <c r="H51">
        <v>108</v>
      </c>
      <c r="I51">
        <v>7</v>
      </c>
      <c r="J51" s="5">
        <f>100*H51/(H51+I51)</f>
        <v>93.913043478260875</v>
      </c>
      <c r="L51">
        <v>123</v>
      </c>
      <c r="M51">
        <v>7</v>
      </c>
      <c r="N51" s="5">
        <f>100*L51/(L51+M51)</f>
        <v>94.615384615384613</v>
      </c>
    </row>
    <row r="52" spans="2:14" x14ac:dyDescent="0.2">
      <c r="B52" s="8" t="s">
        <v>47</v>
      </c>
      <c r="C52" s="8">
        <v>0</v>
      </c>
      <c r="D52">
        <v>0</v>
      </c>
      <c r="E52">
        <v>100</v>
      </c>
      <c r="F52" s="5">
        <f>100*D52/(D52+E52)</f>
        <v>0</v>
      </c>
      <c r="H52">
        <v>0</v>
      </c>
      <c r="I52">
        <v>100</v>
      </c>
      <c r="J52" s="5">
        <f>100*H52/(H52+I52)</f>
        <v>0</v>
      </c>
      <c r="L52">
        <v>0</v>
      </c>
      <c r="M52">
        <v>100</v>
      </c>
      <c r="N52" s="5">
        <f>100*L52/(L52+M52)</f>
        <v>0</v>
      </c>
    </row>
    <row r="53" spans="2:14" x14ac:dyDescent="0.2">
      <c r="B53" s="8"/>
      <c r="C53" s="8">
        <v>1</v>
      </c>
      <c r="D53">
        <v>70</v>
      </c>
      <c r="E53">
        <v>37</v>
      </c>
      <c r="F53" s="5">
        <f>100*D53/(D53+E53)</f>
        <v>65.420560747663558</v>
      </c>
      <c r="H53">
        <v>49</v>
      </c>
      <c r="I53">
        <v>65</v>
      </c>
      <c r="J53" s="5">
        <f>100*H53/(H53+I53)</f>
        <v>42.982456140350877</v>
      </c>
      <c r="L53">
        <v>58</v>
      </c>
      <c r="M53">
        <v>50</v>
      </c>
      <c r="N53" s="5">
        <f>100*L53/(L53+M53)</f>
        <v>53.703703703703702</v>
      </c>
    </row>
    <row r="54" spans="2:14" x14ac:dyDescent="0.2">
      <c r="B54" s="8"/>
      <c r="C54" s="8">
        <v>4</v>
      </c>
      <c r="D54">
        <v>100</v>
      </c>
      <c r="E54">
        <v>13</v>
      </c>
      <c r="F54" s="5">
        <f>100*D54/(D54+E54)</f>
        <v>88.495575221238937</v>
      </c>
      <c r="H54">
        <v>103</v>
      </c>
      <c r="I54">
        <v>10</v>
      </c>
      <c r="J54" s="5">
        <f>100*H54/(H54+I54)</f>
        <v>91.150442477876112</v>
      </c>
      <c r="L54">
        <v>88</v>
      </c>
      <c r="M54">
        <v>18</v>
      </c>
      <c r="N54" s="5">
        <f>100*L54/(L54+M54)</f>
        <v>83.018867924528308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A2" sqref="A2"/>
    </sheetView>
  </sheetViews>
  <sheetFormatPr baseColWidth="10" defaultRowHeight="16" x14ac:dyDescent="0.2"/>
  <cols>
    <col min="2" max="2" width="8.5" customWidth="1"/>
  </cols>
  <sheetData>
    <row r="1" spans="1:5" x14ac:dyDescent="0.2">
      <c r="A1" t="s">
        <v>78</v>
      </c>
    </row>
    <row r="3" spans="1:5" x14ac:dyDescent="0.2">
      <c r="A3" s="15"/>
      <c r="B3" s="15"/>
      <c r="C3" s="15" t="s">
        <v>55</v>
      </c>
      <c r="D3" s="15"/>
      <c r="E3" s="15"/>
    </row>
    <row r="4" spans="1:5" x14ac:dyDescent="0.2">
      <c r="A4" s="12" t="s">
        <v>54</v>
      </c>
      <c r="B4" s="12" t="s">
        <v>10</v>
      </c>
      <c r="C4" s="12" t="s">
        <v>9</v>
      </c>
      <c r="D4" s="12" t="s">
        <v>8</v>
      </c>
      <c r="E4" s="12" t="s">
        <v>7</v>
      </c>
    </row>
    <row r="5" spans="1:5" x14ac:dyDescent="0.2">
      <c r="A5" t="s">
        <v>53</v>
      </c>
      <c r="B5">
        <v>0</v>
      </c>
      <c r="C5">
        <v>0</v>
      </c>
      <c r="D5">
        <v>100</v>
      </c>
      <c r="E5">
        <f>100*C5/(C5+D5)</f>
        <v>0</v>
      </c>
    </row>
    <row r="6" spans="1:5" x14ac:dyDescent="0.2">
      <c r="B6">
        <v>1</v>
      </c>
      <c r="C6">
        <v>38</v>
      </c>
      <c r="D6">
        <v>70</v>
      </c>
      <c r="E6">
        <f>100*C6/(C6+D6)</f>
        <v>35.185185185185183</v>
      </c>
    </row>
    <row r="7" spans="1:5" x14ac:dyDescent="0.2">
      <c r="B7">
        <v>4</v>
      </c>
      <c r="C7">
        <v>62</v>
      </c>
      <c r="D7">
        <v>58</v>
      </c>
      <c r="E7">
        <f>100*C7/(C7+D7)</f>
        <v>51.666666666666664</v>
      </c>
    </row>
    <row r="8" spans="1:5" x14ac:dyDescent="0.2">
      <c r="A8" t="s">
        <v>52</v>
      </c>
      <c r="B8">
        <v>0</v>
      </c>
      <c r="C8">
        <v>0</v>
      </c>
      <c r="D8">
        <v>100</v>
      </c>
      <c r="E8">
        <f>100*C8/(C8+D8)</f>
        <v>0</v>
      </c>
    </row>
    <row r="9" spans="1:5" x14ac:dyDescent="0.2">
      <c r="B9">
        <v>1</v>
      </c>
      <c r="C9">
        <v>59</v>
      </c>
      <c r="D9">
        <v>50</v>
      </c>
      <c r="E9">
        <f>100*C9/(C9+D9)</f>
        <v>54.128440366972477</v>
      </c>
    </row>
    <row r="10" spans="1:5" x14ac:dyDescent="0.2">
      <c r="B10">
        <v>4</v>
      </c>
      <c r="C10">
        <v>77</v>
      </c>
      <c r="D10">
        <v>28</v>
      </c>
      <c r="E10">
        <f>100*C10/(C10+D10)</f>
        <v>73.333333333333329</v>
      </c>
    </row>
    <row r="11" spans="1:5" x14ac:dyDescent="0.2">
      <c r="A11" t="s">
        <v>51</v>
      </c>
      <c r="B11">
        <v>0</v>
      </c>
      <c r="C11">
        <v>0</v>
      </c>
      <c r="D11">
        <v>100</v>
      </c>
      <c r="E11">
        <f>100*C11/(C11+D11)</f>
        <v>0</v>
      </c>
    </row>
    <row r="12" spans="1:5" x14ac:dyDescent="0.2">
      <c r="B12">
        <v>1</v>
      </c>
      <c r="C12">
        <v>63</v>
      </c>
      <c r="D12">
        <v>43</v>
      </c>
      <c r="E12">
        <f>100*C12/(C12+D12)</f>
        <v>59.433962264150942</v>
      </c>
    </row>
    <row r="13" spans="1:5" x14ac:dyDescent="0.2">
      <c r="B13">
        <v>4</v>
      </c>
      <c r="C13">
        <v>73</v>
      </c>
      <c r="D13">
        <v>35</v>
      </c>
      <c r="E13">
        <f>100*C13/(C13+D13)</f>
        <v>67.592592592592595</v>
      </c>
    </row>
    <row r="14" spans="1:5" x14ac:dyDescent="0.2">
      <c r="A14" t="s">
        <v>50</v>
      </c>
      <c r="B14">
        <v>0</v>
      </c>
      <c r="C14">
        <v>0</v>
      </c>
      <c r="D14">
        <v>100</v>
      </c>
      <c r="E14">
        <f>100*C14/(C14+D14)</f>
        <v>0</v>
      </c>
    </row>
    <row r="15" spans="1:5" x14ac:dyDescent="0.2">
      <c r="B15">
        <v>1</v>
      </c>
      <c r="C15">
        <v>45</v>
      </c>
      <c r="D15">
        <v>74</v>
      </c>
      <c r="E15">
        <f>100*C15/(C15+D15)</f>
        <v>37.815126050420169</v>
      </c>
    </row>
    <row r="16" spans="1:5" x14ac:dyDescent="0.2">
      <c r="B16">
        <v>4</v>
      </c>
      <c r="C16">
        <v>60</v>
      </c>
      <c r="D16">
        <v>43</v>
      </c>
      <c r="E16">
        <f>100*C16/(C16+D16)</f>
        <v>58.252427184466022</v>
      </c>
    </row>
    <row r="18" spans="1:5" x14ac:dyDescent="0.2">
      <c r="A18" t="s">
        <v>53</v>
      </c>
      <c r="B18">
        <v>0</v>
      </c>
      <c r="C18">
        <v>0</v>
      </c>
      <c r="D18">
        <v>100</v>
      </c>
      <c r="E18">
        <f>100*C18/(C18+D18)</f>
        <v>0</v>
      </c>
    </row>
    <row r="19" spans="1:5" x14ac:dyDescent="0.2">
      <c r="B19">
        <v>1</v>
      </c>
      <c r="C19">
        <v>23</v>
      </c>
      <c r="D19">
        <v>106</v>
      </c>
      <c r="E19">
        <f>100*C19/(C19+D19)</f>
        <v>17.829457364341085</v>
      </c>
    </row>
    <row r="20" spans="1:5" x14ac:dyDescent="0.2">
      <c r="B20">
        <v>4</v>
      </c>
      <c r="C20">
        <v>69</v>
      </c>
      <c r="D20">
        <v>89</v>
      </c>
      <c r="E20">
        <f>100*C20/(C20+D20)</f>
        <v>43.670886075949369</v>
      </c>
    </row>
    <row r="21" spans="1:5" x14ac:dyDescent="0.2">
      <c r="A21" t="s">
        <v>52</v>
      </c>
      <c r="B21">
        <v>0</v>
      </c>
      <c r="C21">
        <v>0</v>
      </c>
      <c r="D21">
        <v>100</v>
      </c>
      <c r="E21">
        <f>100*C21/(C21+D21)</f>
        <v>0</v>
      </c>
    </row>
    <row r="22" spans="1:5" x14ac:dyDescent="0.2">
      <c r="B22">
        <v>1</v>
      </c>
      <c r="C22">
        <v>50</v>
      </c>
      <c r="D22">
        <v>67</v>
      </c>
      <c r="E22">
        <f>100*C22/(C22+D22)</f>
        <v>42.735042735042732</v>
      </c>
    </row>
    <row r="23" spans="1:5" x14ac:dyDescent="0.2">
      <c r="B23">
        <v>4</v>
      </c>
      <c r="C23">
        <v>80</v>
      </c>
      <c r="D23">
        <v>42</v>
      </c>
      <c r="E23">
        <f>100*C23/(C23+D23)</f>
        <v>65.573770491803273</v>
      </c>
    </row>
    <row r="24" spans="1:5" x14ac:dyDescent="0.2">
      <c r="A24" t="s">
        <v>51</v>
      </c>
      <c r="B24">
        <v>0</v>
      </c>
      <c r="C24">
        <v>0</v>
      </c>
      <c r="D24">
        <v>100</v>
      </c>
      <c r="E24">
        <f>100*C24/(C24+D24)</f>
        <v>0</v>
      </c>
    </row>
    <row r="25" spans="1:5" x14ac:dyDescent="0.2">
      <c r="B25">
        <v>1</v>
      </c>
      <c r="C25">
        <v>45</v>
      </c>
      <c r="D25">
        <v>76</v>
      </c>
      <c r="E25">
        <f>100*C25/(C25+D25)</f>
        <v>37.190082644628099</v>
      </c>
    </row>
    <row r="26" spans="1:5" x14ac:dyDescent="0.2">
      <c r="B26">
        <v>4</v>
      </c>
      <c r="C26">
        <v>72</v>
      </c>
      <c r="D26">
        <v>44</v>
      </c>
      <c r="E26">
        <f>100*C26/(C26+D26)</f>
        <v>62.068965517241381</v>
      </c>
    </row>
    <row r="27" spans="1:5" x14ac:dyDescent="0.2">
      <c r="A27" t="s">
        <v>50</v>
      </c>
      <c r="B27">
        <v>0</v>
      </c>
      <c r="C27">
        <v>0</v>
      </c>
      <c r="D27">
        <v>100</v>
      </c>
      <c r="E27">
        <f>100*C27/(C27+D27)</f>
        <v>0</v>
      </c>
    </row>
    <row r="28" spans="1:5" x14ac:dyDescent="0.2">
      <c r="B28">
        <v>1</v>
      </c>
      <c r="C28">
        <v>19</v>
      </c>
      <c r="D28">
        <v>105</v>
      </c>
      <c r="E28">
        <f>100*C28/(C28+D28)</f>
        <v>15.32258064516129</v>
      </c>
    </row>
    <row r="29" spans="1:5" x14ac:dyDescent="0.2">
      <c r="B29">
        <v>4</v>
      </c>
      <c r="C29">
        <v>45</v>
      </c>
      <c r="D29">
        <v>89</v>
      </c>
      <c r="E29">
        <f>100*C29/(C29+D29)</f>
        <v>33.582089552238806</v>
      </c>
    </row>
    <row r="31" spans="1:5" x14ac:dyDescent="0.2">
      <c r="A31" t="s">
        <v>53</v>
      </c>
      <c r="B31">
        <v>0</v>
      </c>
      <c r="C31">
        <v>0</v>
      </c>
      <c r="D31">
        <v>100</v>
      </c>
      <c r="E31">
        <f>100*C31/(C31+D31)</f>
        <v>0</v>
      </c>
    </row>
    <row r="32" spans="1:5" x14ac:dyDescent="0.2">
      <c r="B32">
        <v>1</v>
      </c>
      <c r="C32">
        <v>27</v>
      </c>
      <c r="D32">
        <v>109</v>
      </c>
      <c r="E32">
        <f>100*C32/(C32+D32)</f>
        <v>19.852941176470587</v>
      </c>
    </row>
    <row r="33" spans="1:5" x14ac:dyDescent="0.2">
      <c r="B33">
        <v>4</v>
      </c>
      <c r="C33">
        <v>67</v>
      </c>
      <c r="D33">
        <v>91</v>
      </c>
      <c r="E33">
        <f>100*C33/(C33+D33)</f>
        <v>42.405063291139243</v>
      </c>
    </row>
    <row r="34" spans="1:5" x14ac:dyDescent="0.2">
      <c r="A34" t="s">
        <v>52</v>
      </c>
      <c r="B34">
        <v>0</v>
      </c>
      <c r="C34">
        <v>0</v>
      </c>
      <c r="D34">
        <v>100</v>
      </c>
      <c r="E34">
        <f>100*C34/(C34+D34)</f>
        <v>0</v>
      </c>
    </row>
    <row r="35" spans="1:5" x14ac:dyDescent="0.2">
      <c r="B35">
        <v>1</v>
      </c>
      <c r="C35">
        <v>47</v>
      </c>
      <c r="D35">
        <v>66</v>
      </c>
      <c r="E35">
        <f>100*C35/(C35+D35)</f>
        <v>41.592920353982301</v>
      </c>
    </row>
    <row r="36" spans="1:5" x14ac:dyDescent="0.2">
      <c r="B36">
        <v>4</v>
      </c>
      <c r="C36">
        <v>72</v>
      </c>
      <c r="D36">
        <v>37</v>
      </c>
      <c r="E36">
        <f>100*C36/(C36+D36)</f>
        <v>66.055045871559628</v>
      </c>
    </row>
    <row r="37" spans="1:5" x14ac:dyDescent="0.2">
      <c r="A37" t="s">
        <v>51</v>
      </c>
      <c r="B37">
        <v>0</v>
      </c>
      <c r="C37">
        <v>0</v>
      </c>
      <c r="D37">
        <v>100</v>
      </c>
      <c r="E37">
        <f>100*C37/(C37+D37)</f>
        <v>0</v>
      </c>
    </row>
    <row r="38" spans="1:5" x14ac:dyDescent="0.2">
      <c r="B38">
        <v>1</v>
      </c>
      <c r="C38">
        <v>43</v>
      </c>
      <c r="D38">
        <v>81</v>
      </c>
      <c r="E38">
        <f>100*C38/(C38+D38)</f>
        <v>34.677419354838712</v>
      </c>
    </row>
    <row r="39" spans="1:5" x14ac:dyDescent="0.2">
      <c r="B39">
        <v>4</v>
      </c>
      <c r="C39">
        <v>69</v>
      </c>
      <c r="D39">
        <v>40</v>
      </c>
      <c r="E39">
        <f>100*C39/(C39+D39)</f>
        <v>63.302752293577981</v>
      </c>
    </row>
    <row r="40" spans="1:5" x14ac:dyDescent="0.2">
      <c r="A40" t="s">
        <v>50</v>
      </c>
      <c r="B40">
        <v>0</v>
      </c>
      <c r="C40">
        <v>0</v>
      </c>
      <c r="D40">
        <v>100</v>
      </c>
      <c r="E40">
        <f>100*C40/(C40+D40)</f>
        <v>0</v>
      </c>
    </row>
    <row r="41" spans="1:5" x14ac:dyDescent="0.2">
      <c r="B41">
        <v>1</v>
      </c>
      <c r="C41">
        <v>31</v>
      </c>
      <c r="D41">
        <v>100</v>
      </c>
      <c r="E41">
        <f>100*C41/(C41+D41)</f>
        <v>23.664122137404579</v>
      </c>
    </row>
    <row r="42" spans="1:5" x14ac:dyDescent="0.2">
      <c r="B42">
        <v>4</v>
      </c>
      <c r="C42">
        <v>38</v>
      </c>
      <c r="D42">
        <v>87</v>
      </c>
      <c r="E42">
        <f>100*C42/(C42+D42)</f>
        <v>30.4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F13" sqref="F13"/>
    </sheetView>
  </sheetViews>
  <sheetFormatPr baseColWidth="10" defaultRowHeight="16" x14ac:dyDescent="0.2"/>
  <cols>
    <col min="1" max="1" width="21.83203125" customWidth="1"/>
    <col min="2" max="10" width="6.1640625" customWidth="1"/>
  </cols>
  <sheetData>
    <row r="1" spans="1:10" x14ac:dyDescent="0.2">
      <c r="A1" t="s">
        <v>79</v>
      </c>
    </row>
    <row r="3" spans="1:10" x14ac:dyDescent="0.2">
      <c r="A3" s="4"/>
      <c r="B3" s="3" t="s">
        <v>53</v>
      </c>
      <c r="C3" s="3"/>
      <c r="D3" s="3"/>
      <c r="E3" s="3" t="s">
        <v>52</v>
      </c>
      <c r="F3" s="3"/>
      <c r="G3" s="3"/>
      <c r="H3" s="3" t="s">
        <v>51</v>
      </c>
      <c r="I3" s="3"/>
      <c r="J3" s="3"/>
    </row>
    <row r="4" spans="1:10" x14ac:dyDescent="0.2">
      <c r="A4" s="2" t="s">
        <v>4</v>
      </c>
      <c r="B4" s="1">
        <v>100</v>
      </c>
      <c r="C4" s="1">
        <v>100</v>
      </c>
      <c r="D4" s="1">
        <v>100</v>
      </c>
      <c r="E4" s="1">
        <v>100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</row>
    <row r="5" spans="1:10" x14ac:dyDescent="0.2">
      <c r="A5" s="2" t="s">
        <v>3</v>
      </c>
      <c r="B5" s="1">
        <v>49.2</v>
      </c>
      <c r="C5" s="1">
        <v>58.1</v>
      </c>
      <c r="D5" s="1">
        <v>48.2</v>
      </c>
      <c r="E5" s="1">
        <v>7.9</v>
      </c>
      <c r="F5" s="1">
        <v>11.9</v>
      </c>
      <c r="G5" s="1">
        <v>13.2</v>
      </c>
      <c r="H5" s="1">
        <v>11.8</v>
      </c>
      <c r="I5" s="1">
        <v>19.100000000000001</v>
      </c>
      <c r="J5" s="1">
        <v>21.7</v>
      </c>
    </row>
    <row r="6" spans="1:10" x14ac:dyDescent="0.2">
      <c r="A6" s="2" t="s">
        <v>56</v>
      </c>
      <c r="B6" s="1">
        <v>100</v>
      </c>
      <c r="C6" s="1">
        <v>100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>
        <v>100</v>
      </c>
      <c r="J6" s="1">
        <v>100</v>
      </c>
    </row>
  </sheetData>
  <mergeCells count="3">
    <mergeCell ref="B3:D3"/>
    <mergeCell ref="E3:G3"/>
    <mergeCell ref="H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J11" sqref="J11"/>
    </sheetView>
  </sheetViews>
  <sheetFormatPr baseColWidth="10" defaultRowHeight="16" x14ac:dyDescent="0.2"/>
  <cols>
    <col min="1" max="1" width="16.33203125" customWidth="1"/>
  </cols>
  <sheetData>
    <row r="1" spans="1:13" x14ac:dyDescent="0.2">
      <c r="A1" t="s">
        <v>80</v>
      </c>
    </row>
    <row r="2" spans="1:13" x14ac:dyDescent="0.2">
      <c r="A2" s="4"/>
      <c r="B2" s="3" t="s">
        <v>61</v>
      </c>
      <c r="C2" s="3"/>
      <c r="D2" s="3"/>
      <c r="E2" s="3" t="s">
        <v>3</v>
      </c>
      <c r="F2" s="3"/>
      <c r="G2" s="3"/>
    </row>
    <row r="3" spans="1:13" x14ac:dyDescent="0.2">
      <c r="A3" s="2" t="s">
        <v>60</v>
      </c>
      <c r="B3" s="1">
        <v>0</v>
      </c>
      <c r="C3" s="1">
        <v>0</v>
      </c>
      <c r="D3" s="1">
        <v>0</v>
      </c>
      <c r="E3" s="1">
        <v>46.72</v>
      </c>
      <c r="F3" s="1">
        <v>45.04</v>
      </c>
      <c r="G3" s="1">
        <v>37.619999999999997</v>
      </c>
    </row>
    <row r="4" spans="1:13" x14ac:dyDescent="0.2">
      <c r="A4" s="2" t="s">
        <v>59</v>
      </c>
      <c r="B4" s="1">
        <v>0</v>
      </c>
      <c r="C4" s="1">
        <v>0</v>
      </c>
      <c r="D4" s="1">
        <v>0</v>
      </c>
      <c r="E4" s="1">
        <v>4.38</v>
      </c>
      <c r="F4" s="1">
        <v>4.3099999999999996</v>
      </c>
      <c r="G4" s="1">
        <v>2.21</v>
      </c>
    </row>
    <row r="5" spans="1:13" x14ac:dyDescent="0.2">
      <c r="A5" s="2" t="s">
        <v>58</v>
      </c>
      <c r="B5" s="1">
        <v>0</v>
      </c>
      <c r="C5" s="1">
        <v>0</v>
      </c>
      <c r="D5" s="1">
        <v>0</v>
      </c>
      <c r="E5" s="1">
        <v>61.94</v>
      </c>
      <c r="F5" s="1">
        <v>58.59</v>
      </c>
      <c r="G5" s="1">
        <v>61.34</v>
      </c>
    </row>
    <row r="6" spans="1:13" x14ac:dyDescent="0.2">
      <c r="A6" s="2" t="s">
        <v>57</v>
      </c>
      <c r="B6" s="1">
        <v>0</v>
      </c>
      <c r="C6" s="1">
        <v>0</v>
      </c>
      <c r="D6" s="1">
        <v>0</v>
      </c>
      <c r="E6" s="1">
        <v>2.96</v>
      </c>
      <c r="F6" s="1">
        <v>5.37</v>
      </c>
      <c r="G6" s="1">
        <v>2.9</v>
      </c>
    </row>
    <row r="8" spans="1:13" x14ac:dyDescent="0.2">
      <c r="A8" t="s">
        <v>81</v>
      </c>
    </row>
    <row r="9" spans="1:13" x14ac:dyDescent="0.2">
      <c r="A9" s="4"/>
      <c r="B9" s="3" t="s">
        <v>67</v>
      </c>
      <c r="C9" s="3"/>
      <c r="D9" s="3"/>
      <c r="E9" s="3" t="s">
        <v>66</v>
      </c>
      <c r="F9" s="3"/>
      <c r="G9" s="3"/>
    </row>
    <row r="10" spans="1:13" x14ac:dyDescent="0.2">
      <c r="A10" s="2" t="s">
        <v>65</v>
      </c>
      <c r="B10" s="1">
        <v>53.16</v>
      </c>
      <c r="C10" s="1">
        <v>49.04</v>
      </c>
      <c r="D10" s="1">
        <v>48.28</v>
      </c>
      <c r="E10" s="1">
        <v>4.72</v>
      </c>
      <c r="F10" s="1">
        <v>1.94</v>
      </c>
      <c r="G10" s="1">
        <v>0</v>
      </c>
    </row>
    <row r="11" spans="1:13" x14ac:dyDescent="0.2">
      <c r="A11" s="2" t="s">
        <v>64</v>
      </c>
      <c r="B11" s="1">
        <v>68.5</v>
      </c>
      <c r="C11" s="1">
        <v>54.72</v>
      </c>
      <c r="D11" s="1">
        <v>65.739999999999995</v>
      </c>
      <c r="E11" s="1">
        <v>0.88</v>
      </c>
      <c r="F11" s="1">
        <v>0</v>
      </c>
      <c r="G11" s="1">
        <v>0</v>
      </c>
    </row>
    <row r="12" spans="1:13" x14ac:dyDescent="0.2">
      <c r="A12" s="2" t="s">
        <v>63</v>
      </c>
      <c r="B12" s="1">
        <v>5.22</v>
      </c>
      <c r="C12" s="1">
        <v>3.91</v>
      </c>
      <c r="D12" s="1">
        <v>3.68</v>
      </c>
      <c r="E12" s="1">
        <v>0</v>
      </c>
      <c r="F12" s="1">
        <v>0</v>
      </c>
      <c r="G12" s="1">
        <v>0</v>
      </c>
    </row>
    <row r="13" spans="1:13" x14ac:dyDescent="0.2">
      <c r="A13" s="2" t="s">
        <v>62</v>
      </c>
      <c r="B13" s="1">
        <v>43.17</v>
      </c>
      <c r="C13" s="1">
        <v>60.12</v>
      </c>
      <c r="D13" s="1">
        <v>63.36</v>
      </c>
      <c r="E13" s="1">
        <v>0</v>
      </c>
      <c r="F13" s="1">
        <v>0</v>
      </c>
      <c r="G13" s="1">
        <v>0</v>
      </c>
    </row>
    <row r="15" spans="1:13" x14ac:dyDescent="0.2">
      <c r="A15" t="s">
        <v>82</v>
      </c>
    </row>
    <row r="16" spans="1:13" x14ac:dyDescent="0.2">
      <c r="A16" s="4" t="s">
        <v>71</v>
      </c>
      <c r="B16" s="3" t="s">
        <v>60</v>
      </c>
      <c r="C16" s="3"/>
      <c r="D16" s="3"/>
      <c r="E16" s="3" t="s">
        <v>70</v>
      </c>
      <c r="F16" s="3"/>
      <c r="G16" s="3"/>
      <c r="H16" s="3" t="s">
        <v>69</v>
      </c>
      <c r="I16" s="3"/>
      <c r="J16" s="3"/>
      <c r="K16" s="3" t="s">
        <v>68</v>
      </c>
      <c r="L16" s="3"/>
      <c r="M16" s="3"/>
    </row>
    <row r="17" spans="1:13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</v>
      </c>
      <c r="B18" s="1">
        <v>57.94</v>
      </c>
      <c r="C18" s="1">
        <v>64.489999999999995</v>
      </c>
      <c r="D18" s="1">
        <v>61.97</v>
      </c>
      <c r="E18" s="1">
        <v>93.16</v>
      </c>
      <c r="F18" s="1">
        <v>84.55</v>
      </c>
      <c r="G18" s="1">
        <v>83.25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2</v>
      </c>
      <c r="B19" s="1">
        <v>94.07</v>
      </c>
      <c r="C19" s="1">
        <v>93.28</v>
      </c>
      <c r="D19" s="1">
        <v>94.64</v>
      </c>
      <c r="E19" s="1">
        <v>97.89</v>
      </c>
      <c r="F19" s="1">
        <v>97.2</v>
      </c>
      <c r="G19" s="1">
        <v>95.12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4</v>
      </c>
      <c r="B20" s="1">
        <v>98.25</v>
      </c>
      <c r="C20" s="1">
        <v>100</v>
      </c>
      <c r="D20" s="1">
        <v>98.47</v>
      </c>
      <c r="E20" s="1">
        <v>98.2</v>
      </c>
      <c r="F20" s="1">
        <v>96.15</v>
      </c>
      <c r="G20" s="1">
        <v>99.59</v>
      </c>
      <c r="H20" s="1">
        <v>1.83</v>
      </c>
      <c r="I20" s="1">
        <v>0.65</v>
      </c>
      <c r="J20" s="1">
        <v>1.07</v>
      </c>
      <c r="K20" s="1">
        <v>0.56000000000000005</v>
      </c>
      <c r="L20" s="1">
        <v>1.54</v>
      </c>
      <c r="M20" s="1">
        <v>0.92</v>
      </c>
    </row>
    <row r="21" spans="1:13" x14ac:dyDescent="0.2">
      <c r="A21" s="1">
        <v>8</v>
      </c>
      <c r="B21" s="1"/>
      <c r="C21" s="1"/>
      <c r="D21" s="1"/>
      <c r="E21" s="1"/>
      <c r="F21" s="1"/>
      <c r="G21" s="1"/>
      <c r="H21" s="1">
        <v>10.53</v>
      </c>
      <c r="I21" s="1">
        <v>7.69</v>
      </c>
      <c r="J21" s="1">
        <v>14.29</v>
      </c>
      <c r="K21" s="1">
        <v>8.5500000000000007</v>
      </c>
      <c r="L21" s="1">
        <v>5.93</v>
      </c>
      <c r="M21" s="1">
        <v>5.88</v>
      </c>
    </row>
  </sheetData>
  <mergeCells count="8">
    <mergeCell ref="H16:J16"/>
    <mergeCell ref="K16:M16"/>
    <mergeCell ref="B2:D2"/>
    <mergeCell ref="E2:G2"/>
    <mergeCell ref="B9:D9"/>
    <mergeCell ref="E9:G9"/>
    <mergeCell ref="B16:D16"/>
    <mergeCell ref="E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3D,E and G</vt:lpstr>
      <vt:lpstr>3-S1B to D</vt:lpstr>
      <vt:lpstr>3-S2B</vt:lpstr>
      <vt:lpstr>3-S3C,D,H and I</vt:lpstr>
      <vt:lpstr>3-S4F</vt:lpstr>
      <vt:lpstr>3-S4H</vt:lpstr>
      <vt:lpstr>3-S5C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2018-04-02T13:59:41Z</dcterms:created>
  <dcterms:modified xsi:type="dcterms:W3CDTF">2018-04-02T14:05:10Z</dcterms:modified>
</cp:coreProperties>
</file>