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ume/Dropbox (URMC)/eLife Submission/eLife Submission/Resubmission/"/>
    </mc:Choice>
  </mc:AlternateContent>
  <xr:revisionPtr revIDLastSave="0" documentId="13_ncr:1_{07A0757F-9E57-8347-9753-F3278480CF82}" xr6:coauthVersionLast="40" xr6:coauthVersionMax="40" xr10:uidLastSave="{00000000-0000-0000-0000-000000000000}"/>
  <bookViews>
    <workbookView xWindow="780" yWindow="960" windowWidth="27640" windowHeight="16540" xr2:uid="{4DF4BFD8-1B87-F144-8CA6-9F9DFF0F259C}"/>
  </bookViews>
  <sheets>
    <sheet name="Supp. Table 1" sheetId="1" r:id="rId1"/>
  </sheets>
  <definedNames>
    <definedName name="_xlnm.Print_Area" localSheetId="0">'Supp. Table 1'!$A$1:$S$21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C12" i="1"/>
  <c r="B12" i="1"/>
  <c r="F11" i="1"/>
  <c r="E11" i="1"/>
  <c r="C11" i="1"/>
  <c r="B11" i="1"/>
  <c r="F9" i="1"/>
  <c r="E9" i="1"/>
  <c r="C9" i="1"/>
  <c r="B9" i="1"/>
  <c r="F8" i="1"/>
  <c r="E8" i="1"/>
  <c r="C8" i="1"/>
  <c r="B8" i="1"/>
  <c r="F7" i="1"/>
  <c r="E7" i="1"/>
  <c r="C7" i="1"/>
  <c r="B7" i="1"/>
  <c r="F6" i="1"/>
  <c r="E6" i="1"/>
  <c r="C6" i="1"/>
  <c r="B6" i="1"/>
  <c r="F5" i="1"/>
  <c r="E5" i="1"/>
  <c r="C5" i="1"/>
  <c r="B5" i="1"/>
  <c r="F4" i="1"/>
  <c r="E4" i="1"/>
  <c r="C4" i="1"/>
  <c r="B4" i="1"/>
  <c r="F3" i="1"/>
  <c r="E3" i="1"/>
  <c r="C3" i="1"/>
  <c r="B3" i="1"/>
</calcChain>
</file>

<file path=xl/sharedStrings.xml><?xml version="1.0" encoding="utf-8"?>
<sst xmlns="http://schemas.openxmlformats.org/spreadsheetml/2006/main" count="130" uniqueCount="63">
  <si>
    <t>Aqp4 KO</t>
  </si>
  <si>
    <t>Wildtype</t>
  </si>
  <si>
    <t>Study</t>
  </si>
  <si>
    <t>Mean</t>
  </si>
  <si>
    <t>SD</t>
  </si>
  <si>
    <t>n</t>
  </si>
  <si>
    <t>Species</t>
  </si>
  <si>
    <t>KO line</t>
  </si>
  <si>
    <t>Age (weeks)</t>
  </si>
  <si>
    <t>Anesthesia type</t>
  </si>
  <si>
    <t>Tracer</t>
  </si>
  <si>
    <t>Tracer Type</t>
  </si>
  <si>
    <t>Tracer size (kDa)</t>
  </si>
  <si>
    <t>Injection Volume (µl)</t>
  </si>
  <si>
    <t>Injection Rate (µl/min)</t>
  </si>
  <si>
    <t>Experiment duration (min)</t>
  </si>
  <si>
    <t>Detection method</t>
  </si>
  <si>
    <t>Iliff et al. 2012 (Fig. 4F)</t>
  </si>
  <si>
    <t>4–5</t>
  </si>
  <si>
    <t>mouse</t>
  </si>
  <si>
    <t>UIO</t>
  </si>
  <si>
    <t>8 – 12</t>
  </si>
  <si>
    <t>KX</t>
  </si>
  <si>
    <t>OA-647</t>
  </si>
  <si>
    <t>protein</t>
  </si>
  <si>
    <t>Fluorescence</t>
  </si>
  <si>
    <t>Iliff et al. 2012 (Fig. 6C)</t>
  </si>
  <si>
    <t>4–6</t>
  </si>
  <si>
    <r>
      <t>125</t>
    </r>
    <r>
      <rPr>
        <sz val="10"/>
        <color rgb="FF000000"/>
        <rFont val="Arial"/>
        <family val="2"/>
      </rPr>
      <t>I-</t>
    </r>
    <r>
      <rPr>
        <sz val="10"/>
        <color rgb="FF000000"/>
        <rFont val="Symbol"/>
        <charset val="2"/>
      </rPr>
      <t>b</t>
    </r>
    <r>
      <rPr>
        <sz val="10"/>
        <color rgb="FF000000"/>
        <rFont val="Arial"/>
        <family val="2"/>
      </rPr>
      <t xml:space="preserve">-amyloid </t>
    </r>
    <r>
      <rPr>
        <vertAlign val="subscript"/>
        <sz val="10"/>
        <color rgb="FF000000"/>
        <rFont val="Arial"/>
        <family val="2"/>
      </rPr>
      <t>(1-40)</t>
    </r>
  </si>
  <si>
    <t>peptide</t>
  </si>
  <si>
    <t>Radioactivity</t>
  </si>
  <si>
    <t>Achariyar et al. 2016 (Fig. 6C)</t>
  </si>
  <si>
    <t>6 – 8</t>
  </si>
  <si>
    <t>FITC-apoE3</t>
  </si>
  <si>
    <t>apolipoprotein</t>
  </si>
  <si>
    <t>Achariyar et al. 2016 (Supp. Fig. 7D)</t>
  </si>
  <si>
    <r>
      <t>14</t>
    </r>
    <r>
      <rPr>
        <sz val="10"/>
        <color rgb="FF000000"/>
        <rFont val="Arial"/>
        <family val="2"/>
      </rPr>
      <t>C-Inulin</t>
    </r>
  </si>
  <si>
    <t>inert</t>
  </si>
  <si>
    <t>Smith et al. 2017 (Fig. 5C)</t>
  </si>
  <si>
    <t>UCSF</t>
  </si>
  <si>
    <t>12 – 24</t>
  </si>
  <si>
    <t>Tribromoethanol</t>
  </si>
  <si>
    <t>1.4 – 2</t>
  </si>
  <si>
    <t>Smith et al. 2017 (Fig. 5D)</t>
  </si>
  <si>
    <t>Smith et al. 2017 (Fig.5E)</t>
  </si>
  <si>
    <t>rat</t>
  </si>
  <si>
    <t>N/A</t>
  </si>
  <si>
    <t>Plog et al. 2018 (Fig. 1I)</t>
  </si>
  <si>
    <t>BSA-647</t>
  </si>
  <si>
    <t>NMU (Fig.2C)</t>
  </si>
  <si>
    <t>NMU</t>
  </si>
  <si>
    <t>Chloral hydrate</t>
  </si>
  <si>
    <t>Texas Red-dextran</t>
  </si>
  <si>
    <t>dextran</t>
  </si>
  <si>
    <t>RIKEN (Fig. 3D)</t>
  </si>
  <si>
    <t>RIKEN</t>
  </si>
  <si>
    <t>10 – 12</t>
  </si>
  <si>
    <t>BDA</t>
  </si>
  <si>
    <t>UNC (Fig. 4B)</t>
  </si>
  <si>
    <t>15 – 18</t>
  </si>
  <si>
    <t>URMC (Fig. 5E)</t>
  </si>
  <si>
    <t>8 – 10</t>
  </si>
  <si>
    <t>URMC (Fig. 5G)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</si>
</sst>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Symbol"/>
      <charset val="2"/>
    </font>
    <font>
      <vertAlign val="subscript"/>
      <sz val="10"/>
      <color rgb="FF000000"/>
      <name val="Arial"/>
      <family val="2"/>
    </font>
    <font>
      <sz val="10"/>
      <name val="Arial"/>
      <family val="2"/>
    </font>
    <font>
      <sz val="1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theme="3"/>
      </left>
      <right style="thin">
        <color indexed="64"/>
      </right>
      <top style="thin">
        <color theme="3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3"/>
      </right>
      <top style="thin">
        <color indexed="64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indexed="64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theme="3"/>
      </right>
      <top style="thin">
        <color theme="3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5" fillId="0" borderId="8" xfId="0" applyFont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11" xfId="0" applyFont="1" applyBorder="1" applyAlignment="1">
      <alignment wrapText="1"/>
    </xf>
    <xf numFmtId="2" fontId="1" fillId="2" borderId="12" xfId="0" applyNumberFormat="1" applyFont="1" applyFill="1" applyBorder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1" fontId="1" fillId="2" borderId="14" xfId="0" applyNumberFormat="1" applyFont="1" applyFill="1" applyBorder="1" applyAlignment="1">
      <alignment horizontal="center" wrapText="1"/>
    </xf>
    <xf numFmtId="2" fontId="1" fillId="0" borderId="13" xfId="0" applyNumberFormat="1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2" fontId="10" fillId="2" borderId="12" xfId="0" applyNumberFormat="1" applyFont="1" applyFill="1" applyBorder="1" applyAlignment="1">
      <alignment horizontal="center" wrapText="1"/>
    </xf>
    <xf numFmtId="2" fontId="10" fillId="2" borderId="13" xfId="0" applyNumberFormat="1" applyFont="1" applyFill="1" applyBorder="1" applyAlignment="1">
      <alignment horizontal="center" wrapText="1"/>
    </xf>
    <xf numFmtId="2" fontId="10" fillId="0" borderId="13" xfId="0" applyNumberFormat="1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" fillId="0" borderId="16" xfId="0" applyFont="1" applyBorder="1" applyAlignment="1">
      <alignment wrapText="1"/>
    </xf>
    <xf numFmtId="2" fontId="10" fillId="2" borderId="17" xfId="0" applyNumberFormat="1" applyFont="1" applyFill="1" applyBorder="1" applyAlignment="1">
      <alignment horizontal="center" wrapText="1"/>
    </xf>
    <xf numFmtId="2" fontId="10" fillId="2" borderId="18" xfId="0" applyNumberFormat="1" applyFont="1" applyFill="1" applyBorder="1" applyAlignment="1">
      <alignment horizontal="center" wrapText="1"/>
    </xf>
    <xf numFmtId="1" fontId="1" fillId="2" borderId="19" xfId="0" applyNumberFormat="1" applyFont="1" applyFill="1" applyBorder="1" applyAlignment="1">
      <alignment horizontal="center" wrapText="1"/>
    </xf>
    <xf numFmtId="2" fontId="10" fillId="0" borderId="18" xfId="0" applyNumberFormat="1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1" fillId="0" borderId="0" xfId="0" applyFont="1"/>
    <xf numFmtId="0" fontId="1" fillId="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7DFFE-4CB1-204D-ADB0-9F3729461A81}">
  <sheetPr>
    <pageSetUpPr fitToPage="1"/>
  </sheetPr>
  <dimension ref="A1:S23"/>
  <sheetViews>
    <sheetView showGridLines="0" tabSelected="1" zoomScaleNormal="100" workbookViewId="0">
      <selection sqref="A1:R15"/>
    </sheetView>
  </sheetViews>
  <sheetFormatPr baseColWidth="10" defaultRowHeight="13" x14ac:dyDescent="0.15"/>
  <cols>
    <col min="1" max="1" width="13.83203125" style="11" customWidth="1"/>
    <col min="2" max="2" width="7" style="44" customWidth="1"/>
    <col min="3" max="3" width="6.6640625" style="44" customWidth="1"/>
    <col min="4" max="4" width="4.33203125" style="44" customWidth="1"/>
    <col min="5" max="5" width="6.33203125" style="44" customWidth="1"/>
    <col min="6" max="6" width="6.1640625" style="44" customWidth="1"/>
    <col min="7" max="7" width="5.5" style="44" customWidth="1"/>
    <col min="8" max="8" width="8.5" style="44" customWidth="1"/>
    <col min="9" max="9" width="6.5" style="44" customWidth="1"/>
    <col min="10" max="10" width="9.6640625" style="44" customWidth="1"/>
    <col min="11" max="11" width="14.6640625" style="44" customWidth="1"/>
    <col min="12" max="12" width="15" style="44" customWidth="1"/>
    <col min="13" max="13" width="13" style="44" customWidth="1"/>
    <col min="14" max="14" width="8.1640625" style="44" customWidth="1"/>
    <col min="15" max="15" width="8.5" style="44" customWidth="1"/>
    <col min="16" max="16" width="9.6640625" style="44" customWidth="1"/>
    <col min="17" max="17" width="11" style="44" customWidth="1"/>
    <col min="18" max="18" width="12.83203125" style="44" customWidth="1"/>
    <col min="19" max="16384" width="10.83203125" style="11"/>
  </cols>
  <sheetData>
    <row r="1" spans="1:19" ht="28" customHeight="1" x14ac:dyDescent="0.2">
      <c r="A1" s="1"/>
      <c r="B1" s="2" t="s">
        <v>0</v>
      </c>
      <c r="C1" s="3"/>
      <c r="D1" s="4"/>
      <c r="E1" s="5" t="s">
        <v>1</v>
      </c>
      <c r="F1" s="6"/>
      <c r="G1" s="7"/>
      <c r="H1" s="8"/>
      <c r="I1" s="9"/>
      <c r="J1" s="9"/>
      <c r="K1" s="9"/>
      <c r="L1" s="9"/>
      <c r="M1" s="9"/>
      <c r="N1" s="9"/>
      <c r="O1" s="9"/>
      <c r="P1" s="9"/>
      <c r="Q1" s="9"/>
      <c r="R1" s="10"/>
    </row>
    <row r="2" spans="1:19" ht="56" customHeight="1" x14ac:dyDescent="0.15">
      <c r="A2" s="12" t="s">
        <v>2</v>
      </c>
      <c r="B2" s="13" t="s">
        <v>3</v>
      </c>
      <c r="C2" s="14" t="s">
        <v>4</v>
      </c>
      <c r="D2" s="15" t="s">
        <v>5</v>
      </c>
      <c r="E2" s="16" t="s">
        <v>3</v>
      </c>
      <c r="F2" s="16" t="s">
        <v>4</v>
      </c>
      <c r="G2" s="17" t="s">
        <v>5</v>
      </c>
      <c r="H2" s="18" t="s">
        <v>6</v>
      </c>
      <c r="I2" s="18" t="s">
        <v>7</v>
      </c>
      <c r="J2" s="18" t="s">
        <v>8</v>
      </c>
      <c r="K2" s="18" t="s">
        <v>9</v>
      </c>
      <c r="L2" s="18" t="s">
        <v>10</v>
      </c>
      <c r="M2" s="18" t="s">
        <v>11</v>
      </c>
      <c r="N2" s="18" t="s">
        <v>12</v>
      </c>
      <c r="O2" s="18" t="s">
        <v>13</v>
      </c>
      <c r="P2" s="18" t="s">
        <v>14</v>
      </c>
      <c r="Q2" s="18" t="s">
        <v>15</v>
      </c>
      <c r="R2" s="19" t="s">
        <v>16</v>
      </c>
      <c r="S2" s="20"/>
    </row>
    <row r="3" spans="1:19" ht="40" customHeight="1" x14ac:dyDescent="0.15">
      <c r="A3" s="21" t="s">
        <v>17</v>
      </c>
      <c r="B3" s="22">
        <f>234/12.7</f>
        <v>18.425196850393704</v>
      </c>
      <c r="C3" s="23">
        <f>(25/12.7)*SQRT(4)</f>
        <v>3.9370078740157481</v>
      </c>
      <c r="D3" s="24" t="s">
        <v>18</v>
      </c>
      <c r="E3" s="25">
        <f>446/12.7</f>
        <v>35.118110236220474</v>
      </c>
      <c r="F3" s="25">
        <f>(37/12.7)*SQRT(4)</f>
        <v>5.8267716535433074</v>
      </c>
      <c r="G3" s="26" t="s">
        <v>18</v>
      </c>
      <c r="H3" s="27" t="s">
        <v>19</v>
      </c>
      <c r="I3" s="27" t="s">
        <v>20</v>
      </c>
      <c r="J3" s="25" t="s">
        <v>21</v>
      </c>
      <c r="K3" s="27" t="s">
        <v>22</v>
      </c>
      <c r="L3" s="27" t="s">
        <v>23</v>
      </c>
      <c r="M3" s="27" t="s">
        <v>24</v>
      </c>
      <c r="N3" s="27">
        <v>45</v>
      </c>
      <c r="O3" s="27">
        <v>10</v>
      </c>
      <c r="P3" s="27">
        <v>2</v>
      </c>
      <c r="Q3" s="27">
        <v>30</v>
      </c>
      <c r="R3" s="26" t="s">
        <v>25</v>
      </c>
    </row>
    <row r="4" spans="1:19" ht="40" customHeight="1" x14ac:dyDescent="0.2">
      <c r="A4" s="21" t="s">
        <v>26</v>
      </c>
      <c r="B4" s="22">
        <f>117/16.96</f>
        <v>6.8985849056603774</v>
      </c>
      <c r="C4" s="23">
        <f>(12/16.96)*SQRT(4)</f>
        <v>1.4150943396226414</v>
      </c>
      <c r="D4" s="24" t="s">
        <v>27</v>
      </c>
      <c r="E4" s="25">
        <f>230/16.96</f>
        <v>13.561320754716981</v>
      </c>
      <c r="F4" s="25">
        <f>(40/16.96)*SQRT(4)</f>
        <v>4.7169811320754711</v>
      </c>
      <c r="G4" s="26" t="s">
        <v>27</v>
      </c>
      <c r="H4" s="27" t="s">
        <v>19</v>
      </c>
      <c r="I4" s="27" t="s">
        <v>20</v>
      </c>
      <c r="J4" s="27" t="s">
        <v>21</v>
      </c>
      <c r="K4" s="27" t="s">
        <v>22</v>
      </c>
      <c r="L4" s="28" t="s">
        <v>28</v>
      </c>
      <c r="M4" s="29" t="s">
        <v>29</v>
      </c>
      <c r="N4" s="27">
        <v>4.5</v>
      </c>
      <c r="O4" s="27">
        <v>10</v>
      </c>
      <c r="P4" s="27">
        <v>2</v>
      </c>
      <c r="Q4" s="27">
        <v>30</v>
      </c>
      <c r="R4" s="26" t="s">
        <v>30</v>
      </c>
    </row>
    <row r="5" spans="1:19" ht="40" customHeight="1" x14ac:dyDescent="0.15">
      <c r="A5" s="21" t="s">
        <v>31</v>
      </c>
      <c r="B5" s="22">
        <f>118/8.725</f>
        <v>13.5243553008596</v>
      </c>
      <c r="C5" s="23">
        <f>(9/8.725)*SQRT(5)</f>
        <v>2.3065457647562302</v>
      </c>
      <c r="D5" s="24">
        <v>5</v>
      </c>
      <c r="E5" s="25">
        <f>230/8.725</f>
        <v>26.361031518624642</v>
      </c>
      <c r="F5" s="25">
        <f>(39/8.725)*SQRT(5)</f>
        <v>9.9950316472769973</v>
      </c>
      <c r="G5" s="26">
        <v>5</v>
      </c>
      <c r="H5" s="27" t="s">
        <v>19</v>
      </c>
      <c r="I5" s="27" t="s">
        <v>20</v>
      </c>
      <c r="J5" s="27" t="s">
        <v>32</v>
      </c>
      <c r="K5" s="27" t="s">
        <v>22</v>
      </c>
      <c r="L5" s="30" t="s">
        <v>33</v>
      </c>
      <c r="M5" s="30" t="s">
        <v>34</v>
      </c>
      <c r="N5" s="27">
        <v>34</v>
      </c>
      <c r="O5" s="27">
        <v>5</v>
      </c>
      <c r="P5" s="27">
        <v>1</v>
      </c>
      <c r="Q5" s="27">
        <v>15</v>
      </c>
      <c r="R5" s="26" t="s">
        <v>25</v>
      </c>
    </row>
    <row r="6" spans="1:19" ht="40" customHeight="1" x14ac:dyDescent="0.15">
      <c r="A6" s="21" t="s">
        <v>35</v>
      </c>
      <c r="B6" s="22">
        <f>103.5/12.55</f>
        <v>8.2470119521912348</v>
      </c>
      <c r="C6" s="23">
        <f>(14/12.55)*SQRT(6)</f>
        <v>2.7324985178457757</v>
      </c>
      <c r="D6" s="24">
        <v>6</v>
      </c>
      <c r="E6" s="25">
        <f>240/12.55</f>
        <v>19.123505976095615</v>
      </c>
      <c r="F6" s="25">
        <f>(13.834/12.55)*SQRT(6)</f>
        <v>2.7000988925627478</v>
      </c>
      <c r="G6" s="26">
        <v>6</v>
      </c>
      <c r="H6" s="27" t="s">
        <v>19</v>
      </c>
      <c r="I6" s="27" t="s">
        <v>20</v>
      </c>
      <c r="J6" s="27" t="s">
        <v>32</v>
      </c>
      <c r="K6" s="27" t="s">
        <v>22</v>
      </c>
      <c r="L6" s="31" t="s">
        <v>36</v>
      </c>
      <c r="M6" s="27" t="s">
        <v>37</v>
      </c>
      <c r="N6" s="27">
        <v>6</v>
      </c>
      <c r="O6" s="27">
        <v>5</v>
      </c>
      <c r="P6" s="27">
        <v>1</v>
      </c>
      <c r="Q6" s="27">
        <v>30</v>
      </c>
      <c r="R6" s="26" t="s">
        <v>30</v>
      </c>
    </row>
    <row r="7" spans="1:19" ht="40" customHeight="1" x14ac:dyDescent="0.15">
      <c r="A7" s="21" t="s">
        <v>38</v>
      </c>
      <c r="B7" s="22">
        <f>140/2.625</f>
        <v>53.333333333333336</v>
      </c>
      <c r="C7" s="23">
        <f>(9.513/2.625)*SQRT(6)</f>
        <v>8.8769508278462368</v>
      </c>
      <c r="D7" s="24">
        <v>6</v>
      </c>
      <c r="E7" s="25">
        <f>123/2.625</f>
        <v>46.857142857142854</v>
      </c>
      <c r="F7" s="25">
        <f>(12.5/2.625)*SQRT(6)</f>
        <v>11.664236870396085</v>
      </c>
      <c r="G7" s="26">
        <v>6</v>
      </c>
      <c r="H7" s="27" t="s">
        <v>19</v>
      </c>
      <c r="I7" s="27" t="s">
        <v>39</v>
      </c>
      <c r="J7" s="27" t="s">
        <v>40</v>
      </c>
      <c r="K7" s="27" t="s">
        <v>41</v>
      </c>
      <c r="L7" s="27" t="s">
        <v>23</v>
      </c>
      <c r="M7" s="27" t="s">
        <v>24</v>
      </c>
      <c r="N7" s="27">
        <v>45</v>
      </c>
      <c r="O7" s="27">
        <v>10</v>
      </c>
      <c r="P7" s="27" t="s">
        <v>42</v>
      </c>
      <c r="Q7" s="27">
        <v>30</v>
      </c>
      <c r="R7" s="26" t="s">
        <v>25</v>
      </c>
    </row>
    <row r="8" spans="1:19" ht="40" customHeight="1" x14ac:dyDescent="0.15">
      <c r="A8" s="21" t="s">
        <v>43</v>
      </c>
      <c r="B8" s="22">
        <f>216/3.13</f>
        <v>69.009584664536746</v>
      </c>
      <c r="C8" s="23">
        <f>(23.5/3.13)*SQRT(6)</f>
        <v>18.390737685432807</v>
      </c>
      <c r="D8" s="24">
        <v>6</v>
      </c>
      <c r="E8" s="25">
        <f>208/3.13</f>
        <v>66.453674121405754</v>
      </c>
      <c r="F8" s="25">
        <f>(23/3.13)*SQRT(6)</f>
        <v>17.999445394253385</v>
      </c>
      <c r="G8" s="26">
        <v>6</v>
      </c>
      <c r="H8" s="27" t="s">
        <v>19</v>
      </c>
      <c r="I8" s="27" t="s">
        <v>39</v>
      </c>
      <c r="J8" s="27" t="s">
        <v>40</v>
      </c>
      <c r="K8" s="27" t="s">
        <v>41</v>
      </c>
      <c r="L8" s="27" t="s">
        <v>23</v>
      </c>
      <c r="M8" s="27" t="s">
        <v>24</v>
      </c>
      <c r="N8" s="27">
        <v>45</v>
      </c>
      <c r="O8" s="27">
        <v>10</v>
      </c>
      <c r="P8" s="27" t="s">
        <v>42</v>
      </c>
      <c r="Q8" s="27">
        <v>30</v>
      </c>
      <c r="R8" s="26" t="s">
        <v>25</v>
      </c>
    </row>
    <row r="9" spans="1:19" ht="40" customHeight="1" x14ac:dyDescent="0.15">
      <c r="A9" s="21" t="s">
        <v>44</v>
      </c>
      <c r="B9" s="22">
        <f>179/7.8</f>
        <v>22.948717948717949</v>
      </c>
      <c r="C9" s="23">
        <f>(29/7.8)*SQRT(5)</f>
        <v>8.3135860701915263</v>
      </c>
      <c r="D9" s="24">
        <v>5</v>
      </c>
      <c r="E9" s="25">
        <f>175/7.8</f>
        <v>22.435897435897438</v>
      </c>
      <c r="F9" s="25">
        <f>(18/7.8)*SQRT(6)</f>
        <v>5.6526686371919492</v>
      </c>
      <c r="G9" s="26">
        <v>6</v>
      </c>
      <c r="H9" s="27" t="s">
        <v>45</v>
      </c>
      <c r="I9" s="27" t="s">
        <v>39</v>
      </c>
      <c r="J9" s="27" t="s">
        <v>46</v>
      </c>
      <c r="K9" s="27" t="s">
        <v>41</v>
      </c>
      <c r="L9" s="27" t="s">
        <v>23</v>
      </c>
      <c r="M9" s="27" t="s">
        <v>24</v>
      </c>
      <c r="N9" s="27">
        <v>45</v>
      </c>
      <c r="O9" s="27">
        <v>30</v>
      </c>
      <c r="P9" s="27" t="s">
        <v>42</v>
      </c>
      <c r="Q9" s="27">
        <v>30</v>
      </c>
      <c r="R9" s="26" t="s">
        <v>25</v>
      </c>
    </row>
    <row r="10" spans="1:19" ht="40" customHeight="1" x14ac:dyDescent="0.15">
      <c r="A10" s="21" t="s">
        <v>47</v>
      </c>
      <c r="B10" s="22">
        <v>3</v>
      </c>
      <c r="C10" s="23">
        <v>0.84</v>
      </c>
      <c r="D10" s="24">
        <v>3</v>
      </c>
      <c r="E10" s="25">
        <v>11.34</v>
      </c>
      <c r="F10" s="25">
        <v>3.49</v>
      </c>
      <c r="G10" s="26">
        <v>8</v>
      </c>
      <c r="H10" s="27" t="s">
        <v>19</v>
      </c>
      <c r="I10" s="27" t="s">
        <v>20</v>
      </c>
      <c r="J10" s="27" t="s">
        <v>21</v>
      </c>
      <c r="K10" s="27" t="s">
        <v>22</v>
      </c>
      <c r="L10" s="27" t="s">
        <v>48</v>
      </c>
      <c r="M10" s="27" t="s">
        <v>24</v>
      </c>
      <c r="N10" s="27">
        <v>66</v>
      </c>
      <c r="O10" s="27">
        <v>10</v>
      </c>
      <c r="P10" s="27">
        <v>2</v>
      </c>
      <c r="Q10" s="27">
        <v>30</v>
      </c>
      <c r="R10" s="26" t="s">
        <v>25</v>
      </c>
    </row>
    <row r="11" spans="1:19" ht="40" customHeight="1" x14ac:dyDescent="0.15">
      <c r="A11" s="21" t="s">
        <v>49</v>
      </c>
      <c r="B11" s="22">
        <f>184/39.9</f>
        <v>4.6115288220551376</v>
      </c>
      <c r="C11" s="23">
        <f>(75/39.9)</f>
        <v>1.8796992481203008</v>
      </c>
      <c r="D11" s="24">
        <v>5</v>
      </c>
      <c r="E11" s="25">
        <f>534/39.9</f>
        <v>13.383458646616543</v>
      </c>
      <c r="F11" s="25">
        <f>(162/39.9)</f>
        <v>4.0601503759398501</v>
      </c>
      <c r="G11" s="26">
        <v>5</v>
      </c>
      <c r="H11" s="27" t="s">
        <v>19</v>
      </c>
      <c r="I11" s="27" t="s">
        <v>50</v>
      </c>
      <c r="J11" s="27">
        <v>20</v>
      </c>
      <c r="K11" s="27" t="s">
        <v>51</v>
      </c>
      <c r="L11" s="27" t="s">
        <v>52</v>
      </c>
      <c r="M11" s="27" t="s">
        <v>53</v>
      </c>
      <c r="N11" s="27">
        <v>3</v>
      </c>
      <c r="O11" s="27">
        <v>10</v>
      </c>
      <c r="P11" s="27">
        <v>2</v>
      </c>
      <c r="Q11" s="27">
        <v>30</v>
      </c>
      <c r="R11" s="26" t="s">
        <v>25</v>
      </c>
    </row>
    <row r="12" spans="1:19" ht="40" customHeight="1" x14ac:dyDescent="0.15">
      <c r="A12" s="21" t="s">
        <v>54</v>
      </c>
      <c r="B12" s="22">
        <f>56/0.72+50</f>
        <v>127.77777777777779</v>
      </c>
      <c r="C12" s="23">
        <f>(10/0.72)*SQRT(9)</f>
        <v>41.666666666666671</v>
      </c>
      <c r="D12" s="24">
        <v>9</v>
      </c>
      <c r="E12" s="25">
        <f>135/0.72+50</f>
        <v>237.5</v>
      </c>
      <c r="F12" s="25">
        <f>(25/0.72)*SQRT(4)</f>
        <v>69.444444444444443</v>
      </c>
      <c r="G12" s="26">
        <v>4</v>
      </c>
      <c r="H12" s="27" t="s">
        <v>19</v>
      </c>
      <c r="I12" s="27" t="s">
        <v>55</v>
      </c>
      <c r="J12" s="27" t="s">
        <v>56</v>
      </c>
      <c r="K12" s="27" t="s">
        <v>22</v>
      </c>
      <c r="L12" s="27" t="s">
        <v>57</v>
      </c>
      <c r="M12" s="27" t="s">
        <v>53</v>
      </c>
      <c r="N12" s="27">
        <v>70</v>
      </c>
      <c r="O12" s="27">
        <v>10</v>
      </c>
      <c r="P12" s="27">
        <v>1</v>
      </c>
      <c r="Q12" s="27">
        <v>30</v>
      </c>
      <c r="R12" s="26" t="s">
        <v>25</v>
      </c>
    </row>
    <row r="13" spans="1:19" ht="40" customHeight="1" x14ac:dyDescent="0.15">
      <c r="A13" s="21" t="s">
        <v>58</v>
      </c>
      <c r="B13" s="32">
        <v>4.0529999999999999</v>
      </c>
      <c r="C13" s="33">
        <v>0.9677</v>
      </c>
      <c r="D13" s="24">
        <v>6</v>
      </c>
      <c r="E13" s="34">
        <v>5.5039999999999996</v>
      </c>
      <c r="F13" s="34">
        <v>0.95220000000000005</v>
      </c>
      <c r="G13" s="35">
        <v>7</v>
      </c>
      <c r="H13" s="27" t="s">
        <v>19</v>
      </c>
      <c r="I13" s="27" t="s">
        <v>39</v>
      </c>
      <c r="J13" s="27" t="s">
        <v>59</v>
      </c>
      <c r="K13" s="27" t="s">
        <v>22</v>
      </c>
      <c r="L13" s="27" t="s">
        <v>48</v>
      </c>
      <c r="M13" s="27" t="s">
        <v>24</v>
      </c>
      <c r="N13" s="27">
        <v>66</v>
      </c>
      <c r="O13" s="27">
        <v>10</v>
      </c>
      <c r="P13" s="27">
        <v>1</v>
      </c>
      <c r="Q13" s="27">
        <v>30</v>
      </c>
      <c r="R13" s="26" t="s">
        <v>25</v>
      </c>
    </row>
    <row r="14" spans="1:19" ht="40" customHeight="1" x14ac:dyDescent="0.15">
      <c r="A14" s="36" t="s">
        <v>60</v>
      </c>
      <c r="B14" s="37">
        <v>4.8099999999999996</v>
      </c>
      <c r="C14" s="38">
        <v>1</v>
      </c>
      <c r="D14" s="39">
        <v>8</v>
      </c>
      <c r="E14" s="40">
        <v>9.1</v>
      </c>
      <c r="F14" s="40">
        <v>1.54</v>
      </c>
      <c r="G14" s="41">
        <v>6</v>
      </c>
      <c r="H14" s="42" t="s">
        <v>19</v>
      </c>
      <c r="I14" s="42" t="s">
        <v>20</v>
      </c>
      <c r="J14" s="42" t="s">
        <v>61</v>
      </c>
      <c r="K14" s="42" t="s">
        <v>22</v>
      </c>
      <c r="L14" s="42" t="s">
        <v>48</v>
      </c>
      <c r="M14" s="42" t="s">
        <v>24</v>
      </c>
      <c r="N14" s="42">
        <v>66</v>
      </c>
      <c r="O14" s="42">
        <v>10</v>
      </c>
      <c r="P14" s="42">
        <v>2</v>
      </c>
      <c r="Q14" s="42">
        <v>30</v>
      </c>
      <c r="R14" s="41" t="s">
        <v>25</v>
      </c>
    </row>
    <row r="15" spans="1:19" ht="40" customHeight="1" x14ac:dyDescent="0.15">
      <c r="A15" s="36" t="s">
        <v>62</v>
      </c>
      <c r="B15" s="37">
        <v>2.1819999999999999</v>
      </c>
      <c r="C15" s="38">
        <v>0.1517</v>
      </c>
      <c r="D15" s="39">
        <v>4</v>
      </c>
      <c r="E15" s="40">
        <v>3.79</v>
      </c>
      <c r="F15" s="40">
        <v>1.224</v>
      </c>
      <c r="G15" s="41">
        <v>6</v>
      </c>
      <c r="H15" s="42" t="s">
        <v>19</v>
      </c>
      <c r="I15" s="42" t="s">
        <v>20</v>
      </c>
      <c r="J15" s="42" t="s">
        <v>61</v>
      </c>
      <c r="K15" s="42" t="s">
        <v>22</v>
      </c>
      <c r="L15" s="42" t="s">
        <v>48</v>
      </c>
      <c r="M15" s="42" t="s">
        <v>24</v>
      </c>
      <c r="N15" s="42">
        <v>66</v>
      </c>
      <c r="O15" s="42">
        <v>5</v>
      </c>
      <c r="P15" s="42">
        <v>1</v>
      </c>
      <c r="Q15" s="42">
        <v>30</v>
      </c>
      <c r="R15" s="41" t="s">
        <v>25</v>
      </c>
    </row>
    <row r="16" spans="1:19" x14ac:dyDescent="0.15">
      <c r="B16" s="43"/>
      <c r="C16" s="43"/>
      <c r="D16" s="43"/>
    </row>
    <row r="19" spans="1:11" ht="17" x14ac:dyDescent="0.2">
      <c r="A19" s="45"/>
      <c r="B19" s="45"/>
      <c r="C19"/>
      <c r="D19" s="45"/>
      <c r="E19" s="45"/>
      <c r="F19"/>
    </row>
    <row r="21" spans="1:11" x14ac:dyDescent="0.15">
      <c r="K21" s="46"/>
    </row>
    <row r="23" spans="1:11" ht="17" x14ac:dyDescent="0.2">
      <c r="A23" s="45"/>
      <c r="B23" s="45"/>
      <c r="C23"/>
      <c r="D23" s="45"/>
      <c r="E23" s="45"/>
      <c r="F23" s="45"/>
    </row>
  </sheetData>
  <mergeCells count="2">
    <mergeCell ref="B1:D1"/>
    <mergeCell ref="E1:G1"/>
  </mergeCells>
  <pageMargins left="0.7" right="0.7" top="0.75" bottom="0.75" header="0.3" footer="0.3"/>
  <pageSetup scale="57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Supp. Table 1</vt:lpstr>
      <vt:lpstr>'Supp. Table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Mestre</dc:creator>
  <cp:lastModifiedBy>Humberto Mestre</cp:lastModifiedBy>
  <dcterms:created xsi:type="dcterms:W3CDTF">2018-11-24T16:00:06Z</dcterms:created>
  <dcterms:modified xsi:type="dcterms:W3CDTF">2018-11-24T16:00:31Z</dcterms:modified>
</cp:coreProperties>
</file>