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ume/Dropbox (URMC)/eLife Submission/eLife Submission/Resubmission/"/>
    </mc:Choice>
  </mc:AlternateContent>
  <xr:revisionPtr revIDLastSave="0" documentId="8_{68CA632F-2DD5-D14A-B62E-72DD81576DEB}" xr6:coauthVersionLast="40" xr6:coauthVersionMax="40" xr10:uidLastSave="{00000000-0000-0000-0000-000000000000}"/>
  <bookViews>
    <workbookView xWindow="780" yWindow="960" windowWidth="27640" windowHeight="16540" xr2:uid="{CDAC9DF7-8838-5C42-A345-D32AF4380BA7}"/>
  </bookViews>
  <sheets>
    <sheet name="ISF Flow_Summary" sheetId="1" r:id="rId1"/>
  </sheets>
  <definedNames>
    <definedName name="_xlnm.Print_Area" localSheetId="0">'ISF Flow_Summary'!$A$1:$T$17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E11" i="1"/>
  <c r="C11" i="1"/>
  <c r="B11" i="1"/>
  <c r="F10" i="1"/>
  <c r="E10" i="1"/>
  <c r="C10" i="1"/>
  <c r="B10" i="1"/>
  <c r="F9" i="1"/>
  <c r="E9" i="1"/>
  <c r="C9" i="1"/>
  <c r="B9" i="1"/>
  <c r="F8" i="1"/>
  <c r="E8" i="1"/>
  <c r="C8" i="1"/>
  <c r="B8" i="1"/>
  <c r="F7" i="1"/>
  <c r="E7" i="1"/>
  <c r="C7" i="1"/>
  <c r="B7" i="1"/>
  <c r="F6" i="1"/>
  <c r="E6" i="1"/>
  <c r="C6" i="1"/>
  <c r="B6" i="1"/>
  <c r="F5" i="1"/>
  <c r="E5" i="1"/>
  <c r="C5" i="1"/>
  <c r="B5" i="1"/>
  <c r="F4" i="1"/>
  <c r="E4" i="1"/>
  <c r="C4" i="1"/>
  <c r="B4" i="1"/>
  <c r="F3" i="1"/>
  <c r="E3" i="1"/>
  <c r="C3" i="1"/>
  <c r="B3" i="1"/>
</calcChain>
</file>

<file path=xl/sharedStrings.xml><?xml version="1.0" encoding="utf-8"?>
<sst xmlns="http://schemas.openxmlformats.org/spreadsheetml/2006/main" count="106" uniqueCount="59">
  <si>
    <t>Aqp4 KO</t>
  </si>
  <si>
    <t>Wildtype</t>
  </si>
  <si>
    <t>Study</t>
  </si>
  <si>
    <t>Mean</t>
  </si>
  <si>
    <t>SD</t>
  </si>
  <si>
    <t>n</t>
  </si>
  <si>
    <t>Species</t>
  </si>
  <si>
    <t>KO line</t>
  </si>
  <si>
    <t>Age (weeks)</t>
  </si>
  <si>
    <t>Anesthesia type</t>
  </si>
  <si>
    <t>Tracer</t>
  </si>
  <si>
    <t>Tracer Type</t>
  </si>
  <si>
    <t>Tracer size (kDa)</t>
  </si>
  <si>
    <t>Injection Volume (µl)</t>
  </si>
  <si>
    <t>Injection Rate (µl/min)</t>
  </si>
  <si>
    <t>Injection Site</t>
  </si>
  <si>
    <t>Experiment duration (min)</t>
  </si>
  <si>
    <t>Detection method</t>
  </si>
  <si>
    <t>Iliff et al. 2012 (Fig. 5A)</t>
  </si>
  <si>
    <t>mouse</t>
  </si>
  <si>
    <t>UIO</t>
  </si>
  <si>
    <t>8 – 12</t>
  </si>
  <si>
    <t>KX</t>
  </si>
  <si>
    <r>
      <t>3</t>
    </r>
    <r>
      <rPr>
        <sz val="10"/>
        <color theme="1"/>
        <rFont val="Arial"/>
        <family val="2"/>
      </rPr>
      <t>H-mannitol</t>
    </r>
  </si>
  <si>
    <t>inert</t>
  </si>
  <si>
    <t>striatum</t>
  </si>
  <si>
    <t>Radioactivity</t>
  </si>
  <si>
    <t>Iliff et al. 2012 (Fig. 6A)</t>
  </si>
  <si>
    <t>4 – 6</t>
  </si>
  <si>
    <r>
      <t>125</t>
    </r>
    <r>
      <rPr>
        <sz val="10"/>
        <color rgb="FF000000"/>
        <rFont val="Arial"/>
        <family val="2"/>
      </rPr>
      <t>I-</t>
    </r>
    <r>
      <rPr>
        <sz val="10"/>
        <color rgb="FF000000"/>
        <rFont val="Symbol"/>
        <charset val="2"/>
      </rPr>
      <t>b</t>
    </r>
    <r>
      <rPr>
        <sz val="10"/>
        <color rgb="FF000000"/>
        <rFont val="Arial"/>
        <family val="2"/>
      </rPr>
      <t xml:space="preserve">-amyloid </t>
    </r>
    <r>
      <rPr>
        <vertAlign val="subscript"/>
        <sz val="10"/>
        <color rgb="FF000000"/>
        <rFont val="Arial"/>
        <family val="2"/>
      </rPr>
      <t>(1-40)</t>
    </r>
  </si>
  <si>
    <t>peptide</t>
  </si>
  <si>
    <t>Iliff et al. 2014 (Fig. 4K)</t>
  </si>
  <si>
    <r>
      <t>14</t>
    </r>
    <r>
      <rPr>
        <sz val="10"/>
        <color rgb="FF000000"/>
        <rFont val="Arial"/>
        <family val="2"/>
      </rPr>
      <t>C-Inulin</t>
    </r>
  </si>
  <si>
    <t>cortex</t>
  </si>
  <si>
    <t>Plog et al. 2015 (Fig. 1F)</t>
  </si>
  <si>
    <r>
      <t>3</t>
    </r>
    <r>
      <rPr>
        <sz val="10"/>
        <color theme="1"/>
        <rFont val="Arial"/>
        <family val="2"/>
      </rPr>
      <t>H-dextran</t>
    </r>
  </si>
  <si>
    <t>dextran</t>
  </si>
  <si>
    <t>Murlidharan et al. 2016 (Fig. 5D)</t>
  </si>
  <si>
    <t>UCSF</t>
  </si>
  <si>
    <t>Hypothermia</t>
  </si>
  <si>
    <t>Alexa Fluor 488-dextran</t>
  </si>
  <si>
    <t>3*</t>
  </si>
  <si>
    <t>lateral ventricle</t>
  </si>
  <si>
    <t>Fluorescence</t>
  </si>
  <si>
    <t>Lundgaard et al. 2017 (Fig. 3A)</t>
  </si>
  <si>
    <t>Smith et al. 2017 (Fig.5F)</t>
  </si>
  <si>
    <t>12 – 24</t>
  </si>
  <si>
    <t>Tribromoethanol</t>
  </si>
  <si>
    <r>
      <t xml:space="preserve">HiLyte647-β-amyloid </t>
    </r>
    <r>
      <rPr>
        <vertAlign val="subscript"/>
        <sz val="10"/>
        <color theme="1"/>
        <rFont val="Arial"/>
        <family val="2"/>
      </rPr>
      <t>(1-40)</t>
    </r>
  </si>
  <si>
    <t>5 × 100 ms pulses at 1 Hz and 10 psi.</t>
  </si>
  <si>
    <t>N/A</t>
  </si>
  <si>
    <t>Teng et al. 2018 (Fig. 2C, Th)</t>
  </si>
  <si>
    <t>rat</t>
  </si>
  <si>
    <t>Beijing</t>
  </si>
  <si>
    <t>Pentobarbital</t>
  </si>
  <si>
    <t>Gd-DTPA</t>
  </si>
  <si>
    <t>thalamus</t>
  </si>
  <si>
    <t>MRI</t>
  </si>
  <si>
    <t>Teng et al. 2018 (Fig. 2C, Cn)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</si>
</sst>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Symbol"/>
      <charset val="2"/>
    </font>
    <font>
      <vertAlign val="subscript"/>
      <sz val="10"/>
      <color rgb="FF000000"/>
      <name val="Arial"/>
      <family val="2"/>
    </font>
    <font>
      <vertAlign val="subscript"/>
      <sz val="10"/>
      <color theme="1"/>
      <name val="Arial"/>
      <family val="2"/>
    </font>
    <font>
      <sz val="10"/>
      <color rgb="FF21212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indexed="64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indexed="64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5" fillId="0" borderId="5" xfId="0" applyFont="1" applyBorder="1" applyAlignment="1">
      <alignment wrapText="1"/>
    </xf>
    <xf numFmtId="0" fontId="5" fillId="2" borderId="6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1" fillId="0" borderId="8" xfId="0" applyFont="1" applyBorder="1" applyAlignment="1">
      <alignment wrapText="1"/>
    </xf>
    <xf numFmtId="2" fontId="1" fillId="2" borderId="9" xfId="0" applyNumberFormat="1" applyFont="1" applyFill="1" applyBorder="1" applyAlignment="1">
      <alignment horizontal="center" wrapText="1"/>
    </xf>
    <xf numFmtId="2" fontId="1" fillId="2" borderId="10" xfId="0" applyNumberFormat="1" applyFont="1" applyFill="1" applyBorder="1" applyAlignment="1">
      <alignment horizontal="center" wrapText="1"/>
    </xf>
    <xf numFmtId="1" fontId="1" fillId="2" borderId="11" xfId="0" applyNumberFormat="1" applyFont="1" applyFill="1" applyBorder="1" applyAlignment="1">
      <alignment horizontal="center" wrapText="1"/>
    </xf>
    <xf numFmtId="2" fontId="1" fillId="0" borderId="10" xfId="0" applyNumberFormat="1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6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7" fillId="0" borderId="10" xfId="0" applyFont="1" applyBorder="1" applyAlignment="1">
      <alignment horizontal="center"/>
    </xf>
    <xf numFmtId="0" fontId="1" fillId="0" borderId="0" xfId="0" applyFont="1"/>
    <xf numFmtId="0" fontId="12" fillId="0" borderId="0" xfId="0" applyFont="1" applyAlignment="1">
      <alignment horizontal="center" wrapText="1"/>
    </xf>
    <xf numFmtId="2" fontId="13" fillId="2" borderId="9" xfId="0" applyNumberFormat="1" applyFont="1" applyFill="1" applyBorder="1" applyAlignment="1">
      <alignment horizontal="center" wrapText="1"/>
    </xf>
    <xf numFmtId="2" fontId="13" fillId="2" borderId="10" xfId="0" applyNumberFormat="1" applyFont="1" applyFill="1" applyBorder="1" applyAlignment="1">
      <alignment horizontal="center" wrapText="1"/>
    </xf>
    <xf numFmtId="2" fontId="13" fillId="0" borderId="10" xfId="0" applyNumberFormat="1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4D8C6-E706-7E45-BD9D-EF9825A2CFB3}">
  <sheetPr>
    <pageSetUpPr fitToPage="1"/>
  </sheetPr>
  <dimension ref="A1:T17"/>
  <sheetViews>
    <sheetView showGridLines="0" tabSelected="1" zoomScaleNormal="100" workbookViewId="0">
      <selection sqref="A1:S11"/>
    </sheetView>
  </sheetViews>
  <sheetFormatPr baseColWidth="10" defaultRowHeight="13" x14ac:dyDescent="0.15"/>
  <cols>
    <col min="1" max="1" width="15.5" style="10" customWidth="1"/>
    <col min="2" max="2" width="7.1640625" style="40" customWidth="1"/>
    <col min="3" max="3" width="6.33203125" style="40" customWidth="1"/>
    <col min="4" max="4" width="5.6640625" style="40" customWidth="1"/>
    <col min="5" max="5" width="6.33203125" style="40" customWidth="1"/>
    <col min="6" max="6" width="6.5" style="40" customWidth="1"/>
    <col min="7" max="7" width="6.33203125" style="40" customWidth="1"/>
    <col min="8" max="8" width="8.5" style="40" customWidth="1"/>
    <col min="9" max="9" width="8" style="40" customWidth="1"/>
    <col min="10" max="10" width="8.83203125" style="40" customWidth="1"/>
    <col min="11" max="11" width="14.83203125" style="40" customWidth="1"/>
    <col min="12" max="12" width="19.83203125" style="40" customWidth="1"/>
    <col min="13" max="13" width="11.6640625" style="40" customWidth="1"/>
    <col min="14" max="14" width="8.1640625" style="40" customWidth="1"/>
    <col min="15" max="15" width="8.5" style="40" customWidth="1"/>
    <col min="16" max="16" width="12.33203125" style="40" customWidth="1"/>
    <col min="17" max="17" width="9.5" style="40" customWidth="1"/>
    <col min="18" max="18" width="10.6640625" style="40" customWidth="1"/>
    <col min="19" max="19" width="12" style="40" customWidth="1"/>
    <col min="20" max="16384" width="10.83203125" style="10"/>
  </cols>
  <sheetData>
    <row r="1" spans="1:20" ht="28" customHeight="1" x14ac:dyDescent="0.2">
      <c r="A1" s="1"/>
      <c r="B1" s="2" t="s">
        <v>0</v>
      </c>
      <c r="C1" s="3"/>
      <c r="D1" s="4"/>
      <c r="E1" s="5" t="s">
        <v>1</v>
      </c>
      <c r="F1" s="6"/>
      <c r="G1" s="7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9"/>
    </row>
    <row r="2" spans="1:20" ht="56" customHeight="1" x14ac:dyDescent="0.15">
      <c r="A2" s="11" t="s">
        <v>2</v>
      </c>
      <c r="B2" s="12" t="s">
        <v>3</v>
      </c>
      <c r="C2" s="13" t="s">
        <v>4</v>
      </c>
      <c r="D2" s="14" t="s">
        <v>5</v>
      </c>
      <c r="E2" s="15" t="s">
        <v>3</v>
      </c>
      <c r="F2" s="15" t="s">
        <v>4</v>
      </c>
      <c r="G2" s="16" t="s">
        <v>5</v>
      </c>
      <c r="H2" s="17" t="s">
        <v>6</v>
      </c>
      <c r="I2" s="17" t="s">
        <v>7</v>
      </c>
      <c r="J2" s="17" t="s">
        <v>8</v>
      </c>
      <c r="K2" s="17" t="s">
        <v>9</v>
      </c>
      <c r="L2" s="17" t="s">
        <v>10</v>
      </c>
      <c r="M2" s="17" t="s">
        <v>11</v>
      </c>
      <c r="N2" s="17" t="s">
        <v>12</v>
      </c>
      <c r="O2" s="17" t="s">
        <v>13</v>
      </c>
      <c r="P2" s="17" t="s">
        <v>14</v>
      </c>
      <c r="Q2" s="17" t="s">
        <v>15</v>
      </c>
      <c r="R2" s="17" t="s">
        <v>16</v>
      </c>
      <c r="S2" s="18" t="s">
        <v>17</v>
      </c>
      <c r="T2" s="19"/>
    </row>
    <row r="3" spans="1:20" ht="40" customHeight="1" x14ac:dyDescent="0.15">
      <c r="A3" s="20" t="s">
        <v>18</v>
      </c>
      <c r="B3" s="21">
        <f>(147.333/3.49334)+50</f>
        <v>92.175396611838522</v>
      </c>
      <c r="C3" s="22">
        <f>(7.333/3.49334)*SQRT(4)</f>
        <v>4.1982744307739877</v>
      </c>
      <c r="D3" s="23">
        <v>4</v>
      </c>
      <c r="E3" s="24">
        <f>(83.333/3.49334)+50</f>
        <v>73.854820887746399</v>
      </c>
      <c r="F3" s="24">
        <f>(10/3.49334)*SQRT(4)</f>
        <v>5.7251799137787911</v>
      </c>
      <c r="G3" s="25">
        <v>4</v>
      </c>
      <c r="H3" s="26" t="s">
        <v>19</v>
      </c>
      <c r="I3" s="26" t="s">
        <v>20</v>
      </c>
      <c r="J3" s="24" t="s">
        <v>21</v>
      </c>
      <c r="K3" s="26" t="s">
        <v>22</v>
      </c>
      <c r="L3" s="27" t="s">
        <v>23</v>
      </c>
      <c r="M3" s="26" t="s">
        <v>24</v>
      </c>
      <c r="N3" s="26">
        <v>4.5</v>
      </c>
      <c r="O3" s="26">
        <v>1</v>
      </c>
      <c r="P3" s="26">
        <v>1.7000000000000001E-2</v>
      </c>
      <c r="Q3" s="26" t="s">
        <v>25</v>
      </c>
      <c r="R3" s="26">
        <v>60</v>
      </c>
      <c r="S3" s="25" t="s">
        <v>26</v>
      </c>
    </row>
    <row r="4" spans="1:20" ht="40" customHeight="1" x14ac:dyDescent="0.2">
      <c r="A4" s="20" t="s">
        <v>27</v>
      </c>
      <c r="B4" s="21">
        <f>142/2.4</f>
        <v>59.166666666666671</v>
      </c>
      <c r="C4" s="22">
        <f>(15/2.4)*SQRT(4)</f>
        <v>12.5</v>
      </c>
      <c r="D4" s="23" t="s">
        <v>28</v>
      </c>
      <c r="E4" s="24">
        <f>66/2.4</f>
        <v>27.5</v>
      </c>
      <c r="F4" s="24">
        <f>(11/2.4)*SQRT(4)</f>
        <v>9.1666666666666679</v>
      </c>
      <c r="G4" s="25" t="s">
        <v>28</v>
      </c>
      <c r="H4" s="26" t="s">
        <v>19</v>
      </c>
      <c r="I4" s="26" t="s">
        <v>20</v>
      </c>
      <c r="J4" s="26" t="s">
        <v>21</v>
      </c>
      <c r="K4" s="26" t="s">
        <v>22</v>
      </c>
      <c r="L4" s="28" t="s">
        <v>29</v>
      </c>
      <c r="M4" s="29" t="s">
        <v>30</v>
      </c>
      <c r="N4" s="26">
        <v>0.1822</v>
      </c>
      <c r="O4" s="26">
        <v>1</v>
      </c>
      <c r="P4" s="26">
        <v>1.7000000000000001E-2</v>
      </c>
      <c r="Q4" s="26" t="s">
        <v>25</v>
      </c>
      <c r="R4" s="26">
        <v>60</v>
      </c>
      <c r="S4" s="25" t="s">
        <v>26</v>
      </c>
    </row>
    <row r="5" spans="1:20" ht="40" customHeight="1" x14ac:dyDescent="0.15">
      <c r="A5" s="20" t="s">
        <v>31</v>
      </c>
      <c r="B5" s="21">
        <f>237/6.12</f>
        <v>38.725490196078432</v>
      </c>
      <c r="C5" s="22">
        <f>(19/6.12)*SQRT(6)</f>
        <v>7.6046250184445068</v>
      </c>
      <c r="D5" s="23">
        <v>6</v>
      </c>
      <c r="E5" s="24">
        <f>170/6.12</f>
        <v>27.777777777777779</v>
      </c>
      <c r="F5" s="24">
        <f>(15/6.12)*SQRT(6)</f>
        <v>6.0036513303509267</v>
      </c>
      <c r="G5" s="25">
        <v>6</v>
      </c>
      <c r="H5" s="26" t="s">
        <v>19</v>
      </c>
      <c r="I5" s="26" t="s">
        <v>20</v>
      </c>
      <c r="J5" s="26" t="s">
        <v>21</v>
      </c>
      <c r="K5" s="26" t="s">
        <v>22</v>
      </c>
      <c r="L5" s="30" t="s">
        <v>32</v>
      </c>
      <c r="M5" s="31" t="s">
        <v>24</v>
      </c>
      <c r="N5" s="26">
        <v>6</v>
      </c>
      <c r="O5" s="26">
        <v>0.5</v>
      </c>
      <c r="P5" s="26">
        <v>0.1</v>
      </c>
      <c r="Q5" s="26" t="s">
        <v>33</v>
      </c>
      <c r="R5" s="26">
        <v>60</v>
      </c>
      <c r="S5" s="25" t="s">
        <v>26</v>
      </c>
    </row>
    <row r="6" spans="1:20" ht="40" customHeight="1" x14ac:dyDescent="0.15">
      <c r="A6" s="20" t="s">
        <v>34</v>
      </c>
      <c r="B6" s="21">
        <f>165/6</f>
        <v>27.5</v>
      </c>
      <c r="C6" s="22">
        <f>(10/6)*SQRT(5)</f>
        <v>3.7267799624996498</v>
      </c>
      <c r="D6" s="23">
        <v>5</v>
      </c>
      <c r="E6" s="24">
        <f>232/6</f>
        <v>38.666666666666664</v>
      </c>
      <c r="F6" s="24">
        <f>(6/6)*SQRT(6)</f>
        <v>2.4494897427831779</v>
      </c>
      <c r="G6" s="25">
        <v>6</v>
      </c>
      <c r="H6" s="26" t="s">
        <v>19</v>
      </c>
      <c r="I6" s="26" t="s">
        <v>20</v>
      </c>
      <c r="J6" s="26" t="s">
        <v>21</v>
      </c>
      <c r="K6" s="26" t="s">
        <v>22</v>
      </c>
      <c r="L6" s="27" t="s">
        <v>35</v>
      </c>
      <c r="M6" s="26" t="s">
        <v>36</v>
      </c>
      <c r="N6" s="26">
        <v>40</v>
      </c>
      <c r="O6" s="26">
        <v>0.5</v>
      </c>
      <c r="P6" s="26">
        <v>0.1</v>
      </c>
      <c r="Q6" s="26" t="s">
        <v>33</v>
      </c>
      <c r="R6" s="26">
        <v>60</v>
      </c>
      <c r="S6" s="25" t="s">
        <v>26</v>
      </c>
    </row>
    <row r="7" spans="1:20" ht="40" customHeight="1" x14ac:dyDescent="0.15">
      <c r="A7" s="20" t="s">
        <v>37</v>
      </c>
      <c r="B7" s="21">
        <f>162/2.67555333</f>
        <v>60.548223122130779</v>
      </c>
      <c r="C7" s="22">
        <f>(69.5/2.67555333)*SQRT(3)</f>
        <v>44.991639589571164</v>
      </c>
      <c r="D7" s="23">
        <v>3</v>
      </c>
      <c r="E7" s="24">
        <f>27.5/2.67555333</f>
        <v>10.278247752213558</v>
      </c>
      <c r="F7" s="24">
        <f>(13/2.67555333)*SQRT(3)</f>
        <v>8.415702369272303</v>
      </c>
      <c r="G7" s="25">
        <v>3</v>
      </c>
      <c r="H7" s="26" t="s">
        <v>19</v>
      </c>
      <c r="I7" s="26" t="s">
        <v>38</v>
      </c>
      <c r="J7" s="26">
        <v>0</v>
      </c>
      <c r="K7" s="26" t="s">
        <v>39</v>
      </c>
      <c r="L7" s="26" t="s">
        <v>40</v>
      </c>
      <c r="M7" s="26" t="s">
        <v>36</v>
      </c>
      <c r="N7" s="26">
        <v>10</v>
      </c>
      <c r="O7" s="26">
        <v>3</v>
      </c>
      <c r="P7" s="26" t="s">
        <v>41</v>
      </c>
      <c r="Q7" s="26" t="s">
        <v>42</v>
      </c>
      <c r="R7" s="26">
        <v>45</v>
      </c>
      <c r="S7" s="25" t="s">
        <v>43</v>
      </c>
    </row>
    <row r="8" spans="1:20" ht="40" customHeight="1" x14ac:dyDescent="0.15">
      <c r="A8" s="20" t="s">
        <v>44</v>
      </c>
      <c r="B8" s="21">
        <f>209/7.32</f>
        <v>28.551912568306008</v>
      </c>
      <c r="C8" s="22">
        <f>(21/7.32)*SQRT(5)</f>
        <v>6.4149491157780849</v>
      </c>
      <c r="D8" s="23">
        <v>5</v>
      </c>
      <c r="E8" s="24">
        <f>285/7.32</f>
        <v>38.934426229508198</v>
      </c>
      <c r="F8" s="24">
        <f>(15.75/7.32)*SQRT(6)</f>
        <v>5.2704185039392142</v>
      </c>
      <c r="G8" s="25">
        <v>6</v>
      </c>
      <c r="H8" s="26" t="s">
        <v>19</v>
      </c>
      <c r="I8" s="26" t="s">
        <v>20</v>
      </c>
      <c r="J8" s="26" t="s">
        <v>21</v>
      </c>
      <c r="K8" s="26" t="s">
        <v>22</v>
      </c>
      <c r="L8" s="32" t="s">
        <v>32</v>
      </c>
      <c r="M8" s="26" t="s">
        <v>24</v>
      </c>
      <c r="N8" s="26">
        <v>6</v>
      </c>
      <c r="O8" s="26">
        <v>0.5</v>
      </c>
      <c r="P8" s="26">
        <v>0.1</v>
      </c>
      <c r="Q8" s="26" t="s">
        <v>33</v>
      </c>
      <c r="R8" s="26">
        <v>60</v>
      </c>
      <c r="S8" s="25" t="s">
        <v>26</v>
      </c>
    </row>
    <row r="9" spans="1:20" ht="40" customHeight="1" x14ac:dyDescent="0.2">
      <c r="A9" s="20" t="s">
        <v>45</v>
      </c>
      <c r="B9" s="21">
        <f>204/0.624</f>
        <v>326.92307692307691</v>
      </c>
      <c r="C9" s="22">
        <f>(14/0.624)*SQRT(3)</f>
        <v>38.860114272378652</v>
      </c>
      <c r="D9" s="23">
        <v>3</v>
      </c>
      <c r="E9" s="24">
        <f>219/0.624</f>
        <v>350.96153846153845</v>
      </c>
      <c r="F9" s="24">
        <f>(10/0.624)*SQRT(4)</f>
        <v>32.051282051282051</v>
      </c>
      <c r="G9" s="25">
        <v>4</v>
      </c>
      <c r="H9" s="26" t="s">
        <v>19</v>
      </c>
      <c r="I9" s="26" t="s">
        <v>38</v>
      </c>
      <c r="J9" s="26" t="s">
        <v>46</v>
      </c>
      <c r="K9" s="26" t="s">
        <v>47</v>
      </c>
      <c r="L9" s="33" t="s">
        <v>48</v>
      </c>
      <c r="M9" s="26" t="s">
        <v>30</v>
      </c>
      <c r="N9" s="26">
        <v>5.3</v>
      </c>
      <c r="O9" s="26">
        <v>0.02</v>
      </c>
      <c r="P9" s="34" t="s">
        <v>49</v>
      </c>
      <c r="Q9" s="26" t="s">
        <v>25</v>
      </c>
      <c r="R9" s="26" t="s">
        <v>50</v>
      </c>
      <c r="S9" s="25" t="s">
        <v>43</v>
      </c>
    </row>
    <row r="10" spans="1:20" ht="40" customHeight="1" x14ac:dyDescent="0.15">
      <c r="A10" s="20" t="s">
        <v>51</v>
      </c>
      <c r="B10" s="35">
        <f>106/(269/6)</f>
        <v>2.3643122676579926</v>
      </c>
      <c r="C10" s="36">
        <f>(9.5/(269/6))</f>
        <v>0.21189591078066913</v>
      </c>
      <c r="D10" s="23">
        <v>6</v>
      </c>
      <c r="E10" s="37">
        <f>184/(269/6)</f>
        <v>4.1040892193308549</v>
      </c>
      <c r="F10" s="37">
        <f>(29/(269/6))</f>
        <v>0.64684014869888473</v>
      </c>
      <c r="G10" s="38">
        <v>6</v>
      </c>
      <c r="H10" s="26" t="s">
        <v>52</v>
      </c>
      <c r="I10" s="26" t="s">
        <v>53</v>
      </c>
      <c r="J10" s="26" t="s">
        <v>50</v>
      </c>
      <c r="K10" s="26" t="s">
        <v>54</v>
      </c>
      <c r="L10" s="26" t="s">
        <v>55</v>
      </c>
      <c r="M10" s="26" t="s">
        <v>24</v>
      </c>
      <c r="N10" s="26">
        <v>0.93799999999999994</v>
      </c>
      <c r="O10" s="26">
        <v>2</v>
      </c>
      <c r="P10" s="26">
        <v>0.2</v>
      </c>
      <c r="Q10" s="26" t="s">
        <v>56</v>
      </c>
      <c r="R10" s="26">
        <v>240</v>
      </c>
      <c r="S10" s="25" t="s">
        <v>57</v>
      </c>
    </row>
    <row r="11" spans="1:20" ht="40" customHeight="1" x14ac:dyDescent="0.15">
      <c r="A11" s="20" t="s">
        <v>58</v>
      </c>
      <c r="B11" s="35">
        <f>91/(269/6)</f>
        <v>2.029739776951673</v>
      </c>
      <c r="C11" s="36">
        <f>(10/(269/6))</f>
        <v>0.22304832713754646</v>
      </c>
      <c r="D11" s="23">
        <v>6</v>
      </c>
      <c r="E11" s="37">
        <f>95/(269/6)</f>
        <v>2.1189591078066914</v>
      </c>
      <c r="F11" s="37">
        <f>(21/(269/6))</f>
        <v>0.46840148698884754</v>
      </c>
      <c r="G11" s="38">
        <v>6</v>
      </c>
      <c r="H11" s="26" t="s">
        <v>52</v>
      </c>
      <c r="I11" s="26" t="s">
        <v>53</v>
      </c>
      <c r="J11" s="26" t="s">
        <v>50</v>
      </c>
      <c r="K11" s="26" t="s">
        <v>54</v>
      </c>
      <c r="L11" s="26" t="s">
        <v>55</v>
      </c>
      <c r="M11" s="26" t="s">
        <v>24</v>
      </c>
      <c r="N11" s="26">
        <v>0.93799999999999994</v>
      </c>
      <c r="O11" s="26">
        <v>2</v>
      </c>
      <c r="P11" s="26">
        <v>0.2</v>
      </c>
      <c r="Q11" s="26" t="s">
        <v>25</v>
      </c>
      <c r="R11" s="26">
        <v>240</v>
      </c>
      <c r="S11" s="25" t="s">
        <v>57</v>
      </c>
    </row>
    <row r="12" spans="1:20" x14ac:dyDescent="0.15">
      <c r="B12" s="8"/>
      <c r="C12" s="39"/>
      <c r="D12" s="39"/>
    </row>
    <row r="17" spans="1:20" s="40" customFormat="1" x14ac:dyDescent="0.15">
      <c r="A17" s="10"/>
      <c r="K17" s="41"/>
      <c r="T17" s="10"/>
    </row>
  </sheetData>
  <mergeCells count="2">
    <mergeCell ref="B1:D1"/>
    <mergeCell ref="E1:G1"/>
  </mergeCells>
  <pageMargins left="0.7" right="0.7" top="0.75" bottom="0.75" header="0.3" footer="0.3"/>
  <pageSetup scale="43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ISF Flow_Summary</vt:lpstr>
      <vt:lpstr>'ISF Flow_Summary'!Print_Area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 Mestre</dc:creator>
  <cp:lastModifiedBy>Humberto Mestre</cp:lastModifiedBy>
  <dcterms:created xsi:type="dcterms:W3CDTF">2018-11-24T16:01:01Z</dcterms:created>
  <dcterms:modified xsi:type="dcterms:W3CDTF">2018-11-24T16:01:12Z</dcterms:modified>
</cp:coreProperties>
</file>