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piotrowskilab/MAL Mark Lush/Illustrator files fgf3 paper/Data Files/"/>
    </mc:Choice>
  </mc:AlternateContent>
  <xr:revisionPtr revIDLastSave="0" documentId="13_ncr:1_{E81DAA1C-FD13-2743-A8AE-2F168FAB5BED}" xr6:coauthVersionLast="34" xr6:coauthVersionMax="34" xr10:uidLastSave="{00000000-0000-0000-0000-000000000000}"/>
  <bookViews>
    <workbookView xWindow="20660" yWindow="13080" windowWidth="34540" windowHeight="25900" xr2:uid="{00000000-000D-0000-FFFF-FFFF00000000}"/>
  </bookViews>
  <sheets>
    <sheet name="README" sheetId="2" r:id="rId1"/>
    <sheet name="markerTable" sheetId="1" r:id="rId2"/>
  </sheets>
  <calcPr calcId="179017"/>
</workbook>
</file>

<file path=xl/calcChain.xml><?xml version="1.0" encoding="utf-8"?>
<calcChain xmlns="http://schemas.openxmlformats.org/spreadsheetml/2006/main">
  <c r="I4356" i="1" l="1"/>
  <c r="I4355" i="1"/>
  <c r="I4354" i="1"/>
  <c r="I4353" i="1"/>
  <c r="I4352" i="1"/>
  <c r="I4351" i="1"/>
  <c r="I4350" i="1"/>
  <c r="I4349" i="1"/>
  <c r="I4348" i="1"/>
  <c r="I4347" i="1"/>
  <c r="I4346" i="1"/>
  <c r="I4345" i="1"/>
  <c r="I4344" i="1"/>
  <c r="I4343" i="1"/>
  <c r="I4342" i="1"/>
  <c r="I4341" i="1"/>
  <c r="I4340" i="1"/>
  <c r="I4339" i="1"/>
  <c r="I4338" i="1"/>
  <c r="I4337" i="1"/>
  <c r="I4336" i="1"/>
  <c r="I4335" i="1"/>
  <c r="I4334" i="1"/>
  <c r="I4333" i="1"/>
  <c r="I4332" i="1"/>
  <c r="I4331" i="1"/>
  <c r="I4330" i="1"/>
  <c r="I4329" i="1"/>
  <c r="I4328" i="1"/>
  <c r="I4327" i="1"/>
  <c r="I4326" i="1"/>
  <c r="I4325" i="1"/>
  <c r="I4324" i="1"/>
  <c r="I4323" i="1"/>
  <c r="I4322" i="1"/>
  <c r="I4321" i="1"/>
  <c r="I4320" i="1"/>
  <c r="I4319" i="1"/>
  <c r="I4318" i="1"/>
  <c r="I4317" i="1"/>
  <c r="I4316" i="1"/>
  <c r="I4315" i="1"/>
  <c r="I4314" i="1"/>
  <c r="I4313" i="1"/>
  <c r="I4312" i="1"/>
  <c r="I4311" i="1"/>
  <c r="I4310" i="1"/>
  <c r="I4309" i="1"/>
  <c r="I4308" i="1"/>
  <c r="I4307" i="1"/>
  <c r="I4306" i="1"/>
  <c r="I4305" i="1"/>
  <c r="I4304" i="1"/>
  <c r="I4303" i="1"/>
  <c r="I4302" i="1"/>
  <c r="I4301" i="1"/>
  <c r="I4300" i="1"/>
  <c r="I4299" i="1"/>
  <c r="I4298" i="1"/>
  <c r="I4297" i="1"/>
  <c r="I4296" i="1"/>
  <c r="I4295" i="1"/>
  <c r="I4294" i="1"/>
  <c r="I4293" i="1"/>
  <c r="I4292" i="1"/>
  <c r="I4291" i="1"/>
  <c r="I4290" i="1"/>
  <c r="I4289" i="1"/>
  <c r="I4288" i="1"/>
  <c r="I4287" i="1"/>
  <c r="I4286" i="1"/>
  <c r="I4285" i="1"/>
  <c r="I4284" i="1"/>
  <c r="I4283" i="1"/>
  <c r="I4282" i="1"/>
  <c r="I4281" i="1"/>
  <c r="I4280" i="1"/>
  <c r="I4279" i="1"/>
  <c r="I4278" i="1"/>
  <c r="I4277" i="1"/>
  <c r="I4276" i="1"/>
  <c r="I4275" i="1"/>
  <c r="I4274" i="1"/>
  <c r="I4273" i="1"/>
  <c r="I4272" i="1"/>
  <c r="I4271" i="1"/>
  <c r="I4270" i="1"/>
  <c r="I4269" i="1"/>
  <c r="I4268" i="1"/>
  <c r="I4267" i="1"/>
  <c r="I4266" i="1"/>
  <c r="I4265" i="1"/>
  <c r="I4264" i="1"/>
  <c r="I4263" i="1"/>
  <c r="I4262" i="1"/>
  <c r="I4261" i="1"/>
  <c r="I4260" i="1"/>
  <c r="I4259" i="1"/>
  <c r="I4258" i="1"/>
  <c r="I4257" i="1"/>
  <c r="I4256" i="1"/>
  <c r="I4255" i="1"/>
  <c r="I4254" i="1"/>
  <c r="I4253" i="1"/>
  <c r="I4252" i="1"/>
  <c r="I4251" i="1"/>
  <c r="I4250" i="1"/>
  <c r="I4249" i="1"/>
  <c r="I4248" i="1"/>
  <c r="I4247" i="1"/>
  <c r="I4246" i="1"/>
  <c r="I4245" i="1"/>
  <c r="I4244" i="1"/>
  <c r="I4243" i="1"/>
  <c r="I4242" i="1"/>
  <c r="I4241" i="1"/>
  <c r="I4240" i="1"/>
  <c r="I4239" i="1"/>
  <c r="I4238" i="1"/>
  <c r="I4237" i="1"/>
  <c r="I4236" i="1"/>
  <c r="I4235" i="1"/>
  <c r="I4234" i="1"/>
  <c r="I4233" i="1"/>
  <c r="I4232" i="1"/>
  <c r="I4231" i="1"/>
  <c r="I4230" i="1"/>
  <c r="I4229" i="1"/>
  <c r="I4228" i="1"/>
  <c r="I4227" i="1"/>
  <c r="I4226" i="1"/>
  <c r="I4225" i="1"/>
  <c r="I4224" i="1"/>
  <c r="I4223" i="1"/>
  <c r="I4222" i="1"/>
  <c r="I4221" i="1"/>
  <c r="I4220" i="1"/>
  <c r="I4219" i="1"/>
  <c r="I4218" i="1"/>
  <c r="I4217" i="1"/>
  <c r="I4216" i="1"/>
  <c r="I4215" i="1"/>
  <c r="I4214" i="1"/>
  <c r="I4213" i="1"/>
  <c r="I4212" i="1"/>
  <c r="I4211" i="1"/>
  <c r="I4210" i="1"/>
  <c r="I4209" i="1"/>
  <c r="I4208" i="1"/>
  <c r="I4207" i="1"/>
  <c r="I4206" i="1"/>
  <c r="I4205" i="1"/>
  <c r="I4204" i="1"/>
  <c r="I4203" i="1"/>
  <c r="I4202" i="1"/>
  <c r="I4201" i="1"/>
  <c r="I4200" i="1"/>
  <c r="I4199" i="1"/>
  <c r="I4198" i="1"/>
  <c r="I4197" i="1"/>
  <c r="I4196" i="1"/>
  <c r="I4195" i="1"/>
  <c r="I4194" i="1"/>
  <c r="I4193" i="1"/>
  <c r="I4192" i="1"/>
  <c r="I4191" i="1"/>
  <c r="I4190" i="1"/>
  <c r="I4189" i="1"/>
  <c r="I4188" i="1"/>
  <c r="I4187" i="1"/>
  <c r="I4186" i="1"/>
  <c r="I4185" i="1"/>
  <c r="I4184" i="1"/>
  <c r="I4183" i="1"/>
  <c r="I4182" i="1"/>
  <c r="I4181" i="1"/>
  <c r="I4180" i="1"/>
  <c r="I4179" i="1"/>
  <c r="I4178" i="1"/>
  <c r="I4177" i="1"/>
  <c r="I4176" i="1"/>
  <c r="I4175" i="1"/>
  <c r="I4174" i="1"/>
  <c r="I4173" i="1"/>
  <c r="I4172" i="1"/>
  <c r="I4171" i="1"/>
  <c r="I4170" i="1"/>
  <c r="I4169" i="1"/>
  <c r="I4168" i="1"/>
  <c r="I4167" i="1"/>
  <c r="I4166" i="1"/>
  <c r="I4165" i="1"/>
  <c r="I4164" i="1"/>
  <c r="I4163" i="1"/>
  <c r="I4162" i="1"/>
  <c r="I4161" i="1"/>
  <c r="I4160" i="1"/>
  <c r="I4159" i="1"/>
  <c r="I4158" i="1"/>
  <c r="I4157" i="1"/>
  <c r="I4156" i="1"/>
  <c r="I4155" i="1"/>
  <c r="I4154" i="1"/>
  <c r="I4153" i="1"/>
  <c r="I4152" i="1"/>
  <c r="I4151" i="1"/>
  <c r="I4150" i="1"/>
  <c r="I4149" i="1"/>
  <c r="I4148" i="1"/>
  <c r="I4147" i="1"/>
  <c r="I4146" i="1"/>
  <c r="I4145" i="1"/>
  <c r="I4144" i="1"/>
  <c r="I4143" i="1"/>
  <c r="I4142" i="1"/>
  <c r="I4141" i="1"/>
  <c r="I4140" i="1"/>
  <c r="I4139" i="1"/>
  <c r="I4138" i="1"/>
  <c r="I4137" i="1"/>
  <c r="I4136" i="1"/>
  <c r="I4135" i="1"/>
  <c r="I4134" i="1"/>
  <c r="I4133" i="1"/>
  <c r="I4132" i="1"/>
  <c r="I4131" i="1"/>
  <c r="I4130" i="1"/>
  <c r="I4129" i="1"/>
  <c r="I4128" i="1"/>
  <c r="I4127" i="1"/>
  <c r="I4126" i="1"/>
  <c r="I4125" i="1"/>
  <c r="I4124" i="1"/>
  <c r="I4123" i="1"/>
  <c r="I4122" i="1"/>
  <c r="I4121" i="1"/>
  <c r="I4120" i="1"/>
  <c r="I4119" i="1"/>
  <c r="I4118" i="1"/>
  <c r="I4117" i="1"/>
  <c r="I4116" i="1"/>
  <c r="I4115" i="1"/>
  <c r="I4114" i="1"/>
  <c r="I4113" i="1"/>
  <c r="I4112" i="1"/>
  <c r="I4111" i="1"/>
  <c r="I4110" i="1"/>
  <c r="I4109" i="1"/>
  <c r="I4108" i="1"/>
  <c r="I4107" i="1"/>
  <c r="I4106" i="1"/>
  <c r="I4105" i="1"/>
  <c r="I4104" i="1"/>
  <c r="I4103" i="1"/>
  <c r="I4102" i="1"/>
  <c r="I4101" i="1"/>
  <c r="I4100" i="1"/>
  <c r="I4099" i="1"/>
  <c r="I4098" i="1"/>
  <c r="I4097" i="1"/>
  <c r="I4096" i="1"/>
  <c r="I4095" i="1"/>
  <c r="I4094" i="1"/>
  <c r="I4093" i="1"/>
  <c r="I4092" i="1"/>
  <c r="I4091" i="1"/>
  <c r="I4090" i="1"/>
  <c r="I4089" i="1"/>
  <c r="I4088" i="1"/>
  <c r="I4087" i="1"/>
  <c r="I4086" i="1"/>
  <c r="I4085" i="1"/>
  <c r="I4084" i="1"/>
  <c r="I4083" i="1"/>
  <c r="I4082" i="1"/>
  <c r="I4081" i="1"/>
  <c r="I4080" i="1"/>
  <c r="I4079" i="1"/>
  <c r="I4078" i="1"/>
  <c r="I4077" i="1"/>
  <c r="I4076" i="1"/>
  <c r="I4075" i="1"/>
  <c r="I4074" i="1"/>
  <c r="I4073" i="1"/>
  <c r="I4072" i="1"/>
  <c r="I4071" i="1"/>
  <c r="I4070" i="1"/>
  <c r="I4069" i="1"/>
  <c r="I4068" i="1"/>
  <c r="I4067" i="1"/>
  <c r="I4066" i="1"/>
  <c r="I4065" i="1"/>
  <c r="I4064" i="1"/>
  <c r="I4063" i="1"/>
  <c r="I4062" i="1"/>
  <c r="I4061" i="1"/>
  <c r="I4060" i="1"/>
  <c r="I4059" i="1"/>
  <c r="I4058" i="1"/>
  <c r="I4057" i="1"/>
  <c r="I4056" i="1"/>
  <c r="I4055" i="1"/>
  <c r="I4054" i="1"/>
  <c r="I4053" i="1"/>
  <c r="I4052" i="1"/>
  <c r="I4051" i="1"/>
  <c r="I4050" i="1"/>
  <c r="I4049" i="1"/>
  <c r="I4048" i="1"/>
  <c r="I4047" i="1"/>
  <c r="I4046" i="1"/>
  <c r="I4045" i="1"/>
  <c r="I4044" i="1"/>
  <c r="I4043" i="1"/>
  <c r="I4042" i="1"/>
  <c r="I4041" i="1"/>
  <c r="I4040" i="1"/>
  <c r="I4039" i="1"/>
  <c r="I4038" i="1"/>
  <c r="I4037" i="1"/>
  <c r="I4036" i="1"/>
  <c r="I4035" i="1"/>
  <c r="I4034" i="1"/>
  <c r="I4033" i="1"/>
  <c r="I4032" i="1"/>
  <c r="I4031" i="1"/>
  <c r="I4030" i="1"/>
  <c r="I4029" i="1"/>
  <c r="I4028" i="1"/>
  <c r="I4027" i="1"/>
  <c r="I4026" i="1"/>
  <c r="I4025" i="1"/>
  <c r="I4024" i="1"/>
  <c r="I4023" i="1"/>
  <c r="I4022" i="1"/>
  <c r="I4021" i="1"/>
  <c r="I4020" i="1"/>
  <c r="I4019" i="1"/>
  <c r="I4018" i="1"/>
  <c r="I4017" i="1"/>
  <c r="I4016" i="1"/>
  <c r="I4015" i="1"/>
  <c r="I4014" i="1"/>
  <c r="I4013" i="1"/>
  <c r="I4012" i="1"/>
  <c r="I4011" i="1"/>
  <c r="I4010" i="1"/>
  <c r="I4009" i="1"/>
  <c r="I4008" i="1"/>
  <c r="I4007" i="1"/>
  <c r="I4006" i="1"/>
  <c r="I4005" i="1"/>
  <c r="I4004" i="1"/>
  <c r="I4003" i="1"/>
  <c r="I4002" i="1"/>
  <c r="I4001" i="1"/>
  <c r="I4000" i="1"/>
  <c r="I3999" i="1"/>
  <c r="I3998" i="1"/>
  <c r="I3997" i="1"/>
  <c r="I3996" i="1"/>
  <c r="I3995" i="1"/>
  <c r="I3994" i="1"/>
  <c r="I3993" i="1"/>
  <c r="I3992" i="1"/>
  <c r="I3991" i="1"/>
  <c r="I3990" i="1"/>
  <c r="I3989" i="1"/>
  <c r="I3988" i="1"/>
  <c r="I3987" i="1"/>
  <c r="I3986" i="1"/>
  <c r="I3985" i="1"/>
  <c r="I3984" i="1"/>
  <c r="I3983" i="1"/>
  <c r="I3982" i="1"/>
  <c r="I3981" i="1"/>
  <c r="I3980" i="1"/>
  <c r="I3979" i="1"/>
  <c r="I3978" i="1"/>
  <c r="I3977" i="1"/>
  <c r="I3976" i="1"/>
  <c r="I3975" i="1"/>
  <c r="I3974" i="1"/>
  <c r="I3973" i="1"/>
  <c r="I3972" i="1"/>
  <c r="I3971" i="1"/>
  <c r="I3970" i="1"/>
  <c r="I3969" i="1"/>
  <c r="I3968" i="1"/>
  <c r="I3967" i="1"/>
  <c r="I3966" i="1"/>
  <c r="I3965" i="1"/>
  <c r="I3964" i="1"/>
  <c r="I3963" i="1"/>
  <c r="I3962" i="1"/>
  <c r="I3961" i="1"/>
  <c r="I3960" i="1"/>
  <c r="I3959" i="1"/>
  <c r="I3958" i="1"/>
  <c r="I3957" i="1"/>
  <c r="I3956" i="1"/>
  <c r="I3955" i="1"/>
  <c r="I3954" i="1"/>
  <c r="I3953" i="1"/>
  <c r="I3952" i="1"/>
  <c r="I3951" i="1"/>
  <c r="I3950" i="1"/>
  <c r="I3949" i="1"/>
  <c r="I3948" i="1"/>
  <c r="I3947" i="1"/>
  <c r="I3946" i="1"/>
  <c r="I3945" i="1"/>
  <c r="I3944" i="1"/>
  <c r="I3943" i="1"/>
  <c r="I3942" i="1"/>
  <c r="I3941" i="1"/>
  <c r="I3940" i="1"/>
  <c r="I3939" i="1"/>
  <c r="I3938" i="1"/>
  <c r="I3937" i="1"/>
  <c r="I3936" i="1"/>
  <c r="I3935" i="1"/>
  <c r="I3934" i="1"/>
  <c r="I3933" i="1"/>
  <c r="I3932" i="1"/>
  <c r="I3931" i="1"/>
  <c r="I3930" i="1"/>
  <c r="I3929" i="1"/>
  <c r="I3928" i="1"/>
  <c r="I3927" i="1"/>
  <c r="I3926" i="1"/>
  <c r="I3925" i="1"/>
  <c r="I3924" i="1"/>
  <c r="I3923" i="1"/>
  <c r="I3922" i="1"/>
  <c r="I3921" i="1"/>
  <c r="I3920" i="1"/>
  <c r="I3919" i="1"/>
  <c r="I3918" i="1"/>
  <c r="I3917" i="1"/>
  <c r="I3916" i="1"/>
  <c r="I3915" i="1"/>
  <c r="I3914" i="1"/>
  <c r="I3913" i="1"/>
  <c r="I3912" i="1"/>
  <c r="I3911" i="1"/>
  <c r="I3910" i="1"/>
  <c r="I3909" i="1"/>
  <c r="I3908" i="1"/>
  <c r="I3907" i="1"/>
  <c r="I3906" i="1"/>
  <c r="I3905" i="1"/>
  <c r="I3904" i="1"/>
  <c r="I3903" i="1"/>
  <c r="I3902" i="1"/>
  <c r="I3901" i="1"/>
  <c r="I3900" i="1"/>
  <c r="I3899" i="1"/>
  <c r="I3898" i="1"/>
  <c r="I3897" i="1"/>
  <c r="I3896" i="1"/>
  <c r="I3895" i="1"/>
  <c r="I3894" i="1"/>
  <c r="I3893" i="1"/>
  <c r="I3892" i="1"/>
  <c r="I3891" i="1"/>
  <c r="I3890" i="1"/>
  <c r="I3889" i="1"/>
  <c r="I3888" i="1"/>
  <c r="I3887" i="1"/>
  <c r="I3886" i="1"/>
  <c r="I3885" i="1"/>
  <c r="I3884" i="1"/>
  <c r="I3883" i="1"/>
  <c r="I3882" i="1"/>
  <c r="I3881" i="1"/>
  <c r="I3880" i="1"/>
  <c r="I3879" i="1"/>
  <c r="I3878" i="1"/>
  <c r="I3877" i="1"/>
  <c r="I3876" i="1"/>
  <c r="I3875" i="1"/>
  <c r="I3874" i="1"/>
  <c r="I3873" i="1"/>
  <c r="I3872" i="1"/>
  <c r="I3871" i="1"/>
  <c r="I3870" i="1"/>
  <c r="I3869" i="1"/>
  <c r="I3868" i="1"/>
  <c r="I3867" i="1"/>
  <c r="I3866" i="1"/>
  <c r="I3865" i="1"/>
  <c r="I3864" i="1"/>
  <c r="I3863" i="1"/>
  <c r="I3862" i="1"/>
  <c r="I3861" i="1"/>
  <c r="I3860" i="1"/>
  <c r="I3859" i="1"/>
  <c r="I3858" i="1"/>
  <c r="I3857" i="1"/>
  <c r="I3856" i="1"/>
  <c r="I3855" i="1"/>
  <c r="I3854" i="1"/>
  <c r="I3853" i="1"/>
  <c r="I3852" i="1"/>
  <c r="I3851" i="1"/>
  <c r="I3850" i="1"/>
  <c r="I3849" i="1"/>
  <c r="I3848" i="1"/>
  <c r="I3847" i="1"/>
  <c r="I3846" i="1"/>
  <c r="I3845" i="1"/>
  <c r="I3844" i="1"/>
  <c r="I3843" i="1"/>
  <c r="I3842" i="1"/>
  <c r="I3841" i="1"/>
  <c r="I3840" i="1"/>
  <c r="I3839" i="1"/>
  <c r="I3838" i="1"/>
  <c r="I3837" i="1"/>
  <c r="I3836" i="1"/>
  <c r="I3835" i="1"/>
  <c r="I3834" i="1"/>
  <c r="I3833" i="1"/>
  <c r="I3832" i="1"/>
  <c r="I3831" i="1"/>
  <c r="I3830" i="1"/>
  <c r="I3829" i="1"/>
  <c r="I3828" i="1"/>
  <c r="I3827" i="1"/>
  <c r="I3826" i="1"/>
  <c r="I3825" i="1"/>
  <c r="I3824" i="1"/>
  <c r="I3823" i="1"/>
  <c r="I3822" i="1"/>
  <c r="I3821" i="1"/>
  <c r="I3820" i="1"/>
  <c r="I3819" i="1"/>
  <c r="I3818" i="1"/>
  <c r="I3817" i="1"/>
  <c r="I3816" i="1"/>
  <c r="I3815" i="1"/>
  <c r="I3814" i="1"/>
  <c r="I3813" i="1"/>
  <c r="I3812" i="1"/>
  <c r="I3811" i="1"/>
  <c r="I3810" i="1"/>
  <c r="I3809" i="1"/>
  <c r="I3808" i="1"/>
  <c r="I3807" i="1"/>
  <c r="I3806" i="1"/>
  <c r="I3805" i="1"/>
  <c r="I3804" i="1"/>
  <c r="I3803" i="1"/>
  <c r="I3802" i="1"/>
  <c r="I3801" i="1"/>
  <c r="I3800" i="1"/>
  <c r="I3799" i="1"/>
  <c r="I3798" i="1"/>
  <c r="I3797" i="1"/>
  <c r="I3796" i="1"/>
  <c r="I3795" i="1"/>
  <c r="I3794" i="1"/>
  <c r="I3793" i="1"/>
  <c r="I3792" i="1"/>
  <c r="I3791" i="1"/>
  <c r="I3790" i="1"/>
  <c r="I3789" i="1"/>
  <c r="I3788" i="1"/>
  <c r="I3787" i="1"/>
  <c r="I3786" i="1"/>
  <c r="I3785" i="1"/>
  <c r="I3784" i="1"/>
  <c r="I3783" i="1"/>
  <c r="I3782" i="1"/>
  <c r="I3781" i="1"/>
  <c r="I3780" i="1"/>
  <c r="I3779" i="1"/>
  <c r="I3778" i="1"/>
  <c r="I3777" i="1"/>
  <c r="I3776" i="1"/>
  <c r="I3775" i="1"/>
  <c r="I3774" i="1"/>
  <c r="I3773" i="1"/>
  <c r="I3772" i="1"/>
  <c r="I3771" i="1"/>
  <c r="I3770" i="1"/>
  <c r="I3769" i="1"/>
  <c r="I3768" i="1"/>
  <c r="I3767" i="1"/>
  <c r="I3766" i="1"/>
  <c r="I3765" i="1"/>
  <c r="I3764" i="1"/>
  <c r="I3763" i="1"/>
  <c r="I3762" i="1"/>
  <c r="I3761" i="1"/>
  <c r="I3760" i="1"/>
  <c r="I3759" i="1"/>
  <c r="I3758" i="1"/>
  <c r="I3757" i="1"/>
  <c r="I3756" i="1"/>
  <c r="I3755" i="1"/>
  <c r="I3754" i="1"/>
  <c r="I3753" i="1"/>
  <c r="I3752" i="1"/>
  <c r="I3751" i="1"/>
  <c r="I3750" i="1"/>
  <c r="I3749" i="1"/>
  <c r="I3748" i="1"/>
  <c r="I3747" i="1"/>
  <c r="I3746" i="1"/>
  <c r="I3745" i="1"/>
  <c r="I3744" i="1"/>
  <c r="I3743" i="1"/>
  <c r="I3742" i="1"/>
  <c r="I3741" i="1"/>
  <c r="I3740" i="1"/>
  <c r="I3739" i="1"/>
  <c r="I3738" i="1"/>
  <c r="I3737" i="1"/>
  <c r="I3736" i="1"/>
  <c r="I3735" i="1"/>
  <c r="I3734" i="1"/>
  <c r="I3733" i="1"/>
  <c r="I3732" i="1"/>
  <c r="I3731" i="1"/>
  <c r="I3730" i="1"/>
  <c r="I3729" i="1"/>
  <c r="I3728" i="1"/>
  <c r="I3727" i="1"/>
  <c r="I3726" i="1"/>
  <c r="I3725" i="1"/>
  <c r="I3724" i="1"/>
  <c r="I3723" i="1"/>
  <c r="I3722" i="1"/>
  <c r="I3721" i="1"/>
  <c r="I3720" i="1"/>
  <c r="I3719" i="1"/>
  <c r="I3718" i="1"/>
  <c r="I3717" i="1"/>
  <c r="I3716" i="1"/>
  <c r="I3715" i="1"/>
  <c r="I3714" i="1"/>
  <c r="I3713" i="1"/>
  <c r="I3712" i="1"/>
  <c r="I3711" i="1"/>
  <c r="I3710" i="1"/>
  <c r="I3709" i="1"/>
  <c r="I3708" i="1"/>
  <c r="I3707" i="1"/>
  <c r="I3706" i="1"/>
  <c r="I3705" i="1"/>
  <c r="I3704" i="1"/>
  <c r="I3703" i="1"/>
  <c r="I3702" i="1"/>
  <c r="I3701" i="1"/>
  <c r="I3700" i="1"/>
  <c r="I3699" i="1"/>
  <c r="I3698" i="1"/>
  <c r="I3697" i="1"/>
  <c r="I3696" i="1"/>
  <c r="I3695" i="1"/>
  <c r="I3694" i="1"/>
  <c r="I3693" i="1"/>
  <c r="I3692" i="1"/>
  <c r="I3691" i="1"/>
  <c r="I3690" i="1"/>
  <c r="I3689" i="1"/>
  <c r="I3688" i="1"/>
  <c r="I3687" i="1"/>
  <c r="I3686" i="1"/>
  <c r="I3685" i="1"/>
  <c r="I3684" i="1"/>
  <c r="I3683" i="1"/>
  <c r="I3682" i="1"/>
  <c r="I3681" i="1"/>
  <c r="I3680" i="1"/>
  <c r="I3679" i="1"/>
  <c r="I3678" i="1"/>
  <c r="I3677" i="1"/>
  <c r="I3676" i="1"/>
  <c r="I3675" i="1"/>
  <c r="I3674" i="1"/>
  <c r="I3673" i="1"/>
  <c r="I3672" i="1"/>
  <c r="I3671" i="1"/>
  <c r="I3670" i="1"/>
  <c r="I3669" i="1"/>
  <c r="I3668" i="1"/>
  <c r="I3667" i="1"/>
  <c r="I3666" i="1"/>
  <c r="I3665" i="1"/>
  <c r="I3664" i="1"/>
  <c r="I3663" i="1"/>
  <c r="I3662" i="1"/>
  <c r="I3661" i="1"/>
  <c r="I3660" i="1"/>
  <c r="I3659" i="1"/>
  <c r="I3658" i="1"/>
  <c r="I3657" i="1"/>
  <c r="I3656" i="1"/>
  <c r="I3655" i="1"/>
  <c r="I3654" i="1"/>
  <c r="I3653" i="1"/>
  <c r="I3652" i="1"/>
  <c r="I3651" i="1"/>
  <c r="I3650" i="1"/>
  <c r="I3649" i="1"/>
  <c r="I3648" i="1"/>
  <c r="I3647" i="1"/>
  <c r="I3646" i="1"/>
  <c r="I3645" i="1"/>
  <c r="I3644" i="1"/>
  <c r="I3643" i="1"/>
  <c r="I3642" i="1"/>
  <c r="I3641" i="1"/>
  <c r="I3640" i="1"/>
  <c r="I3639" i="1"/>
  <c r="I3638" i="1"/>
  <c r="I3637" i="1"/>
  <c r="I3636" i="1"/>
  <c r="I3635" i="1"/>
  <c r="I3634" i="1"/>
  <c r="I3633" i="1"/>
  <c r="I3632" i="1"/>
  <c r="I3631" i="1"/>
  <c r="I3630" i="1"/>
  <c r="I3629" i="1"/>
  <c r="I3628" i="1"/>
  <c r="I3627" i="1"/>
  <c r="I3626" i="1"/>
  <c r="I3625" i="1"/>
  <c r="I3624" i="1"/>
  <c r="I3623" i="1"/>
  <c r="I3622" i="1"/>
  <c r="I3621" i="1"/>
  <c r="I3620" i="1"/>
  <c r="I3619" i="1"/>
  <c r="I3618" i="1"/>
  <c r="I3617" i="1"/>
  <c r="I3616" i="1"/>
  <c r="I3615" i="1"/>
  <c r="I3614" i="1"/>
  <c r="I3613" i="1"/>
  <c r="I3612" i="1"/>
  <c r="I3611" i="1"/>
  <c r="I3610" i="1"/>
  <c r="I3609" i="1"/>
  <c r="I3608" i="1"/>
  <c r="I3607" i="1"/>
  <c r="I3606" i="1"/>
  <c r="I3605" i="1"/>
  <c r="I3604" i="1"/>
  <c r="I3603" i="1"/>
  <c r="I3602" i="1"/>
  <c r="I3601" i="1"/>
  <c r="I3600" i="1"/>
  <c r="I3599" i="1"/>
  <c r="I3598" i="1"/>
  <c r="I3597" i="1"/>
  <c r="I3596" i="1"/>
  <c r="I3595" i="1"/>
  <c r="I3594" i="1"/>
  <c r="I3593" i="1"/>
  <c r="I3592" i="1"/>
  <c r="I3591" i="1"/>
  <c r="I3590" i="1"/>
  <c r="I3589" i="1"/>
  <c r="I3588" i="1"/>
  <c r="I3587" i="1"/>
  <c r="I3586" i="1"/>
  <c r="I3585" i="1"/>
  <c r="I3584" i="1"/>
  <c r="I3583" i="1"/>
  <c r="I3582" i="1"/>
  <c r="I3581" i="1"/>
  <c r="I3580" i="1"/>
  <c r="I3579" i="1"/>
  <c r="I3578" i="1"/>
  <c r="I3577" i="1"/>
  <c r="I3576" i="1"/>
  <c r="I3575" i="1"/>
  <c r="I3574" i="1"/>
  <c r="I3573" i="1"/>
  <c r="I3572" i="1"/>
  <c r="I3571" i="1"/>
  <c r="I3570" i="1"/>
  <c r="I3569" i="1"/>
  <c r="I3568" i="1"/>
  <c r="I3567" i="1"/>
  <c r="I3566" i="1"/>
  <c r="I3565" i="1"/>
  <c r="I3564" i="1"/>
  <c r="I3563" i="1"/>
  <c r="I3562" i="1"/>
  <c r="I3561" i="1"/>
  <c r="I3560" i="1"/>
  <c r="I3559" i="1"/>
  <c r="I3558" i="1"/>
  <c r="I3557" i="1"/>
  <c r="I3556" i="1"/>
  <c r="I3555" i="1"/>
  <c r="I3554" i="1"/>
  <c r="I3553" i="1"/>
  <c r="I3552" i="1"/>
  <c r="I3551" i="1"/>
  <c r="I3550" i="1"/>
  <c r="I3549" i="1"/>
  <c r="I3548" i="1"/>
  <c r="I3547" i="1"/>
  <c r="I3546" i="1"/>
  <c r="I3545" i="1"/>
  <c r="I3544" i="1"/>
  <c r="I3543" i="1"/>
  <c r="I3542" i="1"/>
  <c r="I3541" i="1"/>
  <c r="I3540" i="1"/>
  <c r="I3539" i="1"/>
  <c r="I3538" i="1"/>
  <c r="I3537" i="1"/>
  <c r="I3536" i="1"/>
  <c r="I3535" i="1"/>
  <c r="I3534" i="1"/>
  <c r="I3533" i="1"/>
  <c r="I3532" i="1"/>
  <c r="I3531" i="1"/>
  <c r="I3530" i="1"/>
  <c r="I3529" i="1"/>
  <c r="I3528" i="1"/>
  <c r="I3527" i="1"/>
  <c r="I3526" i="1"/>
  <c r="I3525" i="1"/>
  <c r="I3524" i="1"/>
  <c r="I3523" i="1"/>
  <c r="I3522" i="1"/>
  <c r="I3521" i="1"/>
  <c r="I3520" i="1"/>
  <c r="I3519" i="1"/>
  <c r="I3518" i="1"/>
  <c r="I3517" i="1"/>
  <c r="I3516" i="1"/>
  <c r="I3515" i="1"/>
  <c r="I3514" i="1"/>
  <c r="I3513" i="1"/>
  <c r="I3512" i="1"/>
  <c r="I3511" i="1"/>
  <c r="I3510" i="1"/>
  <c r="I3509" i="1"/>
  <c r="I3508" i="1"/>
  <c r="I3507" i="1"/>
  <c r="I3506" i="1"/>
  <c r="I3505" i="1"/>
  <c r="I3504" i="1"/>
  <c r="I3503" i="1"/>
  <c r="I3502" i="1"/>
  <c r="I3501" i="1"/>
  <c r="I3500" i="1"/>
  <c r="I3499" i="1"/>
  <c r="I3498" i="1"/>
  <c r="I3497" i="1"/>
  <c r="I3496" i="1"/>
  <c r="I3495" i="1"/>
  <c r="I3494" i="1"/>
  <c r="I3493" i="1"/>
  <c r="I3492" i="1"/>
  <c r="I3491" i="1"/>
  <c r="I3490" i="1"/>
  <c r="I3489" i="1"/>
  <c r="I3488" i="1"/>
  <c r="I3487" i="1"/>
  <c r="I3486" i="1"/>
  <c r="I3485" i="1"/>
  <c r="I3484" i="1"/>
  <c r="I3483" i="1"/>
  <c r="I3482" i="1"/>
  <c r="I3481" i="1"/>
  <c r="I3480" i="1"/>
  <c r="I3479" i="1"/>
  <c r="I3478" i="1"/>
  <c r="I3477" i="1"/>
  <c r="I3476" i="1"/>
  <c r="I3475" i="1"/>
  <c r="I3474" i="1"/>
  <c r="I3473" i="1"/>
  <c r="I3472" i="1"/>
  <c r="I3471" i="1"/>
  <c r="I3470" i="1"/>
  <c r="I3469" i="1"/>
  <c r="I3468" i="1"/>
  <c r="I3467" i="1"/>
  <c r="I3466" i="1"/>
  <c r="I3465" i="1"/>
  <c r="I3464" i="1"/>
  <c r="I3463" i="1"/>
  <c r="I3462" i="1"/>
  <c r="I3461" i="1"/>
  <c r="I3460" i="1"/>
  <c r="I3459" i="1"/>
  <c r="I3458" i="1"/>
  <c r="I3457" i="1"/>
  <c r="I3456" i="1"/>
  <c r="I3455" i="1"/>
  <c r="I3454" i="1"/>
  <c r="I3453" i="1"/>
  <c r="I3452" i="1"/>
  <c r="I3451" i="1"/>
  <c r="I3450" i="1"/>
  <c r="I3449" i="1"/>
  <c r="I3448" i="1"/>
  <c r="I3447" i="1"/>
  <c r="I3446" i="1"/>
  <c r="I3445" i="1"/>
  <c r="I3444" i="1"/>
  <c r="I3443" i="1"/>
  <c r="I3442" i="1"/>
  <c r="I3441" i="1"/>
  <c r="I3440" i="1"/>
  <c r="I3439" i="1"/>
  <c r="I3438" i="1"/>
  <c r="I3437" i="1"/>
  <c r="I3436" i="1"/>
  <c r="I3435" i="1"/>
  <c r="I3434" i="1"/>
  <c r="I3433" i="1"/>
  <c r="I3432" i="1"/>
  <c r="I3431" i="1"/>
  <c r="I3430" i="1"/>
  <c r="I3429" i="1"/>
  <c r="I3428" i="1"/>
  <c r="I3427" i="1"/>
  <c r="I3426" i="1"/>
  <c r="I3425" i="1"/>
  <c r="I3424" i="1"/>
  <c r="I3423" i="1"/>
  <c r="I3422" i="1"/>
  <c r="I3421" i="1"/>
  <c r="I3420" i="1"/>
  <c r="I3419" i="1"/>
  <c r="I3418" i="1"/>
  <c r="I3417" i="1"/>
  <c r="I3416" i="1"/>
  <c r="I3415" i="1"/>
  <c r="I3414" i="1"/>
  <c r="I3413" i="1"/>
  <c r="I3412" i="1"/>
  <c r="I3411" i="1"/>
  <c r="I3410" i="1"/>
  <c r="I3409" i="1"/>
  <c r="I3408" i="1"/>
  <c r="I3407" i="1"/>
  <c r="I3406" i="1"/>
  <c r="I3405" i="1"/>
  <c r="I3404" i="1"/>
  <c r="I3403" i="1"/>
  <c r="I3402" i="1"/>
  <c r="I3401" i="1"/>
  <c r="I3400" i="1"/>
  <c r="I3399" i="1"/>
  <c r="I3398" i="1"/>
  <c r="I3397" i="1"/>
  <c r="I3396" i="1"/>
  <c r="I3395" i="1"/>
  <c r="I3394" i="1"/>
  <c r="I3393" i="1"/>
  <c r="I3392" i="1"/>
  <c r="I3391" i="1"/>
  <c r="I3390" i="1"/>
  <c r="I3389" i="1"/>
  <c r="I3388" i="1"/>
  <c r="I3387" i="1"/>
  <c r="I3386" i="1"/>
  <c r="I3385" i="1"/>
  <c r="I3384" i="1"/>
  <c r="I3383" i="1"/>
  <c r="I3382" i="1"/>
  <c r="I3381" i="1"/>
  <c r="I3380" i="1"/>
  <c r="I3379" i="1"/>
  <c r="I3378" i="1"/>
  <c r="I3377" i="1"/>
  <c r="I3376" i="1"/>
  <c r="I3375" i="1"/>
  <c r="I3374" i="1"/>
  <c r="I3373" i="1"/>
  <c r="I3372" i="1"/>
  <c r="I3371" i="1"/>
  <c r="I3370" i="1"/>
  <c r="I3369" i="1"/>
  <c r="I3368" i="1"/>
  <c r="I3367" i="1"/>
  <c r="I3366" i="1"/>
  <c r="I3365" i="1"/>
  <c r="I3364" i="1"/>
  <c r="I3363" i="1"/>
  <c r="I3362" i="1"/>
  <c r="I3361" i="1"/>
  <c r="I3360" i="1"/>
  <c r="I3359" i="1"/>
  <c r="I3358" i="1"/>
  <c r="I3357" i="1"/>
  <c r="I3356" i="1"/>
  <c r="I3355" i="1"/>
  <c r="I3354" i="1"/>
  <c r="I3353" i="1"/>
  <c r="I3352" i="1"/>
  <c r="I3351" i="1"/>
  <c r="I3350" i="1"/>
  <c r="I3349" i="1"/>
  <c r="I3348" i="1"/>
  <c r="I3347" i="1"/>
  <c r="I3346" i="1"/>
  <c r="I3345" i="1"/>
  <c r="I3344" i="1"/>
  <c r="I3343" i="1"/>
  <c r="I3342" i="1"/>
  <c r="I3341" i="1"/>
  <c r="I3340" i="1"/>
  <c r="I3339" i="1"/>
  <c r="I3338" i="1"/>
  <c r="I3337" i="1"/>
  <c r="I3336" i="1"/>
  <c r="I3335" i="1"/>
  <c r="I3334" i="1"/>
  <c r="I3333" i="1"/>
  <c r="I3332" i="1"/>
  <c r="I3331" i="1"/>
  <c r="I3330" i="1"/>
  <c r="I3329" i="1"/>
  <c r="I3328" i="1"/>
  <c r="I3327" i="1"/>
  <c r="I3326" i="1"/>
  <c r="I3325" i="1"/>
  <c r="I3324" i="1"/>
  <c r="I3323" i="1"/>
  <c r="I3322" i="1"/>
  <c r="I3321" i="1"/>
  <c r="I3320" i="1"/>
  <c r="I3319" i="1"/>
  <c r="I3318" i="1"/>
  <c r="I3317" i="1"/>
  <c r="I3316" i="1"/>
  <c r="I3315" i="1"/>
  <c r="I3314" i="1"/>
  <c r="I3313" i="1"/>
  <c r="I3312" i="1"/>
  <c r="I3311" i="1"/>
  <c r="I3310" i="1"/>
  <c r="I3309" i="1"/>
  <c r="I3308" i="1"/>
  <c r="I3307" i="1"/>
  <c r="I3306" i="1"/>
  <c r="I3305" i="1"/>
  <c r="I3304" i="1"/>
  <c r="I3303" i="1"/>
  <c r="I3302" i="1"/>
  <c r="I3301" i="1"/>
  <c r="I3300" i="1"/>
  <c r="I3299" i="1"/>
  <c r="I3298" i="1"/>
  <c r="I3297" i="1"/>
  <c r="I3296" i="1"/>
  <c r="I3295" i="1"/>
  <c r="I3294" i="1"/>
  <c r="I3293" i="1"/>
  <c r="I3292" i="1"/>
  <c r="I3291" i="1"/>
  <c r="I3290" i="1"/>
  <c r="I3289" i="1"/>
  <c r="I3288" i="1"/>
  <c r="I3287" i="1"/>
  <c r="I3286" i="1"/>
  <c r="I3285" i="1"/>
  <c r="I3284" i="1"/>
  <c r="I3283" i="1"/>
  <c r="I3282" i="1"/>
  <c r="I3281" i="1"/>
  <c r="I3280" i="1"/>
  <c r="I3279" i="1"/>
  <c r="I3278" i="1"/>
  <c r="I3277" i="1"/>
  <c r="I3276" i="1"/>
  <c r="I3275" i="1"/>
  <c r="I3274" i="1"/>
  <c r="I3273" i="1"/>
  <c r="I3272" i="1"/>
  <c r="I3271" i="1"/>
  <c r="I3270" i="1"/>
  <c r="I3269" i="1"/>
  <c r="I3268" i="1"/>
  <c r="I3267" i="1"/>
  <c r="I3266" i="1"/>
  <c r="I3265" i="1"/>
  <c r="I3264" i="1"/>
  <c r="I3263" i="1"/>
  <c r="I3262" i="1"/>
  <c r="I3261" i="1"/>
  <c r="I3260" i="1"/>
  <c r="I3259" i="1"/>
  <c r="I3258" i="1"/>
  <c r="I3257" i="1"/>
  <c r="I3256" i="1"/>
  <c r="I3255" i="1"/>
  <c r="I3254" i="1"/>
  <c r="I3253" i="1"/>
  <c r="I3252" i="1"/>
  <c r="I3251" i="1"/>
  <c r="I3250" i="1"/>
  <c r="I3249" i="1"/>
  <c r="I3248" i="1"/>
  <c r="I3247" i="1"/>
  <c r="I3246" i="1"/>
  <c r="I3245" i="1"/>
  <c r="I3244" i="1"/>
  <c r="I3243" i="1"/>
  <c r="I3242" i="1"/>
  <c r="I3241" i="1"/>
  <c r="I3240" i="1"/>
  <c r="I3239" i="1"/>
  <c r="I3238" i="1"/>
  <c r="I3237" i="1"/>
  <c r="I3236" i="1"/>
  <c r="I3235" i="1"/>
  <c r="I3234" i="1"/>
  <c r="I3233" i="1"/>
  <c r="I3232" i="1"/>
  <c r="I3231" i="1"/>
  <c r="I3230" i="1"/>
  <c r="I3229" i="1"/>
  <c r="I3228" i="1"/>
  <c r="I3227" i="1"/>
  <c r="I3226" i="1"/>
  <c r="I3225" i="1"/>
  <c r="I3224" i="1"/>
  <c r="I3223" i="1"/>
  <c r="I3222" i="1"/>
  <c r="I3221" i="1"/>
  <c r="I3220" i="1"/>
  <c r="I3219" i="1"/>
  <c r="I3218" i="1"/>
  <c r="I3217" i="1"/>
  <c r="I3216" i="1"/>
  <c r="I3215" i="1"/>
  <c r="I3214" i="1"/>
  <c r="I3213" i="1"/>
  <c r="I3212" i="1"/>
  <c r="I3211" i="1"/>
  <c r="I3210" i="1"/>
  <c r="I3209" i="1"/>
  <c r="I3208" i="1"/>
  <c r="I3207" i="1"/>
  <c r="I3206" i="1"/>
  <c r="I3205" i="1"/>
  <c r="I3204" i="1"/>
  <c r="I3203" i="1"/>
  <c r="I3202" i="1"/>
  <c r="I3201" i="1"/>
  <c r="I3200" i="1"/>
  <c r="I3199" i="1"/>
  <c r="I3198" i="1"/>
  <c r="I3197" i="1"/>
  <c r="I3196" i="1"/>
  <c r="I3195" i="1"/>
  <c r="I3194" i="1"/>
  <c r="I3193" i="1"/>
  <c r="I3192" i="1"/>
  <c r="I3191" i="1"/>
  <c r="I3190" i="1"/>
  <c r="I3189" i="1"/>
  <c r="I3188" i="1"/>
  <c r="I3187" i="1"/>
  <c r="I3186" i="1"/>
  <c r="I3185" i="1"/>
  <c r="I3184" i="1"/>
  <c r="I3183" i="1"/>
  <c r="I3182" i="1"/>
  <c r="I3181" i="1"/>
  <c r="I3180" i="1"/>
  <c r="I3179" i="1"/>
  <c r="I3178" i="1"/>
  <c r="I3177" i="1"/>
  <c r="I3176" i="1"/>
  <c r="I3175" i="1"/>
  <c r="I3174" i="1"/>
  <c r="I3173" i="1"/>
  <c r="I3172" i="1"/>
  <c r="I3171" i="1"/>
  <c r="I3170" i="1"/>
  <c r="I3169" i="1"/>
  <c r="I3168" i="1"/>
  <c r="I3167" i="1"/>
  <c r="I3166" i="1"/>
  <c r="I3165" i="1"/>
  <c r="I3164" i="1"/>
  <c r="I3163" i="1"/>
  <c r="I3162" i="1"/>
  <c r="I3161" i="1"/>
  <c r="I3160" i="1"/>
  <c r="I3159" i="1"/>
  <c r="I3158" i="1"/>
  <c r="I3157" i="1"/>
  <c r="I3156" i="1"/>
  <c r="I3155" i="1"/>
  <c r="I3154" i="1"/>
  <c r="I3153" i="1"/>
  <c r="I3152" i="1"/>
  <c r="I3151" i="1"/>
  <c r="I3150" i="1"/>
  <c r="I3149" i="1"/>
  <c r="I3148" i="1"/>
  <c r="I3147" i="1"/>
  <c r="I3146" i="1"/>
  <c r="I3145" i="1"/>
  <c r="I3144" i="1"/>
  <c r="I3143" i="1"/>
  <c r="I3142" i="1"/>
  <c r="I3141" i="1"/>
  <c r="I3140" i="1"/>
  <c r="I3139" i="1"/>
  <c r="I3138" i="1"/>
  <c r="I3137" i="1"/>
  <c r="I3136" i="1"/>
  <c r="I3135" i="1"/>
  <c r="I3134" i="1"/>
  <c r="I3133" i="1"/>
  <c r="I3132" i="1"/>
  <c r="I3131" i="1"/>
  <c r="I3130" i="1"/>
  <c r="I3129" i="1"/>
  <c r="I3128" i="1"/>
  <c r="I3127" i="1"/>
  <c r="I3126" i="1"/>
  <c r="I3125" i="1"/>
  <c r="I3124" i="1"/>
  <c r="I3123" i="1"/>
  <c r="I3122" i="1"/>
  <c r="I3121" i="1"/>
  <c r="I3120" i="1"/>
  <c r="I3119" i="1"/>
  <c r="I3118" i="1"/>
  <c r="I3117" i="1"/>
  <c r="I3116" i="1"/>
  <c r="I3115" i="1"/>
  <c r="I3114" i="1"/>
  <c r="I3113" i="1"/>
  <c r="I3112" i="1"/>
  <c r="I3111" i="1"/>
  <c r="I3110" i="1"/>
  <c r="I3109" i="1"/>
  <c r="I3108" i="1"/>
  <c r="I3107" i="1"/>
  <c r="I3106" i="1"/>
  <c r="I3105" i="1"/>
  <c r="I3104" i="1"/>
  <c r="I3103" i="1"/>
  <c r="I3102" i="1"/>
  <c r="I3101" i="1"/>
  <c r="I3100" i="1"/>
  <c r="I3099" i="1"/>
  <c r="I3098" i="1"/>
  <c r="I3097" i="1"/>
  <c r="I3096" i="1"/>
  <c r="I3095" i="1"/>
  <c r="I3094" i="1"/>
  <c r="I3093" i="1"/>
  <c r="I3092" i="1"/>
  <c r="I3091" i="1"/>
  <c r="I3090" i="1"/>
  <c r="I3089" i="1"/>
  <c r="I3088" i="1"/>
  <c r="I3087" i="1"/>
  <c r="I3086" i="1"/>
  <c r="I3085" i="1"/>
  <c r="I3084" i="1"/>
  <c r="I3083" i="1"/>
  <c r="I3082" i="1"/>
  <c r="I3081" i="1"/>
  <c r="I3080" i="1"/>
  <c r="I3079" i="1"/>
  <c r="I3078" i="1"/>
  <c r="I3077" i="1"/>
  <c r="I3076" i="1"/>
  <c r="I3075" i="1"/>
  <c r="I3074" i="1"/>
  <c r="I3073" i="1"/>
  <c r="I3072" i="1"/>
  <c r="I3071" i="1"/>
  <c r="I3070" i="1"/>
  <c r="I3069" i="1"/>
  <c r="I3068" i="1"/>
  <c r="I3067" i="1"/>
  <c r="I3066" i="1"/>
  <c r="I3065" i="1"/>
  <c r="I3064" i="1"/>
  <c r="I3063" i="1"/>
  <c r="I3062" i="1"/>
  <c r="I3061" i="1"/>
  <c r="I3060" i="1"/>
  <c r="I3059" i="1"/>
  <c r="I3058" i="1"/>
  <c r="I3057" i="1"/>
  <c r="I3056" i="1"/>
  <c r="I3055" i="1"/>
  <c r="I3054" i="1"/>
  <c r="I3053" i="1"/>
  <c r="I3052" i="1"/>
  <c r="I3051" i="1"/>
  <c r="I3050" i="1"/>
  <c r="I3049" i="1"/>
  <c r="I3048" i="1"/>
  <c r="I3047" i="1"/>
  <c r="I3046" i="1"/>
  <c r="I3045" i="1"/>
  <c r="I3044" i="1"/>
  <c r="I3043" i="1"/>
  <c r="I3042" i="1"/>
  <c r="I3041" i="1"/>
  <c r="I3040" i="1"/>
  <c r="I3039" i="1"/>
  <c r="I3038" i="1"/>
  <c r="I3037" i="1"/>
  <c r="I3036" i="1"/>
  <c r="I3035" i="1"/>
  <c r="I3034" i="1"/>
  <c r="I3033" i="1"/>
  <c r="I3032" i="1"/>
  <c r="I3031" i="1"/>
  <c r="I3030" i="1"/>
  <c r="I3029" i="1"/>
  <c r="I3028" i="1"/>
  <c r="I3027" i="1"/>
  <c r="I3026" i="1"/>
  <c r="I3025" i="1"/>
  <c r="I3024" i="1"/>
  <c r="I3023" i="1"/>
  <c r="I3022" i="1"/>
  <c r="I3021" i="1"/>
  <c r="I3020" i="1"/>
  <c r="I3019" i="1"/>
  <c r="I3018" i="1"/>
  <c r="I3017" i="1"/>
  <c r="I3016" i="1"/>
  <c r="I3015" i="1"/>
  <c r="I3014" i="1"/>
  <c r="I3013" i="1"/>
  <c r="I3012" i="1"/>
  <c r="I3011" i="1"/>
  <c r="I3010" i="1"/>
  <c r="I3009" i="1"/>
  <c r="I3008" i="1"/>
  <c r="I3007" i="1"/>
  <c r="I3006" i="1"/>
  <c r="I3005" i="1"/>
  <c r="I3004" i="1"/>
  <c r="I3003" i="1"/>
  <c r="I3002" i="1"/>
  <c r="I3001" i="1"/>
  <c r="I3000" i="1"/>
  <c r="I2999" i="1"/>
  <c r="I2998" i="1"/>
  <c r="I2997" i="1"/>
  <c r="I2996" i="1"/>
  <c r="I2995" i="1"/>
  <c r="I2994" i="1"/>
  <c r="I2993" i="1"/>
  <c r="I2992" i="1"/>
  <c r="I2991" i="1"/>
  <c r="I2990" i="1"/>
  <c r="I2989" i="1"/>
  <c r="I2988" i="1"/>
  <c r="I2987" i="1"/>
  <c r="I2986" i="1"/>
  <c r="I2985" i="1"/>
  <c r="I2984" i="1"/>
  <c r="I2983" i="1"/>
  <c r="I2982" i="1"/>
  <c r="I2981" i="1"/>
  <c r="I2980" i="1"/>
  <c r="I2979" i="1"/>
  <c r="I2978" i="1"/>
  <c r="I2977" i="1"/>
  <c r="I2976" i="1"/>
  <c r="I2975" i="1"/>
  <c r="I2974" i="1"/>
  <c r="I2973" i="1"/>
  <c r="I2972" i="1"/>
  <c r="I2971" i="1"/>
  <c r="I2970" i="1"/>
  <c r="I2969" i="1"/>
  <c r="I2968" i="1"/>
  <c r="I2967" i="1"/>
  <c r="I2966" i="1"/>
  <c r="I2965" i="1"/>
  <c r="I2964" i="1"/>
  <c r="I2963" i="1"/>
  <c r="I2962" i="1"/>
  <c r="I2961" i="1"/>
  <c r="I2960" i="1"/>
  <c r="I2959" i="1"/>
  <c r="I2958" i="1"/>
  <c r="I2957" i="1"/>
  <c r="I2956" i="1"/>
  <c r="I2955" i="1"/>
  <c r="I2954" i="1"/>
  <c r="I2953" i="1"/>
  <c r="I2952" i="1"/>
  <c r="I2951" i="1"/>
  <c r="I2950" i="1"/>
  <c r="I2949" i="1"/>
  <c r="I2948" i="1"/>
  <c r="I2947" i="1"/>
  <c r="I2946" i="1"/>
  <c r="I2945" i="1"/>
  <c r="I2944" i="1"/>
  <c r="I2943" i="1"/>
  <c r="I2942" i="1"/>
  <c r="I2941" i="1"/>
  <c r="I2940" i="1"/>
  <c r="I2939" i="1"/>
  <c r="I2938" i="1"/>
  <c r="I2937" i="1"/>
  <c r="I2936" i="1"/>
  <c r="I2935" i="1"/>
  <c r="I2934" i="1"/>
  <c r="I2933" i="1"/>
  <c r="I2932" i="1"/>
  <c r="I2931" i="1"/>
  <c r="I2930" i="1"/>
  <c r="I2929" i="1"/>
  <c r="I2928" i="1"/>
  <c r="I2927" i="1"/>
  <c r="I2926" i="1"/>
  <c r="I2925" i="1"/>
  <c r="I2924" i="1"/>
  <c r="I2923" i="1"/>
  <c r="I2922" i="1"/>
  <c r="I2921" i="1"/>
  <c r="I2920" i="1"/>
  <c r="I2919" i="1"/>
  <c r="I2918" i="1"/>
  <c r="I2917" i="1"/>
  <c r="I2916" i="1"/>
  <c r="I2915" i="1"/>
  <c r="I2914" i="1"/>
  <c r="I2913" i="1"/>
  <c r="I2912" i="1"/>
  <c r="I2911" i="1"/>
  <c r="I2910" i="1"/>
  <c r="I2909" i="1"/>
  <c r="I2908" i="1"/>
  <c r="I2907" i="1"/>
  <c r="I2906" i="1"/>
  <c r="I2905" i="1"/>
  <c r="I2904" i="1"/>
  <c r="I2903" i="1"/>
  <c r="I2902" i="1"/>
  <c r="I2901" i="1"/>
  <c r="I2900" i="1"/>
  <c r="I2899" i="1"/>
  <c r="I2898" i="1"/>
  <c r="I2897" i="1"/>
  <c r="I2896" i="1"/>
  <c r="I2895" i="1"/>
  <c r="I2894" i="1"/>
  <c r="I2893" i="1"/>
  <c r="I2892" i="1"/>
  <c r="I2891" i="1"/>
  <c r="I2890" i="1"/>
  <c r="I2889" i="1"/>
  <c r="I2888" i="1"/>
  <c r="I2887" i="1"/>
  <c r="I2886" i="1"/>
  <c r="I2885" i="1"/>
  <c r="I2884" i="1"/>
  <c r="I2883" i="1"/>
  <c r="I2882" i="1"/>
  <c r="I2881" i="1"/>
  <c r="I2880" i="1"/>
  <c r="I2879" i="1"/>
  <c r="I2878" i="1"/>
  <c r="I2877" i="1"/>
  <c r="I2876" i="1"/>
  <c r="I2875" i="1"/>
  <c r="I2874" i="1"/>
  <c r="I2873" i="1"/>
  <c r="I2872" i="1"/>
  <c r="I2871" i="1"/>
  <c r="I2870" i="1"/>
  <c r="I2869" i="1"/>
  <c r="I2868" i="1"/>
  <c r="I2867" i="1"/>
  <c r="I2866" i="1"/>
  <c r="I2865" i="1"/>
  <c r="I2864" i="1"/>
  <c r="I2863" i="1"/>
  <c r="I2862" i="1"/>
  <c r="I2861" i="1"/>
  <c r="I2860" i="1"/>
  <c r="I2859" i="1"/>
  <c r="I2858" i="1"/>
  <c r="I2857" i="1"/>
  <c r="I2856" i="1"/>
  <c r="I2855" i="1"/>
  <c r="I2854" i="1"/>
  <c r="I2853" i="1"/>
  <c r="I2852" i="1"/>
  <c r="I2851" i="1"/>
  <c r="I2850" i="1"/>
  <c r="I2849" i="1"/>
  <c r="I2848" i="1"/>
  <c r="I2847" i="1"/>
  <c r="I2846" i="1"/>
  <c r="I2845" i="1"/>
  <c r="I2844" i="1"/>
  <c r="I2843" i="1"/>
  <c r="I2842" i="1"/>
  <c r="I2841" i="1"/>
  <c r="I2840" i="1"/>
  <c r="I2839" i="1"/>
  <c r="I2838" i="1"/>
  <c r="I2837" i="1"/>
  <c r="I2836" i="1"/>
  <c r="I2835" i="1"/>
  <c r="I2834" i="1"/>
  <c r="I2833" i="1"/>
  <c r="I2832" i="1"/>
  <c r="I2831" i="1"/>
  <c r="I2830" i="1"/>
  <c r="I2829" i="1"/>
  <c r="I2828" i="1"/>
  <c r="I2827" i="1"/>
  <c r="I2826" i="1"/>
  <c r="I2825" i="1"/>
  <c r="I2824" i="1"/>
  <c r="I2823" i="1"/>
  <c r="I2822" i="1"/>
  <c r="I2821" i="1"/>
  <c r="I2820" i="1"/>
  <c r="I2819" i="1"/>
  <c r="I2818" i="1"/>
  <c r="I2817" i="1"/>
  <c r="I2816" i="1"/>
  <c r="I2815" i="1"/>
  <c r="I2814" i="1"/>
  <c r="I2813" i="1"/>
  <c r="I2812" i="1"/>
  <c r="I2811" i="1"/>
  <c r="I2810" i="1"/>
  <c r="I2809" i="1"/>
  <c r="I2808" i="1"/>
  <c r="I2807" i="1"/>
  <c r="I2806" i="1"/>
  <c r="I2805" i="1"/>
  <c r="I2804" i="1"/>
  <c r="I2803" i="1"/>
  <c r="I2802" i="1"/>
  <c r="I2801" i="1"/>
  <c r="I2800" i="1"/>
  <c r="I2799" i="1"/>
  <c r="I2798" i="1"/>
  <c r="I2797" i="1"/>
  <c r="I2796" i="1"/>
  <c r="I2795" i="1"/>
  <c r="I2794" i="1"/>
  <c r="I2793" i="1"/>
  <c r="I2792" i="1"/>
  <c r="I2791" i="1"/>
  <c r="I2790" i="1"/>
  <c r="I2789" i="1"/>
  <c r="I2788" i="1"/>
  <c r="I2787" i="1"/>
  <c r="I2786" i="1"/>
  <c r="I2785" i="1"/>
  <c r="I2784" i="1"/>
  <c r="I2783" i="1"/>
  <c r="I2782" i="1"/>
  <c r="I2781" i="1"/>
  <c r="I2780" i="1"/>
  <c r="I2779" i="1"/>
  <c r="I2778" i="1"/>
  <c r="I2777" i="1"/>
  <c r="I2776" i="1"/>
  <c r="I2775" i="1"/>
  <c r="I2774" i="1"/>
  <c r="I2773" i="1"/>
  <c r="I2772" i="1"/>
  <c r="I2771" i="1"/>
  <c r="I2770" i="1"/>
  <c r="I2769" i="1"/>
  <c r="I2768" i="1"/>
  <c r="I2767" i="1"/>
  <c r="I2766" i="1"/>
  <c r="I2765" i="1"/>
  <c r="I2764" i="1"/>
  <c r="I2763" i="1"/>
  <c r="I2762" i="1"/>
  <c r="I2761" i="1"/>
  <c r="I2760" i="1"/>
  <c r="I2759" i="1"/>
  <c r="I2758" i="1"/>
  <c r="I2757" i="1"/>
  <c r="I2756" i="1"/>
  <c r="I2755" i="1"/>
  <c r="I2754" i="1"/>
  <c r="I2753" i="1"/>
  <c r="I2752" i="1"/>
  <c r="I2751" i="1"/>
  <c r="I2750" i="1"/>
  <c r="I2749" i="1"/>
  <c r="I2748" i="1"/>
  <c r="I2747" i="1"/>
  <c r="I2746" i="1"/>
  <c r="I2745" i="1"/>
  <c r="I2744" i="1"/>
  <c r="I2743" i="1"/>
  <c r="I2742" i="1"/>
  <c r="I2741" i="1"/>
  <c r="I2740" i="1"/>
  <c r="I2739" i="1"/>
  <c r="I2738" i="1"/>
  <c r="I2737" i="1"/>
  <c r="I2736" i="1"/>
  <c r="I2735" i="1"/>
  <c r="I2734" i="1"/>
  <c r="I2733" i="1"/>
  <c r="I2732" i="1"/>
  <c r="I2731" i="1"/>
  <c r="I2730" i="1"/>
  <c r="I2729" i="1"/>
  <c r="I2728" i="1"/>
  <c r="I2727" i="1"/>
  <c r="I2726" i="1"/>
  <c r="I2725" i="1"/>
  <c r="I2724" i="1"/>
  <c r="I2723" i="1"/>
  <c r="I2722" i="1"/>
  <c r="I2721" i="1"/>
  <c r="I2720" i="1"/>
  <c r="I2719" i="1"/>
  <c r="I2718" i="1"/>
  <c r="I2717" i="1"/>
  <c r="I2716" i="1"/>
  <c r="I2715" i="1"/>
  <c r="I2714" i="1"/>
  <c r="I2713" i="1"/>
  <c r="I2712" i="1"/>
  <c r="I2711" i="1"/>
  <c r="I2710" i="1"/>
  <c r="I2709" i="1"/>
  <c r="I2708" i="1"/>
  <c r="I2707" i="1"/>
  <c r="I2706" i="1"/>
  <c r="I2705" i="1"/>
  <c r="I2704" i="1"/>
  <c r="I2703" i="1"/>
  <c r="I2702" i="1"/>
  <c r="I2701" i="1"/>
  <c r="I2700" i="1"/>
  <c r="I2699" i="1"/>
  <c r="I2698" i="1"/>
  <c r="I2697" i="1"/>
  <c r="I2696" i="1"/>
  <c r="I2695" i="1"/>
  <c r="I2694" i="1"/>
  <c r="I2693" i="1"/>
  <c r="I2692" i="1"/>
  <c r="I2691" i="1"/>
  <c r="I2690" i="1"/>
  <c r="I2689" i="1"/>
  <c r="I2688" i="1"/>
  <c r="I2687" i="1"/>
  <c r="I2686" i="1"/>
  <c r="I2685" i="1"/>
  <c r="I2684" i="1"/>
  <c r="I2683" i="1"/>
  <c r="I2682" i="1"/>
  <c r="I2681" i="1"/>
  <c r="I2680" i="1"/>
  <c r="I2679" i="1"/>
  <c r="I2678" i="1"/>
  <c r="I2677" i="1"/>
  <c r="I2676" i="1"/>
  <c r="I2675" i="1"/>
  <c r="I2674" i="1"/>
  <c r="I2673" i="1"/>
  <c r="I2672" i="1"/>
  <c r="I2671" i="1"/>
  <c r="I2670" i="1"/>
  <c r="I2669" i="1"/>
  <c r="I2668" i="1"/>
  <c r="I2667" i="1"/>
  <c r="I2666" i="1"/>
  <c r="I2665" i="1"/>
  <c r="I2664" i="1"/>
  <c r="I2663" i="1"/>
  <c r="I2662" i="1"/>
  <c r="I2661" i="1"/>
  <c r="I2660" i="1"/>
  <c r="I2659" i="1"/>
  <c r="I2658" i="1"/>
  <c r="I2657" i="1"/>
  <c r="I2656" i="1"/>
  <c r="I2655" i="1"/>
  <c r="I2654" i="1"/>
  <c r="I2653" i="1"/>
  <c r="I2652" i="1"/>
  <c r="I2651" i="1"/>
  <c r="I2650" i="1"/>
  <c r="I2649" i="1"/>
  <c r="I2648" i="1"/>
  <c r="I2647" i="1"/>
  <c r="I2646" i="1"/>
  <c r="I2645" i="1"/>
  <c r="I2644" i="1"/>
  <c r="I2643" i="1"/>
  <c r="I2642" i="1"/>
  <c r="I2641" i="1"/>
  <c r="I2640" i="1"/>
  <c r="I2639" i="1"/>
  <c r="I2638" i="1"/>
  <c r="I2637" i="1"/>
  <c r="I2636" i="1"/>
  <c r="I2635" i="1"/>
  <c r="I2634" i="1"/>
  <c r="I2633" i="1"/>
  <c r="I2632" i="1"/>
  <c r="I2631" i="1"/>
  <c r="I2630" i="1"/>
  <c r="I2629" i="1"/>
  <c r="I2628" i="1"/>
  <c r="I2627" i="1"/>
  <c r="I2626" i="1"/>
  <c r="I2625" i="1"/>
  <c r="I2624" i="1"/>
  <c r="I2623" i="1"/>
  <c r="I2622" i="1"/>
  <c r="I2621" i="1"/>
  <c r="I2620" i="1"/>
  <c r="I2619" i="1"/>
  <c r="I2618" i="1"/>
  <c r="I2617" i="1"/>
  <c r="I2616" i="1"/>
  <c r="I2615" i="1"/>
  <c r="I2614" i="1"/>
  <c r="I2613" i="1"/>
  <c r="I2612" i="1"/>
  <c r="I2611" i="1"/>
  <c r="I2610" i="1"/>
  <c r="I2609" i="1"/>
  <c r="I2608" i="1"/>
  <c r="I2607" i="1"/>
  <c r="I2606" i="1"/>
  <c r="I2605" i="1"/>
  <c r="I2604" i="1"/>
  <c r="I2603" i="1"/>
  <c r="I2602" i="1"/>
  <c r="I2601" i="1"/>
  <c r="I2600" i="1"/>
  <c r="I2599" i="1"/>
  <c r="I2598" i="1"/>
  <c r="I2597" i="1"/>
  <c r="I2596" i="1"/>
  <c r="I2595" i="1"/>
  <c r="I2594" i="1"/>
  <c r="I2593" i="1"/>
  <c r="I2592" i="1"/>
  <c r="I2591" i="1"/>
  <c r="I2590" i="1"/>
  <c r="I2589" i="1"/>
  <c r="I2588" i="1"/>
  <c r="I2587" i="1"/>
  <c r="I2586" i="1"/>
  <c r="I2585" i="1"/>
  <c r="I2584" i="1"/>
  <c r="I2583" i="1"/>
  <c r="I2582" i="1"/>
  <c r="I2581" i="1"/>
  <c r="I2580" i="1"/>
  <c r="I2579" i="1"/>
  <c r="I2578" i="1"/>
  <c r="I2577" i="1"/>
  <c r="I2576" i="1"/>
  <c r="I2575" i="1"/>
  <c r="I2574" i="1"/>
  <c r="I2573" i="1"/>
  <c r="I2572" i="1"/>
  <c r="I2571" i="1"/>
  <c r="I2570" i="1"/>
  <c r="I2569" i="1"/>
  <c r="I2568" i="1"/>
  <c r="I2567" i="1"/>
  <c r="I2566" i="1"/>
  <c r="I2565" i="1"/>
  <c r="I2564" i="1"/>
  <c r="I2563" i="1"/>
  <c r="I2562" i="1"/>
  <c r="I2561" i="1"/>
  <c r="I2560" i="1"/>
  <c r="I2559" i="1"/>
  <c r="I2558" i="1"/>
  <c r="I2557" i="1"/>
  <c r="I2556" i="1"/>
  <c r="I2555" i="1"/>
  <c r="I2554" i="1"/>
  <c r="I2553" i="1"/>
  <c r="I2552" i="1"/>
  <c r="I2551" i="1"/>
  <c r="I2550" i="1"/>
  <c r="I2549" i="1"/>
  <c r="I2548" i="1"/>
  <c r="I2547" i="1"/>
  <c r="I2546" i="1"/>
  <c r="I2545" i="1"/>
  <c r="I2544" i="1"/>
  <c r="I2543" i="1"/>
  <c r="I2542" i="1"/>
  <c r="I2541" i="1"/>
  <c r="I2540" i="1"/>
  <c r="I2539" i="1"/>
  <c r="I2538" i="1"/>
  <c r="I2537" i="1"/>
  <c r="I2536" i="1"/>
  <c r="I2535" i="1"/>
  <c r="I2534" i="1"/>
  <c r="I2533" i="1"/>
  <c r="I2532" i="1"/>
  <c r="I2531" i="1"/>
  <c r="I2530" i="1"/>
  <c r="I2529" i="1"/>
  <c r="I2528" i="1"/>
  <c r="I2527" i="1"/>
  <c r="I2526" i="1"/>
  <c r="I2525" i="1"/>
  <c r="I2524" i="1"/>
  <c r="I2523" i="1"/>
  <c r="I2522" i="1"/>
  <c r="I2521" i="1"/>
  <c r="I2520" i="1"/>
  <c r="I2519" i="1"/>
  <c r="I2518" i="1"/>
  <c r="I2517" i="1"/>
  <c r="I2516" i="1"/>
  <c r="I2515" i="1"/>
  <c r="I2514" i="1"/>
  <c r="I2513" i="1"/>
  <c r="I2512" i="1"/>
  <c r="I2511" i="1"/>
  <c r="I2510" i="1"/>
  <c r="I2509" i="1"/>
  <c r="I2508" i="1"/>
  <c r="I2507" i="1"/>
  <c r="I2506" i="1"/>
  <c r="I2505" i="1"/>
  <c r="I2504" i="1"/>
  <c r="I2503" i="1"/>
  <c r="I2502" i="1"/>
  <c r="I2501" i="1"/>
  <c r="I2500" i="1"/>
  <c r="I2499" i="1"/>
  <c r="I2498" i="1"/>
  <c r="I2497" i="1"/>
  <c r="I2496" i="1"/>
  <c r="I2495" i="1"/>
  <c r="I2494" i="1"/>
  <c r="I2493" i="1"/>
  <c r="I2492" i="1"/>
  <c r="I2491" i="1"/>
  <c r="I2490" i="1"/>
  <c r="I2489" i="1"/>
  <c r="I2488" i="1"/>
  <c r="I2487" i="1"/>
  <c r="I2486" i="1"/>
  <c r="I2485" i="1"/>
  <c r="I2484" i="1"/>
  <c r="I2483" i="1"/>
  <c r="I2482" i="1"/>
  <c r="I2481" i="1"/>
  <c r="I2480" i="1"/>
  <c r="I2479" i="1"/>
  <c r="I2478" i="1"/>
  <c r="I2477" i="1"/>
  <c r="I2476" i="1"/>
  <c r="I2475" i="1"/>
  <c r="I2474" i="1"/>
  <c r="I2473" i="1"/>
  <c r="I2472" i="1"/>
  <c r="I2471" i="1"/>
  <c r="I2470" i="1"/>
  <c r="I2469" i="1"/>
  <c r="I2468" i="1"/>
  <c r="I2467" i="1"/>
  <c r="I2466" i="1"/>
  <c r="I2465" i="1"/>
  <c r="I2464" i="1"/>
  <c r="I2463" i="1"/>
  <c r="I2462" i="1"/>
  <c r="I2461" i="1"/>
  <c r="I2460" i="1"/>
  <c r="I2459" i="1"/>
  <c r="I2458" i="1"/>
  <c r="I2457" i="1"/>
  <c r="I2456" i="1"/>
  <c r="I2455" i="1"/>
  <c r="I2454" i="1"/>
  <c r="I2453" i="1"/>
  <c r="I2452" i="1"/>
  <c r="I2451" i="1"/>
  <c r="I2450" i="1"/>
  <c r="I2449" i="1"/>
  <c r="I2448" i="1"/>
  <c r="I2447" i="1"/>
  <c r="I2446" i="1"/>
  <c r="I2445" i="1"/>
  <c r="I2444" i="1"/>
  <c r="I2443" i="1"/>
  <c r="I2442" i="1"/>
  <c r="I2441" i="1"/>
  <c r="I2440" i="1"/>
  <c r="I2439" i="1"/>
  <c r="I2438" i="1"/>
  <c r="I2437" i="1"/>
  <c r="I2436" i="1"/>
  <c r="I2435" i="1"/>
  <c r="I2434" i="1"/>
  <c r="I2433" i="1"/>
  <c r="I2432" i="1"/>
  <c r="I2431" i="1"/>
  <c r="I2430" i="1"/>
  <c r="I2429" i="1"/>
  <c r="I2428" i="1"/>
  <c r="I2427" i="1"/>
  <c r="I2426" i="1"/>
  <c r="I2425" i="1"/>
  <c r="I2424" i="1"/>
  <c r="I2423" i="1"/>
  <c r="I2422" i="1"/>
  <c r="I2421" i="1"/>
  <c r="I2420" i="1"/>
  <c r="I2419" i="1"/>
  <c r="I2418" i="1"/>
  <c r="I2417" i="1"/>
  <c r="I2416" i="1"/>
  <c r="I2415" i="1"/>
  <c r="I2414" i="1"/>
  <c r="I2413" i="1"/>
  <c r="I2412" i="1"/>
  <c r="I2411" i="1"/>
  <c r="I2410" i="1"/>
  <c r="I2409" i="1"/>
  <c r="I2408" i="1"/>
  <c r="I2407" i="1"/>
  <c r="I2406" i="1"/>
  <c r="I2405" i="1"/>
  <c r="I2404" i="1"/>
  <c r="I2403" i="1"/>
  <c r="I2402" i="1"/>
  <c r="I2401" i="1"/>
  <c r="I2400" i="1"/>
  <c r="I2399" i="1"/>
  <c r="I2398" i="1"/>
  <c r="I2397" i="1"/>
  <c r="I2396" i="1"/>
  <c r="I2395" i="1"/>
  <c r="I2394" i="1"/>
  <c r="I2393" i="1"/>
  <c r="I2392" i="1"/>
  <c r="I2391" i="1"/>
  <c r="I2390" i="1"/>
  <c r="I2389" i="1"/>
  <c r="I2388" i="1"/>
  <c r="I2387" i="1"/>
  <c r="I2386" i="1"/>
  <c r="I2385" i="1"/>
  <c r="I2384" i="1"/>
  <c r="I2383" i="1"/>
  <c r="I2382" i="1"/>
  <c r="I2381" i="1"/>
  <c r="I2380" i="1"/>
  <c r="I2379" i="1"/>
  <c r="I2378" i="1"/>
  <c r="I2377" i="1"/>
  <c r="I2376" i="1"/>
  <c r="I2375" i="1"/>
  <c r="I2374" i="1"/>
  <c r="I2373" i="1"/>
  <c r="I2372" i="1"/>
  <c r="I2371" i="1"/>
  <c r="I2370" i="1"/>
  <c r="I2369" i="1"/>
  <c r="I2368" i="1"/>
  <c r="I2367" i="1"/>
  <c r="I2366" i="1"/>
  <c r="I2365" i="1"/>
  <c r="I2364" i="1"/>
  <c r="I2363" i="1"/>
  <c r="I2362" i="1"/>
  <c r="I2361" i="1"/>
  <c r="I2360" i="1"/>
  <c r="I2359" i="1"/>
  <c r="I2358" i="1"/>
  <c r="I2357" i="1"/>
  <c r="I2356" i="1"/>
  <c r="I2355" i="1"/>
  <c r="I2354" i="1"/>
  <c r="I2353" i="1"/>
  <c r="I2352" i="1"/>
  <c r="I2351" i="1"/>
  <c r="I2350" i="1"/>
  <c r="I2349" i="1"/>
  <c r="I2348" i="1"/>
  <c r="I2347" i="1"/>
  <c r="I2346" i="1"/>
  <c r="I2345" i="1"/>
  <c r="I2344" i="1"/>
  <c r="I2343" i="1"/>
  <c r="I2342" i="1"/>
  <c r="I2341" i="1"/>
  <c r="I2340" i="1"/>
  <c r="I2339" i="1"/>
  <c r="I2338" i="1"/>
  <c r="I2337" i="1"/>
  <c r="I2336" i="1"/>
  <c r="I2335" i="1"/>
  <c r="I2334" i="1"/>
  <c r="I2333" i="1"/>
  <c r="I2332" i="1"/>
  <c r="I2331" i="1"/>
  <c r="I2330" i="1"/>
  <c r="I2329" i="1"/>
  <c r="I2328" i="1"/>
  <c r="I2327" i="1"/>
  <c r="I2326" i="1"/>
  <c r="I2325" i="1"/>
  <c r="I2324" i="1"/>
  <c r="I2323" i="1"/>
  <c r="I2322" i="1"/>
  <c r="I2321" i="1"/>
  <c r="I2320" i="1"/>
  <c r="I2319" i="1"/>
  <c r="I2318" i="1"/>
  <c r="I2317" i="1"/>
  <c r="I2316" i="1"/>
  <c r="I2315" i="1"/>
  <c r="I2314" i="1"/>
  <c r="I2313" i="1"/>
  <c r="I2312" i="1"/>
  <c r="I2311" i="1"/>
  <c r="I2310" i="1"/>
  <c r="I2309" i="1"/>
  <c r="I2308" i="1"/>
  <c r="I2307" i="1"/>
  <c r="I2306" i="1"/>
  <c r="I2305" i="1"/>
  <c r="I2304" i="1"/>
  <c r="I2303" i="1"/>
  <c r="I2302" i="1"/>
  <c r="I2301" i="1"/>
  <c r="I2300" i="1"/>
  <c r="I2299" i="1"/>
  <c r="I2298" i="1"/>
  <c r="I2297" i="1"/>
  <c r="I2296" i="1"/>
  <c r="I2295" i="1"/>
  <c r="I2294" i="1"/>
  <c r="I2293" i="1"/>
  <c r="I2292" i="1"/>
  <c r="I2291" i="1"/>
  <c r="I2290" i="1"/>
  <c r="I2289" i="1"/>
  <c r="I2288" i="1"/>
  <c r="I2287" i="1"/>
  <c r="I2286" i="1"/>
  <c r="I2285" i="1"/>
  <c r="I2284" i="1"/>
  <c r="I2283" i="1"/>
  <c r="I2282" i="1"/>
  <c r="I2281" i="1"/>
  <c r="I2280" i="1"/>
  <c r="I2279" i="1"/>
  <c r="I2278" i="1"/>
  <c r="I2277" i="1"/>
  <c r="I2276" i="1"/>
  <c r="I2275" i="1"/>
  <c r="I2274" i="1"/>
  <c r="I2273" i="1"/>
  <c r="I2272" i="1"/>
  <c r="I2271" i="1"/>
  <c r="I2270" i="1"/>
  <c r="I2269" i="1"/>
  <c r="I2268" i="1"/>
  <c r="I2267" i="1"/>
  <c r="I2266" i="1"/>
  <c r="I2265" i="1"/>
  <c r="I2264" i="1"/>
  <c r="I2263" i="1"/>
  <c r="I2262" i="1"/>
  <c r="I2261" i="1"/>
  <c r="I2260" i="1"/>
  <c r="I2259" i="1"/>
  <c r="I2258" i="1"/>
  <c r="I2257" i="1"/>
  <c r="I2256" i="1"/>
  <c r="I2255" i="1"/>
  <c r="I2254" i="1"/>
  <c r="I2253" i="1"/>
  <c r="I2252" i="1"/>
  <c r="I2251" i="1"/>
  <c r="I2250" i="1"/>
  <c r="I2249" i="1"/>
  <c r="I2248" i="1"/>
  <c r="I2247" i="1"/>
  <c r="I2246" i="1"/>
  <c r="I2245" i="1"/>
  <c r="I2244" i="1"/>
  <c r="I2243" i="1"/>
  <c r="I2242" i="1"/>
  <c r="I2241" i="1"/>
  <c r="I2240" i="1"/>
  <c r="I2239" i="1"/>
  <c r="I2238" i="1"/>
  <c r="I2237" i="1"/>
  <c r="I2236" i="1"/>
  <c r="I2235" i="1"/>
  <c r="I2234" i="1"/>
  <c r="I2233" i="1"/>
  <c r="I2232" i="1"/>
  <c r="I2231" i="1"/>
  <c r="I2230" i="1"/>
  <c r="I2229" i="1"/>
  <c r="I2228" i="1"/>
  <c r="I2227" i="1"/>
  <c r="I2226" i="1"/>
  <c r="I2225" i="1"/>
  <c r="I2224" i="1"/>
  <c r="I2223" i="1"/>
  <c r="I2222" i="1"/>
  <c r="I2221" i="1"/>
  <c r="I2220" i="1"/>
  <c r="I2219" i="1"/>
  <c r="I2218" i="1"/>
  <c r="I2217" i="1"/>
  <c r="I2216" i="1"/>
  <c r="I2215" i="1"/>
  <c r="I2214" i="1"/>
  <c r="I2213" i="1"/>
  <c r="I2212" i="1"/>
  <c r="I2211" i="1"/>
  <c r="I2210" i="1"/>
  <c r="I2209" i="1"/>
  <c r="I2208" i="1"/>
  <c r="I2207" i="1"/>
  <c r="I2206" i="1"/>
  <c r="I2205" i="1"/>
  <c r="I2204" i="1"/>
  <c r="I2203" i="1"/>
  <c r="I2202" i="1"/>
  <c r="I2201" i="1"/>
  <c r="I2200" i="1"/>
  <c r="I2199" i="1"/>
  <c r="I2198" i="1"/>
  <c r="I2197" i="1"/>
  <c r="I2196" i="1"/>
  <c r="I2195" i="1"/>
  <c r="I2194" i="1"/>
  <c r="I2193" i="1"/>
  <c r="I2192" i="1"/>
  <c r="I2191" i="1"/>
  <c r="I2190" i="1"/>
  <c r="I2189" i="1"/>
  <c r="I2188" i="1"/>
  <c r="I2187" i="1"/>
  <c r="I2186" i="1"/>
  <c r="I2185" i="1"/>
  <c r="I2184" i="1"/>
  <c r="I2183" i="1"/>
  <c r="I2182" i="1"/>
  <c r="I2181" i="1"/>
  <c r="I2180" i="1"/>
  <c r="I2179" i="1"/>
  <c r="I2178" i="1"/>
  <c r="I2177" i="1"/>
  <c r="I2176" i="1"/>
  <c r="I2175" i="1"/>
  <c r="I2174" i="1"/>
  <c r="I2173" i="1"/>
  <c r="I2172" i="1"/>
  <c r="I2171" i="1"/>
  <c r="I2170" i="1"/>
  <c r="I2169" i="1"/>
  <c r="I2168" i="1"/>
  <c r="I2167" i="1"/>
  <c r="I2166" i="1"/>
  <c r="I2165" i="1"/>
  <c r="I2164" i="1"/>
  <c r="I2163" i="1"/>
  <c r="I2162" i="1"/>
  <c r="I2161" i="1"/>
  <c r="I2160" i="1"/>
  <c r="I2159" i="1"/>
  <c r="I2158" i="1"/>
  <c r="I2157" i="1"/>
  <c r="I2156" i="1"/>
  <c r="I2155" i="1"/>
  <c r="I2154" i="1"/>
  <c r="I2153" i="1"/>
  <c r="I2152" i="1"/>
  <c r="I2151" i="1"/>
  <c r="I2150" i="1"/>
  <c r="I2149" i="1"/>
  <c r="I2148" i="1"/>
  <c r="I2147" i="1"/>
  <c r="I2146" i="1"/>
  <c r="I2145" i="1"/>
  <c r="I2144" i="1"/>
  <c r="I2143" i="1"/>
  <c r="I2142" i="1"/>
  <c r="I2141" i="1"/>
  <c r="I2140" i="1"/>
  <c r="I2139" i="1"/>
  <c r="I2138" i="1"/>
  <c r="I2137" i="1"/>
  <c r="I2136" i="1"/>
  <c r="I2135" i="1"/>
  <c r="I2134" i="1"/>
  <c r="I2133" i="1"/>
  <c r="I2132" i="1"/>
  <c r="I2131" i="1"/>
  <c r="I2130" i="1"/>
  <c r="I2129" i="1"/>
  <c r="I2128" i="1"/>
  <c r="I2127" i="1"/>
  <c r="I2126" i="1"/>
  <c r="I2125" i="1"/>
  <c r="I2124" i="1"/>
  <c r="I2123" i="1"/>
  <c r="I2122" i="1"/>
  <c r="I2121" i="1"/>
  <c r="I2120" i="1"/>
  <c r="I2119" i="1"/>
  <c r="I2118" i="1"/>
  <c r="I2117" i="1"/>
  <c r="I2116" i="1"/>
  <c r="I2115" i="1"/>
  <c r="I2114" i="1"/>
  <c r="I2113" i="1"/>
  <c r="I2112" i="1"/>
  <c r="I2111" i="1"/>
  <c r="I2110" i="1"/>
  <c r="I2109" i="1"/>
  <c r="I2108" i="1"/>
  <c r="I2107" i="1"/>
  <c r="I2106" i="1"/>
  <c r="I2105" i="1"/>
  <c r="I2104" i="1"/>
  <c r="I2103" i="1"/>
  <c r="I2102" i="1"/>
  <c r="I2101" i="1"/>
  <c r="I2100" i="1"/>
  <c r="I2099" i="1"/>
  <c r="I2098" i="1"/>
  <c r="I2097" i="1"/>
  <c r="I2096" i="1"/>
  <c r="I2095" i="1"/>
  <c r="I2094" i="1"/>
  <c r="I2093" i="1"/>
  <c r="I2092" i="1"/>
  <c r="I2091" i="1"/>
  <c r="I2090" i="1"/>
  <c r="I2089" i="1"/>
  <c r="I2088" i="1"/>
  <c r="I2087" i="1"/>
  <c r="I2086" i="1"/>
  <c r="I2085" i="1"/>
  <c r="I2084" i="1"/>
  <c r="I2083" i="1"/>
  <c r="I2082" i="1"/>
  <c r="I2081" i="1"/>
  <c r="I2080" i="1"/>
  <c r="I2079" i="1"/>
  <c r="I2078" i="1"/>
  <c r="I2077" i="1"/>
  <c r="I2076" i="1"/>
  <c r="I2075" i="1"/>
  <c r="I2074" i="1"/>
  <c r="I2073" i="1"/>
  <c r="I2072" i="1"/>
  <c r="I2071" i="1"/>
  <c r="I2070" i="1"/>
  <c r="I2069" i="1"/>
  <c r="I2068" i="1"/>
  <c r="I2067" i="1"/>
  <c r="I2066" i="1"/>
  <c r="I2065" i="1"/>
  <c r="I2064" i="1"/>
  <c r="I2063" i="1"/>
  <c r="I2062" i="1"/>
  <c r="I2061" i="1"/>
  <c r="I2060" i="1"/>
  <c r="I2059" i="1"/>
  <c r="I2058" i="1"/>
  <c r="I2057" i="1"/>
  <c r="I2056" i="1"/>
  <c r="I2055" i="1"/>
  <c r="I2054" i="1"/>
  <c r="I2053" i="1"/>
  <c r="I2052" i="1"/>
  <c r="I2051" i="1"/>
  <c r="I2050" i="1"/>
  <c r="I2049" i="1"/>
  <c r="I2048" i="1"/>
  <c r="I2047" i="1"/>
  <c r="I2046" i="1"/>
  <c r="I2045" i="1"/>
  <c r="I2044" i="1"/>
  <c r="I2043" i="1"/>
  <c r="I2042" i="1"/>
  <c r="I2041" i="1"/>
  <c r="I2040" i="1"/>
  <c r="I2039" i="1"/>
  <c r="I2038" i="1"/>
  <c r="I2037" i="1"/>
  <c r="I2036" i="1"/>
  <c r="I2035" i="1"/>
  <c r="I2034" i="1"/>
  <c r="I2033" i="1"/>
  <c r="I2032" i="1"/>
  <c r="I2031" i="1"/>
  <c r="I2030" i="1"/>
  <c r="I2029" i="1"/>
  <c r="I2028" i="1"/>
  <c r="I2027" i="1"/>
  <c r="I2026" i="1"/>
  <c r="I2025" i="1"/>
  <c r="I2024" i="1"/>
  <c r="I2023" i="1"/>
  <c r="I2022" i="1"/>
  <c r="I2021" i="1"/>
  <c r="I2020" i="1"/>
  <c r="I2019" i="1"/>
  <c r="I2018" i="1"/>
  <c r="I2017" i="1"/>
  <c r="I2016" i="1"/>
  <c r="I2015" i="1"/>
  <c r="I2014" i="1"/>
  <c r="I2013" i="1"/>
  <c r="I2012" i="1"/>
  <c r="I2011" i="1"/>
  <c r="I2010" i="1"/>
  <c r="I2009" i="1"/>
  <c r="I2008" i="1"/>
  <c r="I2007" i="1"/>
  <c r="I2006" i="1"/>
  <c r="I2005" i="1"/>
  <c r="I2004" i="1"/>
  <c r="I2003" i="1"/>
  <c r="I2002" i="1"/>
  <c r="I2001" i="1"/>
  <c r="I2000" i="1"/>
  <c r="I1999" i="1"/>
  <c r="I1998" i="1"/>
  <c r="I1997" i="1"/>
  <c r="I1996" i="1"/>
  <c r="I1995" i="1"/>
  <c r="I1994" i="1"/>
  <c r="I1993" i="1"/>
  <c r="I1992" i="1"/>
  <c r="I1991" i="1"/>
  <c r="I1990" i="1"/>
  <c r="I1989" i="1"/>
  <c r="I1988" i="1"/>
  <c r="I1987" i="1"/>
  <c r="I1986" i="1"/>
  <c r="I1985" i="1"/>
  <c r="I1984" i="1"/>
  <c r="I1983" i="1"/>
  <c r="I1982" i="1"/>
  <c r="I1981" i="1"/>
  <c r="I1980" i="1"/>
  <c r="I1979" i="1"/>
  <c r="I1978" i="1"/>
  <c r="I1977" i="1"/>
  <c r="I1976" i="1"/>
  <c r="I1975" i="1"/>
  <c r="I1974" i="1"/>
  <c r="I1973" i="1"/>
  <c r="I1972" i="1"/>
  <c r="I1971" i="1"/>
  <c r="I1970" i="1"/>
  <c r="I1969" i="1"/>
  <c r="I1968" i="1"/>
  <c r="I1967" i="1"/>
  <c r="I1966" i="1"/>
  <c r="I1965" i="1"/>
  <c r="I1964" i="1"/>
  <c r="I1963" i="1"/>
  <c r="I1962" i="1"/>
  <c r="I1961" i="1"/>
  <c r="I1960" i="1"/>
  <c r="I1959" i="1"/>
  <c r="I1958" i="1"/>
  <c r="I1957" i="1"/>
  <c r="I1956" i="1"/>
  <c r="I1955" i="1"/>
  <c r="I1954" i="1"/>
  <c r="I1953" i="1"/>
  <c r="I1952" i="1"/>
  <c r="I1951" i="1"/>
  <c r="I1950" i="1"/>
  <c r="I1949" i="1"/>
  <c r="I1948" i="1"/>
  <c r="I1947" i="1"/>
  <c r="I1946" i="1"/>
  <c r="I1945" i="1"/>
  <c r="I1944" i="1"/>
  <c r="I1943" i="1"/>
  <c r="I1942" i="1"/>
  <c r="I1941" i="1"/>
  <c r="I1940" i="1"/>
  <c r="I1939" i="1"/>
  <c r="I1938" i="1"/>
  <c r="I1937" i="1"/>
  <c r="I1936" i="1"/>
  <c r="I1935" i="1"/>
  <c r="I1934" i="1"/>
  <c r="I1933" i="1"/>
  <c r="I1932" i="1"/>
  <c r="I1931" i="1"/>
  <c r="I1930" i="1"/>
  <c r="I1929" i="1"/>
  <c r="I1928" i="1"/>
  <c r="I1927" i="1"/>
  <c r="I1926" i="1"/>
  <c r="I1925" i="1"/>
  <c r="I1924" i="1"/>
  <c r="I1923" i="1"/>
  <c r="I1922" i="1"/>
  <c r="I1921" i="1"/>
  <c r="I1920" i="1"/>
  <c r="I1919" i="1"/>
  <c r="I1918" i="1"/>
  <c r="I1917" i="1"/>
  <c r="I1916" i="1"/>
  <c r="I1915" i="1"/>
  <c r="I1914" i="1"/>
  <c r="I1913" i="1"/>
  <c r="I1912" i="1"/>
  <c r="I1911" i="1"/>
  <c r="I1910" i="1"/>
  <c r="I1909" i="1"/>
  <c r="I1908" i="1"/>
  <c r="I1907" i="1"/>
  <c r="I1906" i="1"/>
  <c r="I1905" i="1"/>
  <c r="I1904" i="1"/>
  <c r="I1903" i="1"/>
  <c r="I1902" i="1"/>
  <c r="I1901" i="1"/>
  <c r="I1900" i="1"/>
  <c r="I1899" i="1"/>
  <c r="I1898" i="1"/>
  <c r="I1897" i="1"/>
  <c r="I1896" i="1"/>
  <c r="I1895" i="1"/>
  <c r="I1894" i="1"/>
  <c r="I1893" i="1"/>
  <c r="I1892" i="1"/>
  <c r="I1891" i="1"/>
  <c r="I1890" i="1"/>
  <c r="I1889" i="1"/>
  <c r="I1888" i="1"/>
  <c r="I1887" i="1"/>
  <c r="I1886" i="1"/>
  <c r="I1885" i="1"/>
  <c r="I1884" i="1"/>
  <c r="I1883" i="1"/>
  <c r="I1882" i="1"/>
  <c r="I1881" i="1"/>
  <c r="I1880" i="1"/>
  <c r="I1879" i="1"/>
  <c r="I1878" i="1"/>
  <c r="I1877" i="1"/>
  <c r="I1876" i="1"/>
  <c r="I1875" i="1"/>
  <c r="I1874" i="1"/>
  <c r="I1873" i="1"/>
  <c r="I1872" i="1"/>
  <c r="I1871" i="1"/>
  <c r="I1870" i="1"/>
  <c r="I1869" i="1"/>
  <c r="I1868" i="1"/>
  <c r="I1867" i="1"/>
  <c r="I1866" i="1"/>
  <c r="I1865" i="1"/>
  <c r="I1864" i="1"/>
  <c r="I1863" i="1"/>
  <c r="I1862" i="1"/>
  <c r="I1861" i="1"/>
  <c r="I1860" i="1"/>
  <c r="I1859" i="1"/>
  <c r="I1858" i="1"/>
  <c r="I1857" i="1"/>
  <c r="I1856" i="1"/>
  <c r="I1855" i="1"/>
  <c r="I1854" i="1"/>
  <c r="I1853" i="1"/>
  <c r="I1852" i="1"/>
  <c r="I1851" i="1"/>
  <c r="I1850" i="1"/>
  <c r="I1849" i="1"/>
  <c r="I1848" i="1"/>
  <c r="I1847" i="1"/>
  <c r="I1846" i="1"/>
  <c r="I1845" i="1"/>
  <c r="I1844" i="1"/>
  <c r="I1843" i="1"/>
  <c r="I1842" i="1"/>
  <c r="I1841" i="1"/>
  <c r="I1840" i="1"/>
  <c r="I1839" i="1"/>
  <c r="I1838" i="1"/>
  <c r="I1837" i="1"/>
  <c r="I1836" i="1"/>
  <c r="I1835" i="1"/>
  <c r="I1834" i="1"/>
  <c r="I1833" i="1"/>
  <c r="I1832" i="1"/>
  <c r="I1831" i="1"/>
  <c r="I1830" i="1"/>
  <c r="I1829" i="1"/>
  <c r="I1828" i="1"/>
  <c r="I1827" i="1"/>
  <c r="I1826" i="1"/>
  <c r="I1825" i="1"/>
  <c r="I1824" i="1"/>
  <c r="I1823" i="1"/>
  <c r="I1822" i="1"/>
  <c r="I1821" i="1"/>
  <c r="I1820" i="1"/>
  <c r="I1819" i="1"/>
  <c r="I1818" i="1"/>
  <c r="I1817" i="1"/>
  <c r="I1816" i="1"/>
  <c r="I1815" i="1"/>
  <c r="I1814" i="1"/>
  <c r="I1813" i="1"/>
  <c r="I1812" i="1"/>
  <c r="I1811" i="1"/>
  <c r="I1810" i="1"/>
  <c r="I1809" i="1"/>
  <c r="I1808" i="1"/>
  <c r="I1807" i="1"/>
  <c r="I1806" i="1"/>
  <c r="I1805" i="1"/>
  <c r="I1804" i="1"/>
  <c r="I1803" i="1"/>
  <c r="I1802" i="1"/>
  <c r="I1801" i="1"/>
  <c r="I1800" i="1"/>
  <c r="I1799" i="1"/>
  <c r="I1798" i="1"/>
  <c r="I1797" i="1"/>
  <c r="I1796" i="1"/>
  <c r="I1795" i="1"/>
  <c r="I1794" i="1"/>
  <c r="I1793" i="1"/>
  <c r="I1792" i="1"/>
  <c r="I1791" i="1"/>
  <c r="I1790" i="1"/>
  <c r="I1789" i="1"/>
  <c r="I1788" i="1"/>
  <c r="I1787" i="1"/>
  <c r="I1786" i="1"/>
  <c r="I1785" i="1"/>
  <c r="I1784" i="1"/>
  <c r="I1783" i="1"/>
  <c r="I1782" i="1"/>
  <c r="I1781" i="1"/>
  <c r="I1780" i="1"/>
  <c r="I1779" i="1"/>
  <c r="I1778" i="1"/>
  <c r="I1777" i="1"/>
  <c r="I1776" i="1"/>
  <c r="I1775" i="1"/>
  <c r="I1774" i="1"/>
  <c r="I1773" i="1"/>
  <c r="I1772" i="1"/>
  <c r="I1771" i="1"/>
  <c r="I1770" i="1"/>
  <c r="I1769" i="1"/>
  <c r="I1768" i="1"/>
  <c r="I1767" i="1"/>
  <c r="I1766" i="1"/>
  <c r="I1765" i="1"/>
  <c r="I1764" i="1"/>
  <c r="I1763" i="1"/>
  <c r="I1762" i="1"/>
  <c r="I1761" i="1"/>
  <c r="I1760" i="1"/>
  <c r="I1759" i="1"/>
  <c r="I1758" i="1"/>
  <c r="I1757" i="1"/>
  <c r="I1756" i="1"/>
  <c r="I1755" i="1"/>
  <c r="I1754" i="1"/>
  <c r="I1753" i="1"/>
  <c r="I1752" i="1"/>
  <c r="I1751" i="1"/>
  <c r="I1750" i="1"/>
  <c r="I1749" i="1"/>
  <c r="I1748" i="1"/>
  <c r="I1747" i="1"/>
  <c r="I1746" i="1"/>
  <c r="I1745" i="1"/>
  <c r="I1744" i="1"/>
  <c r="I1743" i="1"/>
  <c r="I1742" i="1"/>
  <c r="I1741" i="1"/>
  <c r="I1740" i="1"/>
  <c r="I1739" i="1"/>
  <c r="I1738" i="1"/>
  <c r="I1737" i="1"/>
  <c r="I1736" i="1"/>
  <c r="I1735" i="1"/>
  <c r="I1734" i="1"/>
  <c r="I1733" i="1"/>
  <c r="I1732" i="1"/>
  <c r="I1731" i="1"/>
  <c r="I1730" i="1"/>
  <c r="I1729" i="1"/>
  <c r="I1728" i="1"/>
  <c r="I1727" i="1"/>
  <c r="I1726" i="1"/>
  <c r="I1725" i="1"/>
  <c r="I1724" i="1"/>
  <c r="I1723" i="1"/>
  <c r="I1722" i="1"/>
  <c r="I1721" i="1"/>
  <c r="I1720" i="1"/>
  <c r="I1719" i="1"/>
  <c r="I1718" i="1"/>
  <c r="I1717" i="1"/>
  <c r="I1716" i="1"/>
  <c r="I1715" i="1"/>
  <c r="I1714" i="1"/>
  <c r="I1713" i="1"/>
  <c r="I1712" i="1"/>
  <c r="I1711" i="1"/>
  <c r="I1710" i="1"/>
  <c r="I1709" i="1"/>
  <c r="I1708" i="1"/>
  <c r="I1707" i="1"/>
  <c r="I1706" i="1"/>
  <c r="I1705" i="1"/>
  <c r="I1704" i="1"/>
  <c r="I1703" i="1"/>
  <c r="I1702" i="1"/>
  <c r="I1701" i="1"/>
  <c r="I1700" i="1"/>
  <c r="I1699" i="1"/>
  <c r="I1698" i="1"/>
  <c r="I1697" i="1"/>
  <c r="I1696" i="1"/>
  <c r="I1695" i="1"/>
  <c r="I1694" i="1"/>
  <c r="I1693" i="1"/>
  <c r="I1692" i="1"/>
  <c r="I1691" i="1"/>
  <c r="I1690" i="1"/>
  <c r="I1689" i="1"/>
  <c r="I1688" i="1"/>
  <c r="I1687" i="1"/>
  <c r="I1686" i="1"/>
  <c r="I1685" i="1"/>
  <c r="I1684" i="1"/>
  <c r="I1683" i="1"/>
  <c r="I1682" i="1"/>
  <c r="I1681" i="1"/>
  <c r="I1680" i="1"/>
  <c r="I1679" i="1"/>
  <c r="I1678" i="1"/>
  <c r="I1677" i="1"/>
  <c r="I1676" i="1"/>
  <c r="I1675" i="1"/>
  <c r="I1674" i="1"/>
  <c r="I1673" i="1"/>
  <c r="I1672" i="1"/>
  <c r="I1671" i="1"/>
  <c r="I1670" i="1"/>
  <c r="I1669" i="1"/>
  <c r="I1668" i="1"/>
  <c r="I1667" i="1"/>
  <c r="I1666" i="1"/>
  <c r="I1665" i="1"/>
  <c r="I1664" i="1"/>
  <c r="I1663" i="1"/>
  <c r="I1662" i="1"/>
  <c r="I1661" i="1"/>
  <c r="I1660" i="1"/>
  <c r="I1659" i="1"/>
  <c r="I1658" i="1"/>
  <c r="I1657" i="1"/>
  <c r="I1656" i="1"/>
  <c r="I1655" i="1"/>
  <c r="I1654" i="1"/>
  <c r="I1653" i="1"/>
  <c r="I1652" i="1"/>
  <c r="I1651" i="1"/>
  <c r="I1650" i="1"/>
  <c r="I1649" i="1"/>
  <c r="I1648" i="1"/>
  <c r="I1647" i="1"/>
  <c r="I1646" i="1"/>
  <c r="I1645" i="1"/>
  <c r="I1644" i="1"/>
  <c r="I1643" i="1"/>
  <c r="I1642" i="1"/>
  <c r="I1641" i="1"/>
  <c r="I1640" i="1"/>
  <c r="I1639" i="1"/>
  <c r="I1638" i="1"/>
  <c r="I1637" i="1"/>
  <c r="I1636" i="1"/>
  <c r="I1635" i="1"/>
  <c r="I1634" i="1"/>
  <c r="I1633" i="1"/>
  <c r="I1632" i="1"/>
  <c r="I1631" i="1"/>
  <c r="I1630" i="1"/>
  <c r="I1629" i="1"/>
  <c r="I1628" i="1"/>
  <c r="I1627" i="1"/>
  <c r="I1626" i="1"/>
  <c r="I1625" i="1"/>
  <c r="I1624" i="1"/>
  <c r="I1623" i="1"/>
  <c r="I1622" i="1"/>
  <c r="I1621" i="1"/>
  <c r="I1620" i="1"/>
  <c r="I1619" i="1"/>
  <c r="I1618" i="1"/>
  <c r="I1617" i="1"/>
  <c r="I1616" i="1"/>
  <c r="I1615" i="1"/>
  <c r="I1614" i="1"/>
  <c r="I1613" i="1"/>
  <c r="I1612" i="1"/>
  <c r="I1611" i="1"/>
  <c r="I1610" i="1"/>
  <c r="I1609" i="1"/>
  <c r="I1608" i="1"/>
  <c r="I1607" i="1"/>
  <c r="I1606" i="1"/>
  <c r="I1605" i="1"/>
  <c r="I1604" i="1"/>
  <c r="I1603" i="1"/>
  <c r="I1602" i="1"/>
  <c r="I1601" i="1"/>
  <c r="I1600" i="1"/>
  <c r="I1599" i="1"/>
  <c r="I1598" i="1"/>
  <c r="I1597" i="1"/>
  <c r="I1596" i="1"/>
  <c r="I1595" i="1"/>
  <c r="I1594" i="1"/>
  <c r="I1593" i="1"/>
  <c r="I1592" i="1"/>
  <c r="I1591" i="1"/>
  <c r="I1590" i="1"/>
  <c r="I1589" i="1"/>
  <c r="I1588" i="1"/>
  <c r="I1587" i="1"/>
  <c r="I1586" i="1"/>
  <c r="I1585" i="1"/>
  <c r="I1584" i="1"/>
  <c r="I1583" i="1"/>
  <c r="I1582" i="1"/>
  <c r="I1581" i="1"/>
  <c r="I1580" i="1"/>
  <c r="I1579" i="1"/>
  <c r="I1578" i="1"/>
  <c r="I1577" i="1"/>
  <c r="I1576" i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1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I1450" i="1"/>
  <c r="I1449" i="1"/>
  <c r="I1448" i="1"/>
  <c r="I1447" i="1"/>
  <c r="I1446" i="1"/>
  <c r="I1445" i="1"/>
  <c r="I1444" i="1"/>
  <c r="I1443" i="1"/>
  <c r="I1442" i="1"/>
  <c r="I1441" i="1"/>
  <c r="I1440" i="1"/>
  <c r="I1439" i="1"/>
  <c r="I1438" i="1"/>
  <c r="I1437" i="1"/>
  <c r="I1436" i="1"/>
  <c r="I1435" i="1"/>
  <c r="I1434" i="1"/>
  <c r="I1433" i="1"/>
  <c r="I1432" i="1"/>
  <c r="I1431" i="1"/>
  <c r="I1430" i="1"/>
  <c r="I1429" i="1"/>
  <c r="I1428" i="1"/>
  <c r="I1427" i="1"/>
  <c r="I1426" i="1"/>
  <c r="I1425" i="1"/>
  <c r="I1424" i="1"/>
  <c r="I1423" i="1"/>
  <c r="I1422" i="1"/>
  <c r="I1421" i="1"/>
  <c r="I1420" i="1"/>
  <c r="I1419" i="1"/>
  <c r="I1418" i="1"/>
  <c r="I1417" i="1"/>
  <c r="I1416" i="1"/>
  <c r="I1415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<sst xmlns="http://schemas.openxmlformats.org/spreadsheetml/2006/main" count="13013" uniqueCount="7053">
  <si>
    <t>p_val</t>
  </si>
  <si>
    <t>avg_logFC</t>
  </si>
  <si>
    <t>pct.1</t>
  </si>
  <si>
    <t>pct.2</t>
  </si>
  <si>
    <t>p_val_adj</t>
  </si>
  <si>
    <t>cluster</t>
  </si>
  <si>
    <t>Gene.name.uniq</t>
  </si>
  <si>
    <t>Gene.ID</t>
  </si>
  <si>
    <t>ZFIN.ID</t>
  </si>
  <si>
    <t>Description</t>
  </si>
  <si>
    <t>otofb</t>
  </si>
  <si>
    <t>ENSDARG00000020581</t>
  </si>
  <si>
    <t>otoferlin b [Source:ZFIN;Acc:ZDB-GENE-110406-5]</t>
  </si>
  <si>
    <t>enkur</t>
  </si>
  <si>
    <t>ENSDARG00000031248</t>
  </si>
  <si>
    <t>enkurin, TRPC channel interacting protein [Source:ZFIN;Acc:ZDB-GENE-070718-1]</t>
  </si>
  <si>
    <t>si:ch211-284k5.2</t>
  </si>
  <si>
    <t>ENSDARG00000101455</t>
  </si>
  <si>
    <t>si:ch211-284k5.2 [Source:ZFIN;Acc:ZDB-GENE-131127-514]</t>
  </si>
  <si>
    <t>dnajc5b</t>
  </si>
  <si>
    <t>ENSDARG00000058147</t>
  </si>
  <si>
    <t>DnaJ (Hsp40) homolog, subfamily C, member 5 beta [Source:ZFIN;Acc:ZDB-GENE-050413-1]</t>
  </si>
  <si>
    <t>cpn1.2</t>
  </si>
  <si>
    <t>ENSDARG00000005185</t>
  </si>
  <si>
    <t>carboxypeptidase N, polypeptide 1 [Source:ZFIN;Acc:ZDB-GENE-030131-9116]</t>
  </si>
  <si>
    <t>si:dkey-16m19.1</t>
  </si>
  <si>
    <t>ENSDARG00000097176</t>
  </si>
  <si>
    <t>fam228a</t>
  </si>
  <si>
    <t>ENSDARG00000042936</t>
  </si>
  <si>
    <t>family with sequence similarity 228, member A [Source:ZFIN;Acc:ZDB-GENE-041014-83]</t>
  </si>
  <si>
    <t>daw1</t>
  </si>
  <si>
    <t>ENSDARG00000021462</t>
  </si>
  <si>
    <t>dynein assembly factor with WDR repeat domains 1 [Source:ZFIN;Acc:ZDB-GENE-050419-255]</t>
  </si>
  <si>
    <t>nme5</t>
  </si>
  <si>
    <t>ENSDARG00000041617</t>
  </si>
  <si>
    <t>NME/NM23 family member 5 [Source:ZFIN;Acc:ZDB-GENE-040718-221]</t>
  </si>
  <si>
    <t>scg5</t>
  </si>
  <si>
    <t>ENSDARG00000032126</t>
  </si>
  <si>
    <t>secretogranin V [Source:ZFIN;Acc:ZDB-GENE-040426-1687]</t>
  </si>
  <si>
    <t>tmc2b</t>
  </si>
  <si>
    <t>ENSDARG00000030311</t>
  </si>
  <si>
    <t>transmembrane channel-like 2b [Source:ZFIN;Acc:ZDB-GENE-060526-262]</t>
  </si>
  <si>
    <t>si:dkey-27p23.3</t>
  </si>
  <si>
    <t>ENSDARG00000075714</t>
  </si>
  <si>
    <t>si:dkey-27p23.3 [Source:ZFIN;Acc:ZDB-GENE-070705-453]</t>
  </si>
  <si>
    <t>nrgnb</t>
  </si>
  <si>
    <t>ENSDARG00000069361</t>
  </si>
  <si>
    <t>neurogranin (protein kinase C substrate, RC3) b [Source:ZFIN;Acc:ZDB-GENE-070112-1912]</t>
  </si>
  <si>
    <t>tekt1</t>
  </si>
  <si>
    <t>ENSDARG00000101331</t>
  </si>
  <si>
    <t>tektin 1 [Source:ZFIN;Acc:ZDB-GENE-041114-99]</t>
  </si>
  <si>
    <t>gfi1aa</t>
  </si>
  <si>
    <t>ENSDARG00000020746</t>
  </si>
  <si>
    <t>growth factor independent 1A transcription repressor a [Source:ZFIN;Acc:ZDB-GENE-050522-534]</t>
  </si>
  <si>
    <t>pacrg</t>
  </si>
  <si>
    <t>ENSDARG00000087556</t>
  </si>
  <si>
    <t>PARK2 co-regulated [Source:ZFIN;Acc:ZDB-GENE-041114-100]</t>
  </si>
  <si>
    <t>ankrd45</t>
  </si>
  <si>
    <t>ENSDARG00000011326</t>
  </si>
  <si>
    <t>ankyrin repeat domain 45 [Source:ZFIN;Acc:ZDB-GENE-050522-311]</t>
  </si>
  <si>
    <t>zgc:171927</t>
  </si>
  <si>
    <t>ENSDARG00000033056</t>
  </si>
  <si>
    <t>zgc:171927 [Source:ZFIN;Acc:ZDB-GENE-070822-21]</t>
  </si>
  <si>
    <t>smpx</t>
  </si>
  <si>
    <t>ENSDARG00000045302</t>
  </si>
  <si>
    <t>small muscle protein, X-linked [Source:ZFIN;Acc:ZDB-GENE-040704-24]</t>
  </si>
  <si>
    <t>tmprss3a</t>
  </si>
  <si>
    <t>ENSDARG00000053315</t>
  </si>
  <si>
    <t>transmembrane protease, serine 3a [Source:ZFIN;Acc:ZDB-GENE-070912-70]</t>
  </si>
  <si>
    <t>cfap77</t>
  </si>
  <si>
    <t>ENSDARG00000068122</t>
  </si>
  <si>
    <t>cilia and flagella associated protein 77 [Source:ZFIN;Acc:ZDB-GENE-060526-106]</t>
  </si>
  <si>
    <t>camk2n1a</t>
  </si>
  <si>
    <t>ENSDARG00000025855</t>
  </si>
  <si>
    <t>calcium/calmodulin-dependent protein kinase II inhibitor 1a [Source:ZFIN;Acc:ZDB-GENE-050522-319]</t>
  </si>
  <si>
    <t>si:ch211-147d7.5</t>
  </si>
  <si>
    <t>ENSDARG00000095457</t>
  </si>
  <si>
    <t>si:ch211-147d7.5 [Source:ZFIN;Acc:ZDB-GENE-041014-353]</t>
  </si>
  <si>
    <t>si:ch211-57i17.5</t>
  </si>
  <si>
    <t>ENSDARG00000041375</t>
  </si>
  <si>
    <t>si:ch211-57i17.5 [Source:ZFIN;Acc:ZDB-GENE-041014-39]</t>
  </si>
  <si>
    <t>lhfpl5b</t>
  </si>
  <si>
    <t>ENSDARG00000056458</t>
  </si>
  <si>
    <t>lipoma HMGIC fusion partner-like 5b [Source:ZFIN;Acc:ZDB-GENE-080220-51]</t>
  </si>
  <si>
    <t>theg</t>
  </si>
  <si>
    <t>ENSDARG00000078644</t>
  </si>
  <si>
    <t>theg spermatid protein [Source:ZFIN;Acc:ZDB-GENE-070912-59]</t>
  </si>
  <si>
    <t>si:ch211-270n8.3</t>
  </si>
  <si>
    <t>ENSDARG00000093646</t>
  </si>
  <si>
    <t>si:ch211-270n8.3 [Source:ZFIN;Acc:ZDB-GENE-081028-50]</t>
  </si>
  <si>
    <t>si:ch211-57h10.1</t>
  </si>
  <si>
    <t>ENSDARG00000088753</t>
  </si>
  <si>
    <t>si:ch211-57h10.1 [Source:ZFIN;Acc:ZDB-GENE-060526-173]</t>
  </si>
  <si>
    <t>nptna</t>
  </si>
  <si>
    <t>ENSDARG00000103002</t>
  </si>
  <si>
    <t>neuroplastin a [Source:ZFIN;Acc:ZDB-GENE-030804-7]</t>
  </si>
  <si>
    <t>eef1a1b</t>
  </si>
  <si>
    <t>ENSDARG00000069951</t>
  </si>
  <si>
    <t>eukaryotic translation elongation factor 1 alpha 1b [Source:ZFIN;Acc:ZDB-GENE-050417-327]</t>
  </si>
  <si>
    <t>hsd17b7</t>
  </si>
  <si>
    <t>ENSDARG00000088140</t>
  </si>
  <si>
    <t>hydroxysteroid (17-beta) dehydrogenase 7 [Source:ZFIN;Acc:ZDB-GENE-061013-378]</t>
  </si>
  <si>
    <t>c5h11orf1</t>
  </si>
  <si>
    <t>ENSDARG00000101743</t>
  </si>
  <si>
    <t>chromosome 5 open reading frame, human C11orf1 [Source:EntrezGene;Acc:797203]</t>
  </si>
  <si>
    <t>RSPH1</t>
  </si>
  <si>
    <t>ENSDARG00000102261</t>
  </si>
  <si>
    <t>radial spoke head 1 homolog [Source:HGNC Symbol;Acc:HGNC:12371]</t>
  </si>
  <si>
    <t>si:ch211-193l2.10</t>
  </si>
  <si>
    <t>ENSDARG00000099903</t>
  </si>
  <si>
    <t>si:ch211-193l2.10 [Source:ZFIN;Acc:ZDB-GENE-160114-52]</t>
  </si>
  <si>
    <t>meig1</t>
  </si>
  <si>
    <t>ENSDARG00000045705</t>
  </si>
  <si>
    <t>meiosis/spermiogenesis associated 1 [Source:ZFIN;Acc:ZDB-GENE-050320-33]</t>
  </si>
  <si>
    <t>si:dkey-71b5.6.1</t>
  </si>
  <si>
    <t>ENSDARG00000098861</t>
  </si>
  <si>
    <t>si:dkey-71b5.6 [Source:EntrezGene;Acc:100294632]</t>
  </si>
  <si>
    <t>tspan13b</t>
  </si>
  <si>
    <t>ENSDARG00000070479</t>
  </si>
  <si>
    <t>tetraspanin 13b [Source:ZFIN;Acc:ZDB-GENE-041010-45]</t>
  </si>
  <si>
    <t>sst6</t>
  </si>
  <si>
    <t>ENSDARG00000093804</t>
  </si>
  <si>
    <t>somatostatin 6 [Source:ZFIN;Acc:ZDB-GENE-081022-199]</t>
  </si>
  <si>
    <t>si:dkeyp-46h3.1</t>
  </si>
  <si>
    <t>ENSDARG00000094407</t>
  </si>
  <si>
    <t>EMB</t>
  </si>
  <si>
    <t>ENSDARG00000059485</t>
  </si>
  <si>
    <t>si:ch211-261c8.5 [Source:ZFIN;Acc:ZDB-GENE-070705-158]</t>
  </si>
  <si>
    <t>evlb</t>
  </si>
  <si>
    <t>ENSDARG00000099720</t>
  </si>
  <si>
    <t>Enah/Vasp-like b [Source:ZFIN;Acc:ZDB-GENE-040426-1804]</t>
  </si>
  <si>
    <t>CU856539.4</t>
  </si>
  <si>
    <t>ENSDARG00000090886</t>
  </si>
  <si>
    <t>spata4</t>
  </si>
  <si>
    <t>ENSDARG00000036189</t>
  </si>
  <si>
    <t>spermatogenesis associated 4 [Source:ZFIN;Acc:ZDB-GENE-050417-153]</t>
  </si>
  <si>
    <t>tescb</t>
  </si>
  <si>
    <t>ENSDARG00000030839</t>
  </si>
  <si>
    <t>tescalcin b [Source:ZFIN;Acc:ZDB-GENE-040426-1903]</t>
  </si>
  <si>
    <t>rsph9</t>
  </si>
  <si>
    <t>ENSDARG00000017355</t>
  </si>
  <si>
    <t>radial spoke head 9 homolog [Source:ZFIN;Acc:ZDB-GENE-051120-129]</t>
  </si>
  <si>
    <t>ccdc151</t>
  </si>
  <si>
    <t>ENSDARG00000062978</t>
  </si>
  <si>
    <t>coiled-coil domain containing 151 [Source:ZFIN;Acc:ZDB-GENE-061013-787]</t>
  </si>
  <si>
    <t>twf2b</t>
  </si>
  <si>
    <t>ENSDARG00000009727</t>
  </si>
  <si>
    <t>twinfilin actin-binding protein 2b [Source:ZFIN;Acc:ZDB-GENE-050522-238]</t>
  </si>
  <si>
    <t>tmem240b</t>
  </si>
  <si>
    <t>ENSDARG00000090145</t>
  </si>
  <si>
    <t>transmembrane protein 240b [Source:ZFIN;Acc:ZDB-GENE-131127-474]</t>
  </si>
  <si>
    <t>si:ch211-270n8.4</t>
  </si>
  <si>
    <t>ENSDARG00000094423</t>
  </si>
  <si>
    <t>si:ch211-270n8.4 [Source:ZFIN;Acc:ZDB-GENE-081028-70]</t>
  </si>
  <si>
    <t>zgc:198419</t>
  </si>
  <si>
    <t>ENSDARG00000076221</t>
  </si>
  <si>
    <t>zgc:198419 [Source:ZFIN;Acc:ZDB-GENE-030131-7540]</t>
  </si>
  <si>
    <t>si:ch73-199k24.2</t>
  </si>
  <si>
    <t>ENSDARG00000089149</t>
  </si>
  <si>
    <t>si:ch73-199k24.2 [Source:ZFIN;Acc:ZDB-GENE-131121-321]</t>
  </si>
  <si>
    <t>kif1aa</t>
  </si>
  <si>
    <t>ENSDARG00000061817</t>
  </si>
  <si>
    <t>kinesin family member 1Aa [Source:ZFIN;Acc:ZDB-GENE-100913-3]</t>
  </si>
  <si>
    <t>tekt4</t>
  </si>
  <si>
    <t>ENSDARG00000028899</t>
  </si>
  <si>
    <t>tektin 4 [Source:ZFIN;Acc:ZDB-GENE-070410-98]</t>
  </si>
  <si>
    <t>atp1b2b</t>
  </si>
  <si>
    <t>ENSDARG00000034424</t>
  </si>
  <si>
    <t>ATPase, Na+/K+ transporting, beta 2b polypeptide [Source:ZFIN;Acc:ZDB-GENE-010718-1]</t>
  </si>
  <si>
    <t>sh2d4bb</t>
  </si>
  <si>
    <t>ENSDARG00000015144</t>
  </si>
  <si>
    <t>SH2 domain containing 4Bb [Source:ZFIN;Acc:ZDB-GENE-130531-42]</t>
  </si>
  <si>
    <t>si:ch211-163l21.7</t>
  </si>
  <si>
    <t>ENSDARG00000034457</t>
  </si>
  <si>
    <t>si:ch211-163l21.7 [Source:ZFIN;Acc:ZDB-GENE-081105-176]</t>
  </si>
  <si>
    <t>BX511021.2</t>
  </si>
  <si>
    <t>ENSDARG00000073936</t>
  </si>
  <si>
    <t>rsph14</t>
  </si>
  <si>
    <t>ENSDARG00000017983</t>
  </si>
  <si>
    <t>radial spoke head 14 homolog (Chlamydomonas) [Source:ZFIN;Acc:ZDB-GENE-081104-375]</t>
  </si>
  <si>
    <t>si:dkey-229d2.7</t>
  </si>
  <si>
    <t>ENSDARG00000092460</t>
  </si>
  <si>
    <t>si:dkey-229d2.7 [Source:ZFIN;Acc:ZDB-GENE-060526-265]</t>
  </si>
  <si>
    <t>EFCAB10</t>
  </si>
  <si>
    <t>ENSDARG00000092825</t>
  </si>
  <si>
    <t>si:dkey-42p14.3 [Source:ZFIN;Acc:ZDB-GENE-041111-13]</t>
  </si>
  <si>
    <t>otofa</t>
  </si>
  <si>
    <t>ENSDARG00000030832</t>
  </si>
  <si>
    <t>otoferlin a [Source:ZFIN;Acc:ZDB-GENE-030131-7778]</t>
  </si>
  <si>
    <t>arpp21</t>
  </si>
  <si>
    <t>ENSDARG00000061081</t>
  </si>
  <si>
    <t>cAMP-regulated phosphoprotein, 21 [Source:ZFIN;Acc:ZDB-GENE-081104-296]</t>
  </si>
  <si>
    <t>calml4a</t>
  </si>
  <si>
    <t>ENSDARG00000075800</t>
  </si>
  <si>
    <t>calmodulin-like 4a [Source:ZFIN;Acc:ZDB-GENE-081022-9]</t>
  </si>
  <si>
    <t>ppp1r42</t>
  </si>
  <si>
    <t>ENSDARG00000057632</t>
  </si>
  <si>
    <t>protein phosphatase 1, regulatory subunit 42 [Source:ZFIN;Acc:ZDB-GENE-040704-43]</t>
  </si>
  <si>
    <t>cfap126</t>
  </si>
  <si>
    <t>ENSDARG00000070868</t>
  </si>
  <si>
    <t>cilia and flagella associated protein 126 [Source:ZFIN;Acc:ZDB-GENE-060825-357]</t>
  </si>
  <si>
    <t>capsla</t>
  </si>
  <si>
    <t>ENSDARG00000103521</t>
  </si>
  <si>
    <t>calcyphosine-like a [Source:ZFIN;Acc:ZDB-GENE-030131-7291]</t>
  </si>
  <si>
    <t>tpd52l1</t>
  </si>
  <si>
    <t>ENSDARG00000042548</t>
  </si>
  <si>
    <t>tumor protein D52-like 1 [Source:ZFIN;Acc:ZDB-GENE-050522-121]</t>
  </si>
  <si>
    <t>BX510946.1</t>
  </si>
  <si>
    <t>ENSDARG00000100901</t>
  </si>
  <si>
    <t>ccdc114</t>
  </si>
  <si>
    <t>ENSDARG00000015010</t>
  </si>
  <si>
    <t>coiled-coil domain containing 114 [Source:ZFIN;Acc:ZDB-GENE-041114-110]</t>
  </si>
  <si>
    <t>iqcg</t>
  </si>
  <si>
    <t>ENSDARG00000068678</t>
  </si>
  <si>
    <t>IQ motif containing G [Source:ZFIN;Acc:ZDB-GENE-050419-109]</t>
  </si>
  <si>
    <t>osbpl1a</t>
  </si>
  <si>
    <t>ENSDARG00000105147</t>
  </si>
  <si>
    <t>oxysterol binding protein-like 1A [Source:ZFIN;Acc:ZDB-GENE-050208-657]</t>
  </si>
  <si>
    <t>dnali1</t>
  </si>
  <si>
    <t>ENSDARG00000069815</t>
  </si>
  <si>
    <t>dynein, axonemal, light intermediate chain 1 [Source:ZFIN;Acc:ZDB-GENE-080204-7]</t>
  </si>
  <si>
    <t>ribc1</t>
  </si>
  <si>
    <t>ENSDARG00000055739</t>
  </si>
  <si>
    <t>RIB43A domain with coiled-coils 1 [Source:ZFIN;Acc:ZDB-GENE-081031-7]</t>
  </si>
  <si>
    <t>atp2b1a</t>
  </si>
  <si>
    <t>ENSDARG00000012684</t>
  </si>
  <si>
    <t>ATPase, Ca++ transporting, plasma membrane 1a [Source:ZFIN;Acc:ZDB-GENE-030925-29]</t>
  </si>
  <si>
    <t>ropn1l</t>
  </si>
  <si>
    <t>ENSDARG00000058370</t>
  </si>
  <si>
    <t>rhophilin associated tail protein 1-like [Source:ZFIN;Acc:ZDB-GENE-040724-235]</t>
  </si>
  <si>
    <t>PIFO</t>
  </si>
  <si>
    <t>ENSDARG00000097071</t>
  </si>
  <si>
    <t>si:ch211-66i15.4 [Source:ZFIN;Acc:ZDB-GENE-090313-121]</t>
  </si>
  <si>
    <t>CABZ01067746.1</t>
  </si>
  <si>
    <t>ENSDARG00000086059</t>
  </si>
  <si>
    <t>zgc:171775</t>
  </si>
  <si>
    <t>ENSDARG00000058381</t>
  </si>
  <si>
    <t>zgc:171775 [Source:ZFIN;Acc:ZDB-GENE-030131-4309]</t>
  </si>
  <si>
    <t>ccdc173</t>
  </si>
  <si>
    <t>ENSDARG00000077928</t>
  </si>
  <si>
    <t>coiled-coil domain containing 173 [Source:ZFIN;Acc:ZDB-GENE-081104-457]</t>
  </si>
  <si>
    <t>cfap45</t>
  </si>
  <si>
    <t>ENSDARG00000068103</t>
  </si>
  <si>
    <t>cilia and flagella associated protein 45 [Source:ZFIN;Acc:ZDB-GENE-070209-143]</t>
  </si>
  <si>
    <t>rtn4rl2b</t>
  </si>
  <si>
    <t>ENSDARG00000037495</t>
  </si>
  <si>
    <t>reticulon 4 receptor-like 2b [Source:ZFIN;Acc:ZDB-GENE-040310-2]</t>
  </si>
  <si>
    <t>zgc:171713</t>
  </si>
  <si>
    <t>ENSDARG00000075515</t>
  </si>
  <si>
    <t>zgc:171713 [Source:ZFIN;Acc:ZDB-GENE-070820-17]</t>
  </si>
  <si>
    <t>DYNLRB2</t>
  </si>
  <si>
    <t>ENSDARG00000089952</t>
  </si>
  <si>
    <t>si:ch211-147k9.8 [Source:ZFIN;Acc:ZDB-GENE-120709-101]</t>
  </si>
  <si>
    <t>si:dkey-43k4.3</t>
  </si>
  <si>
    <t>ENSDARG00000052428</t>
  </si>
  <si>
    <t>si:dkey-43k4.3 [Source:ZFIN;Acc:ZDB-GENE-120215-146]</t>
  </si>
  <si>
    <t>eno1a</t>
  </si>
  <si>
    <t>ENSDARG00000022456</t>
  </si>
  <si>
    <t>enolase 1a, (alpha) [Source:ZFIN;Acc:ZDB-GENE-030131-6048]</t>
  </si>
  <si>
    <t>efhc1</t>
  </si>
  <si>
    <t>ENSDARG00000009743</t>
  </si>
  <si>
    <t>EF-hand domain (C-terminal) containing 1 [Source:ZFIN;Acc:ZDB-GENE-040426-1300]</t>
  </si>
  <si>
    <t>scg5.1</t>
  </si>
  <si>
    <t>ENSDARG00000077045</t>
  </si>
  <si>
    <t>si:ch211-172l8.4</t>
  </si>
  <si>
    <t>ENSDARG00000101577</t>
  </si>
  <si>
    <t>si:ch211-172l8.4 [Source:ZFIN;Acc:ZDB-GENE-131127-224]</t>
  </si>
  <si>
    <t>gipc3</t>
  </si>
  <si>
    <t>ENSDARG00000053074</t>
  </si>
  <si>
    <t>GIPC PDZ domain containing family, member 3 [Source:ZFIN;Acc:ZDB-GENE-060616-326]</t>
  </si>
  <si>
    <t>lrrc73</t>
  </si>
  <si>
    <t>ENSDARG00000063411</t>
  </si>
  <si>
    <t>leucine rich repeat containing 73 [Source:ZFIN;Acc:ZDB-GENE-111118-2]</t>
  </si>
  <si>
    <t>IQCA1L</t>
  </si>
  <si>
    <t>ENSDARG00000069230</t>
  </si>
  <si>
    <t>zgc:153738 [Source:ZFIN;Acc:ZDB-GENE-061013-622]</t>
  </si>
  <si>
    <t>si:ch211-255p10.3</t>
  </si>
  <si>
    <t>ENSDARG00000096616</t>
  </si>
  <si>
    <t>si:ch211-255p10.3 [Source:ZFIN;Acc:ZDB-GENE-121214-339]</t>
  </si>
  <si>
    <t>RASSF5</t>
  </si>
  <si>
    <t>ENSDARG00000070601</t>
  </si>
  <si>
    <t>si:dkey-85p17.3 [Source:ZFIN;Acc:ZDB-GENE-141219-8]</t>
  </si>
  <si>
    <t>aldocb</t>
  </si>
  <si>
    <t>ENSDARG00000019702</t>
  </si>
  <si>
    <t>aldolase C, fructose-bisphosphate, b [Source:ZFIN;Acc:ZDB-GENE-030821-1]</t>
  </si>
  <si>
    <t>galnt11</t>
  </si>
  <si>
    <t>ENSDARG00000063636</t>
  </si>
  <si>
    <t>UDP-N-acetyl-alpha-D-galactosamine:polypeptide N-acetylgalactosaminyltransferase 11 (GalNAc-T11) [Source:ZFIN;Acc:ZDB-GENE-060929-998]</t>
  </si>
  <si>
    <t>sncb</t>
  </si>
  <si>
    <t>ENSDARG00000104945</t>
  </si>
  <si>
    <t>synuclein, beta [Source:ZFIN;Acc:ZDB-GENE-040426-1615]</t>
  </si>
  <si>
    <t>catip</t>
  </si>
  <si>
    <t>ENSDARG00000063009</t>
  </si>
  <si>
    <t>ciliogenesis associated TTC17 interacting protein [Source:ZFIN;Acc:ZDB-GENE-060929-1170]</t>
  </si>
  <si>
    <t>sh3glb2b</t>
  </si>
  <si>
    <t>ENSDARG00000035470</t>
  </si>
  <si>
    <t>SH3-domain GRB2-like endophilin B2b [Source:ZFIN;Acc:ZDB-GENE-040426-833]</t>
  </si>
  <si>
    <t>armc3</t>
  </si>
  <si>
    <t>ENSDARG00000074708</t>
  </si>
  <si>
    <t>armadillo repeat containing 3 [Source:ZFIN;Acc:ZDB-GENE-110614-1]</t>
  </si>
  <si>
    <t>MPV17L</t>
  </si>
  <si>
    <t>ENSDARG00000104457</t>
  </si>
  <si>
    <t>si:dkeyp-72e1.7 [Source:ZFIN;Acc:ZDB-GENE-120215-229]</t>
  </si>
  <si>
    <t>si:dkeyp-50b9.1</t>
  </si>
  <si>
    <t>ENSDARG00000097421</t>
  </si>
  <si>
    <t>si:dkeyp-50b9.1 [Source:ZFIN;Acc:ZDB-GENE-131127-254]</t>
  </si>
  <si>
    <t>asap1b</t>
  </si>
  <si>
    <t>ENSDARG00000039729</t>
  </si>
  <si>
    <t>ArfGAP with SH3 domain, ankyrin repeat and PH domain 1b [Source:ZFIN;Acc:ZDB-GENE-091112-16]</t>
  </si>
  <si>
    <t>ribc2</t>
  </si>
  <si>
    <t>ENSDARG00000075177</t>
  </si>
  <si>
    <t>RIB43A domain with coiled-coils 2 [Source:ZFIN;Acc:ZDB-GENE-050411-27]</t>
  </si>
  <si>
    <t>sh2d4ba</t>
  </si>
  <si>
    <t>ENSDARG00000069374</t>
  </si>
  <si>
    <t>SH2 domain containing 4Ba [Source:ZFIN;Acc:ZDB-GENE-090313-53]</t>
  </si>
  <si>
    <t>mkrn2os.2</t>
  </si>
  <si>
    <t>ENSDARG00000100728</t>
  </si>
  <si>
    <t>MKRN2 opposite strand, tandem duplicate 2 [Source:ZFIN;Acc:ZDB-GENE-160114-87]</t>
  </si>
  <si>
    <t>ift27</t>
  </si>
  <si>
    <t>ENSDARG00000099279</t>
  </si>
  <si>
    <t>intraflagellar transport 27 homolog (Chlamydomonas) [Source:ZFIN;Acc:ZDB-GENE-041212-9]</t>
  </si>
  <si>
    <t>gpx1b</t>
  </si>
  <si>
    <t>ENSDARG00000006207</t>
  </si>
  <si>
    <t>glutathione peroxidase 1b [Source:ZFIN;Acc:ZDB-GENE-040912-60]</t>
  </si>
  <si>
    <t>DCDC2C</t>
  </si>
  <si>
    <t>ENSDARG00000103264</t>
  </si>
  <si>
    <t>si:dkey-25g12.4 [Source:ZFIN;Acc:ZDB-GENE-160113-73]</t>
  </si>
  <si>
    <t>si:dkey-19b23.13</t>
  </si>
  <si>
    <t>ENSDARG00000061850</t>
  </si>
  <si>
    <t>si:dkey-19b23.13 [Source:ZFIN;Acc:ZDB-GENE-140106-78]</t>
  </si>
  <si>
    <t>foxj1a</t>
  </si>
  <si>
    <t>ENSDARG00000101919</t>
  </si>
  <si>
    <t>forkhead box J1a [Source:ZFIN;Acc:ZDB-GENE-060929-1178]</t>
  </si>
  <si>
    <t>got1l1</t>
  </si>
  <si>
    <t>ENSDARG00000053644</t>
  </si>
  <si>
    <t>glutamic-oxaloacetic transaminase 1-like 1 [Source:ZFIN;Acc:ZDB-GENE-060929-556]</t>
  </si>
  <si>
    <t>apba1a</t>
  </si>
  <si>
    <t>ENSDARG00000103848</t>
  </si>
  <si>
    <t>amyloid beta (A4) precursor protein-binding, family A, member 1a [Source:ZFIN;Acc:ZDB-GENE-060526-175]</t>
  </si>
  <si>
    <t>elovl4b</t>
  </si>
  <si>
    <t>ENSDARG00000027495</t>
  </si>
  <si>
    <t>ELOVL fatty acid elongase 4b [Source:ZFIN;Acc:ZDB-GENE-030131-7672]</t>
  </si>
  <si>
    <t>xrra1</t>
  </si>
  <si>
    <t>ENSDARG00000089578</t>
  </si>
  <si>
    <t>X-ray radiation resistance associated 1 [Source:ZFIN;Acc:ZDB-GENE-101216-2]</t>
  </si>
  <si>
    <t>ap3m2</t>
  </si>
  <si>
    <t>ENSDARG00000016128</t>
  </si>
  <si>
    <t>adaptor-related protein complex 3, mu 2 subunit [Source:ZFIN;Acc:ZDB-GENE-021022-2]</t>
  </si>
  <si>
    <t>spag6</t>
  </si>
  <si>
    <t>ENSDARG00000020158</t>
  </si>
  <si>
    <t>sperm associated antigen 6 [Source:ZFIN;Acc:ZDB-GENE-040704-53]</t>
  </si>
  <si>
    <t>si:ch73-81k8.2</t>
  </si>
  <si>
    <t>ENSDARG00000096777</t>
  </si>
  <si>
    <t>si:ch73-81k8.2 [Source:ZFIN;Acc:ZDB-GENE-130531-20]</t>
  </si>
  <si>
    <t>tuba1a</t>
  </si>
  <si>
    <t>ENSDARG00000001889</t>
  </si>
  <si>
    <t>tubulin, alpha 1a [Source:ZFIN;Acc:ZDB-GENE-090507-4]</t>
  </si>
  <si>
    <t>cdh8</t>
  </si>
  <si>
    <t>ENSDARG00000037478</t>
  </si>
  <si>
    <t>cadherin 8 [Source:ZFIN;Acc:ZDB-GENE-130530-597]</t>
  </si>
  <si>
    <t>cnot10</t>
  </si>
  <si>
    <t>ENSDARG00000058528</t>
  </si>
  <si>
    <t>CCR4-NOT transcription complex, subunit 10 [Source:ZFIN;Acc:ZDB-GENE-060929-368]</t>
  </si>
  <si>
    <t>si:dkey-280e21.3</t>
  </si>
  <si>
    <t>ENSDARG00000056519</t>
  </si>
  <si>
    <t>si:dkey-280e21.3 [Source:ZFIN;Acc:ZDB-GENE-140106-61]</t>
  </si>
  <si>
    <t>grxcr1</t>
  </si>
  <si>
    <t>ENSDARG00000069865</t>
  </si>
  <si>
    <t>glutaredoxin, cysteine rich 1 [Source:ZFIN;Acc:ZDB-GENE-070424-166]</t>
  </si>
  <si>
    <t>cfap52</t>
  </si>
  <si>
    <t>ENSDARG00000101679</t>
  </si>
  <si>
    <t>cilia and flagella associated protein 52 [Source:ZFIN;Acc:ZDB-GENE-050522-296]</t>
  </si>
  <si>
    <t>gpr156</t>
  </si>
  <si>
    <t>ENSDARG00000086215</t>
  </si>
  <si>
    <t>G protein-coupled receptor 156 [Source:ZFIN;Acc:ZDB-GENE-060201-2]</t>
  </si>
  <si>
    <t>baiap2l2b</t>
  </si>
  <si>
    <t>ENSDARG00000060933</t>
  </si>
  <si>
    <t>BAI1-associated protein 2-like 2b [Source:ZFIN;Acc:ZDB-GENE-060503-339]</t>
  </si>
  <si>
    <t>rdh12</t>
  </si>
  <si>
    <t>ENSDARG00000018069</t>
  </si>
  <si>
    <t>retinol dehydrogenase 12 (all-trans/9-cis/11-cis) [Source:ZFIN;Acc:ZDB-GENE-040718-9]</t>
  </si>
  <si>
    <t>ttll9</t>
  </si>
  <si>
    <t>ENSDARG00000062806</t>
  </si>
  <si>
    <t>tubulin tyrosine ligase-like family, member 9 [Source:ZFIN;Acc:ZDB-GENE-030131-1582]</t>
  </si>
  <si>
    <t>rprma</t>
  </si>
  <si>
    <t>ENSDARG00000053383</t>
  </si>
  <si>
    <t>reprimo, TP53 dependent G2 arrest mediator candidate a [Source:ZFIN;Acc:ZDB-GENE-050522-218]</t>
  </si>
  <si>
    <t>s100s</t>
  </si>
  <si>
    <t>ENSDARG00000036773</t>
  </si>
  <si>
    <t>S100 calcium binding protein S [Source:ZFIN;Acc:ZDB-GENE-040822-31]</t>
  </si>
  <si>
    <t>tuba1c</t>
  </si>
  <si>
    <t>ENSDARG00000055216</t>
  </si>
  <si>
    <t>tubulin, alpha 1c [Source:ZFIN;Acc:ZDB-GENE-061114-1]</t>
  </si>
  <si>
    <t>lrriq1</t>
  </si>
  <si>
    <t>ENSDARG00000093781</t>
  </si>
  <si>
    <t>leucine-rich repeats and IQ motif containing 1 [Source:ZFIN;Acc:ZDB-GENE-050419-235]</t>
  </si>
  <si>
    <t>atp6v1c2</t>
  </si>
  <si>
    <t>ENSDARG00000070440</t>
  </si>
  <si>
    <t>ATPase, H+ transporting, lysosomal, V1 subunit C2 [Source:ZFIN;Acc:ZDB-GENE-131127-65]</t>
  </si>
  <si>
    <t>cfap58</t>
  </si>
  <si>
    <t>ENSDARG00000069435</t>
  </si>
  <si>
    <t>cilia and flagella associated protein 58 [Source:ZFIN;Acc:ZDB-GENE-060929-128]</t>
  </si>
  <si>
    <t>clic5b</t>
  </si>
  <si>
    <t>ENSDARG00000070584</t>
  </si>
  <si>
    <t>chloride intracellular channel 5b [Source:ZFIN;Acc:ZDB-GENE-040426-2542]</t>
  </si>
  <si>
    <t>tbata</t>
  </si>
  <si>
    <t>ENSDARG00000067831</t>
  </si>
  <si>
    <t>thymus, brain and testes associated [Source:ZFIN;Acc:ZDB-GENE-121030-4]</t>
  </si>
  <si>
    <t>parp6b</t>
  </si>
  <si>
    <t>ENSDARG00000070473</t>
  </si>
  <si>
    <t>poly (ADP-ribose) polymerase family, member 6b [Source:ZFIN;Acc:ZDB-GENE-080219-1]</t>
  </si>
  <si>
    <t>lrrc51</t>
  </si>
  <si>
    <t>ENSDARG00000040668</t>
  </si>
  <si>
    <t>leucine rich repeat containing 51 [Source:ZFIN;Acc:ZDB-GENE-060929-962]</t>
  </si>
  <si>
    <t>osbp2</t>
  </si>
  <si>
    <t>ENSDARG00000053487</t>
  </si>
  <si>
    <t>oxysterol binding protein 2 [Source:ZFIN;Acc:ZDB-GENE-091113-18]</t>
  </si>
  <si>
    <t>cfap53</t>
  </si>
  <si>
    <t>ENSDARG00000100892</t>
  </si>
  <si>
    <t>cilia and flagella associated protein 53 [Source:ZFIN;Acc:ZDB-GENE-060503-508]</t>
  </si>
  <si>
    <t>efcab1</t>
  </si>
  <si>
    <t>ENSDARG00000061377</t>
  </si>
  <si>
    <t>EF-hand calcium binding domain 1 [Source:ZFIN;Acc:ZDB-GENE-040914-40]</t>
  </si>
  <si>
    <t>gltpb</t>
  </si>
  <si>
    <t>ENSDARG00000077962</t>
  </si>
  <si>
    <t>glycolipid transfer protein b [Source:ZFIN;Acc:ZDB-GENE-091118-80]</t>
  </si>
  <si>
    <t>phactr3a</t>
  </si>
  <si>
    <t>ENSDARG00000058243</t>
  </si>
  <si>
    <t>phosphatase and actin regulator 3a [Source:ZFIN;Acc:ZDB-GENE-080220-4]</t>
  </si>
  <si>
    <t>zgc:153142</t>
  </si>
  <si>
    <t>ENSDARG00000069363</t>
  </si>
  <si>
    <t>zgc:153142 [Source:ZFIN;Acc:ZDB-GENE-061013-507]</t>
  </si>
  <si>
    <t>hsbp1a</t>
  </si>
  <si>
    <t>ENSDARG00000069425</t>
  </si>
  <si>
    <t>heat shock factor binding protein 1a [Source:ZFIN;Acc:ZDB-GENE-050320-136]</t>
  </si>
  <si>
    <t>atp1a3b</t>
  </si>
  <si>
    <t>ENSDARG00000104139</t>
  </si>
  <si>
    <t>ATPase, Na+/K+ transporting, alpha 3b polypeptide [Source:ZFIN;Acc:ZDB-GENE-001212-8]</t>
  </si>
  <si>
    <t>rbm24a</t>
  </si>
  <si>
    <t>ENSDARG00000102995</t>
  </si>
  <si>
    <t>RNA binding motif protein 24a [Source:ZFIN;Acc:ZDB-GENE-040628-1]</t>
  </si>
  <si>
    <t>itm2cb</t>
  </si>
  <si>
    <t>ENSDARG00000039650</t>
  </si>
  <si>
    <t>integral membrane protein 2Cb [Source:ZFIN;Acc:ZDB-GENE-030131-7806]</t>
  </si>
  <si>
    <t>iqub</t>
  </si>
  <si>
    <t>ENSDARG00000061899</t>
  </si>
  <si>
    <t>IQ motif and ubiquitin domain containing [Source:ZFIN;Acc:ZDB-GENE-110421-1]</t>
  </si>
  <si>
    <t>si:ch211-262i1.2</t>
  </si>
  <si>
    <t>ENSDARG00000100639</t>
  </si>
  <si>
    <t>si:ch211-262i1.2 [Source:ZFIN;Acc:ZDB-GENE-141216-186]</t>
  </si>
  <si>
    <t>srpk2</t>
  </si>
  <si>
    <t>ENSDARG00000029368</t>
  </si>
  <si>
    <t>SRSF protein kinase 2 [Source:ZFIN;Acc:ZDB-GENE-131105-1]</t>
  </si>
  <si>
    <t>iqck</t>
  </si>
  <si>
    <t>ENSDARG00000076831</t>
  </si>
  <si>
    <t>IQ motif containing K [Source:ZFIN;Acc:ZDB-GENE-081022-109]</t>
  </si>
  <si>
    <t>chrna9</t>
  </si>
  <si>
    <t>ENSDARG00000054680</t>
  </si>
  <si>
    <t>cholinergic receptor, nicotinic, alpha 9 [Source:ZFIN;Acc:ZDB-GENE-090312-63]</t>
  </si>
  <si>
    <t>ttc25</t>
  </si>
  <si>
    <t>ENSDARG00000058140</t>
  </si>
  <si>
    <t>tetratricopeptide repeat domain 25 [Source:ZFIN;Acc:ZDB-GENE-040426-995]</t>
  </si>
  <si>
    <t>si:ch211-38m6.6</t>
  </si>
  <si>
    <t>ENSDARG00000076959</t>
  </si>
  <si>
    <t>si:ch211-38m6.6 [Source:ZFIN;Acc:ZDB-GENE-070705-179]</t>
  </si>
  <si>
    <t>tekt3</t>
  </si>
  <si>
    <t>ENSDARG00000045038</t>
  </si>
  <si>
    <t>tektin 3 [Source:ZFIN;Acc:ZDB-GENE-080130-2]</t>
  </si>
  <si>
    <t>tmem107l</t>
  </si>
  <si>
    <t>ENSDARG00000088398</t>
  </si>
  <si>
    <t>transmembrane protein 107 like [Source:ZFIN;Acc:ZDB-GENE-090313-269]</t>
  </si>
  <si>
    <t>CFAP70</t>
  </si>
  <si>
    <t>ENSDARG00000058508</t>
  </si>
  <si>
    <t>si:dkey-254e1.1 [Source:ZFIN;Acc:ZDB-GENE-091204-50]</t>
  </si>
  <si>
    <t>ak8</t>
  </si>
  <si>
    <t>ENSDARG00000030961</t>
  </si>
  <si>
    <t>adenylate kinase 8 [Source:ZFIN;Acc:ZDB-GENE-050522-275]</t>
  </si>
  <si>
    <t>efcab2</t>
  </si>
  <si>
    <t>ENSDARG00000074323</t>
  </si>
  <si>
    <t>EF-hand calcium binding domain 2 [Source:ZFIN;Acc:ZDB-GENE-070521-5]</t>
  </si>
  <si>
    <t>fscn2b</t>
  </si>
  <si>
    <t>ENSDARG00000074396</t>
  </si>
  <si>
    <t>fascin actin-bundling protein 2b, retinal [Source:ZFIN;Acc:ZDB-GENE-040426-1740]</t>
  </si>
  <si>
    <t>lmo7b</t>
  </si>
  <si>
    <t>ENSDARG00000053535</t>
  </si>
  <si>
    <t>LIM domain 7b [Source:ZFIN;Acc:ZDB-GENE-060825-242]</t>
  </si>
  <si>
    <t>lrrc6</t>
  </si>
  <si>
    <t>ENSDARG00000053318</t>
  </si>
  <si>
    <t>leucine rich repeat containing 6 [Source:ZFIN;Acc:ZDB-GENE-040827-2]</t>
  </si>
  <si>
    <t>capslb</t>
  </si>
  <si>
    <t>ENSDARG00000003414</t>
  </si>
  <si>
    <t>calcyphosine-like b [Source:ZFIN;Acc:ZDB-GENE-050417-298]</t>
  </si>
  <si>
    <t>cnrip1a</t>
  </si>
  <si>
    <t>ENSDARG00000091683</t>
  </si>
  <si>
    <t>cannabinoid receptor interacting protein 1a [Source:ZFIN;Acc:ZDB-GENE-040801-126]</t>
  </si>
  <si>
    <t>pou4f1</t>
  </si>
  <si>
    <t>ENSDARG00000005559</t>
  </si>
  <si>
    <t>POU class 4 homeobox 1 [Source:ZFIN;Acc:ZDB-GENE-000523-2]</t>
  </si>
  <si>
    <t>skor1a</t>
  </si>
  <si>
    <t>ENSDARG00000069030</t>
  </si>
  <si>
    <t>SKI family transcriptional corepressor 1a [Source:ZFIN;Acc:ZDB-GENE-080722-5]</t>
  </si>
  <si>
    <t>rcan3</t>
  </si>
  <si>
    <t>ENSDARG00000032623</t>
  </si>
  <si>
    <t>regulator of calcineurin 3 [Source:ZFIN;Acc:ZDB-GENE-040718-445]</t>
  </si>
  <si>
    <t>ndufa4</t>
  </si>
  <si>
    <t>ENSDARG00000056108</t>
  </si>
  <si>
    <t>NADH dehydrogenase (ubiquinone) 1 alpha subcomplex, 4 [Source:ZFIN;Acc:ZDB-GENE-040426-1962]</t>
  </si>
  <si>
    <t>prdm1a</t>
  </si>
  <si>
    <t>ENSDARG00000002445</t>
  </si>
  <si>
    <t>PR domain containing 1a, with ZNF domain [Source:ZFIN;Acc:ZDB-GENE-030131-2193]</t>
  </si>
  <si>
    <t>zgc:153146</t>
  </si>
  <si>
    <t>ENSDARG00000037142</t>
  </si>
  <si>
    <t>zgc:153146 [Source:ZFIN;Acc:ZDB-GENE-060825-339]</t>
  </si>
  <si>
    <t>si:ch211-93n23.7</t>
  </si>
  <si>
    <t>ENSDARG00000089552</t>
  </si>
  <si>
    <t>si:ch211-93n23.7 [Source:ZFIN;Acc:ZDB-GENE-141222-51]</t>
  </si>
  <si>
    <t>CFAP99</t>
  </si>
  <si>
    <t>ENSDARG00000097485</t>
  </si>
  <si>
    <t>cilia and flagella associated protein 99 [Source:HGNC Symbol;Acc:HGNC:51180]</t>
  </si>
  <si>
    <t>anxa5a</t>
  </si>
  <si>
    <t>ENSDARG00000026406</t>
  </si>
  <si>
    <t>annexin A5a [Source:ZFIN;Acc:ZDB-GENE-080220-29]</t>
  </si>
  <si>
    <t>axdnd1</t>
  </si>
  <si>
    <t>ENSDARG00000062355</t>
  </si>
  <si>
    <t>axonemal dynein light chain domain containing 1 [Source:ZFIN;Acc:ZDB-GENE-050208-341]</t>
  </si>
  <si>
    <t>amph</t>
  </si>
  <si>
    <t>ENSDARG00000007663</t>
  </si>
  <si>
    <t>amphiphysin [Source:ZFIN;Acc:ZDB-GENE-040426-1711]</t>
  </si>
  <si>
    <t>si:dkeyp-122d12.1</t>
  </si>
  <si>
    <t>ENSDARG00000096684</t>
  </si>
  <si>
    <t>si:dkeyp-122d12.1 [Source:ZFIN;Acc:ZDB-GENE-131126-80]</t>
  </si>
  <si>
    <t>atp6v1c1b</t>
  </si>
  <si>
    <t>ENSDARG00000035880</t>
  </si>
  <si>
    <t>ATPase, H+ transporting, lysosomal, V1 subunit C1b [Source:ZFIN;Acc:ZDB-GENE-041010-104]</t>
  </si>
  <si>
    <t>prdx1</t>
  </si>
  <si>
    <t>ENSDARG00000058734</t>
  </si>
  <si>
    <t>peroxiredoxin 1 [Source:ZFIN;Acc:ZDB-GENE-050320-35]</t>
  </si>
  <si>
    <t>capga</t>
  </si>
  <si>
    <t>ENSDARG00000035560</t>
  </si>
  <si>
    <t>capping protein (actin filament), gelsolin-like a [Source:ZFIN;Acc:ZDB-GENE-060531-6]</t>
  </si>
  <si>
    <t>KIF9</t>
  </si>
  <si>
    <t>ENSDARG00000031693</t>
  </si>
  <si>
    <t>si:dkey-86l18.8 [Source:ZFIN;Acc:ZDB-GENE-160728-129]</t>
  </si>
  <si>
    <t>atp6v0cb</t>
  </si>
  <si>
    <t>ENSDARG00000036577</t>
  </si>
  <si>
    <t>ATPase, H+ transporting, lysosomal, V0 subunit cb [Source:ZFIN;Acc:ZDB-GENE-030131-4127]</t>
  </si>
  <si>
    <t>dpysl3</t>
  </si>
  <si>
    <t>ENSDARG00000002587</t>
  </si>
  <si>
    <t>dihydropyrimidinase-like 3 [Source:ZFIN;Acc:ZDB-GENE-050720-2]</t>
  </si>
  <si>
    <t>upf3a</t>
  </si>
  <si>
    <t>ENSDARG00000069297</t>
  </si>
  <si>
    <t>UPF3 regulator of nonsense transcripts homolog A (yeast) [Source:ZFIN;Acc:ZDB-GENE-060721-2]</t>
  </si>
  <si>
    <t>si:ch73-111k22.3</t>
  </si>
  <si>
    <t>ENSDARG00000103492</t>
  </si>
  <si>
    <t>si:ch73-111k22.3 [Source:ZFIN;Acc:ZDB-GENE-141212-371]</t>
  </si>
  <si>
    <t>drc3</t>
  </si>
  <si>
    <t>ENSDARG00000041300</t>
  </si>
  <si>
    <t>dynein regulatory complex subunit 3 [Source:ZFIN;Acc:ZDB-GENE-061103-349]</t>
  </si>
  <si>
    <t>HSPB11</t>
  </si>
  <si>
    <t>ENSDARG00000067777</t>
  </si>
  <si>
    <t>zgc:158640 [Source:ZFIN;Acc:ZDB-GENE-061215-15]</t>
  </si>
  <si>
    <t>si:dkey-70b23.2</t>
  </si>
  <si>
    <t>ENSDARG00000093783</t>
  </si>
  <si>
    <t>si:dkey-70b23.2 [Source:ZFIN;Acc:ZDB-GENE-100922-241]</t>
  </si>
  <si>
    <t>mycbpap</t>
  </si>
  <si>
    <t>ENSDARG00000069194</t>
  </si>
  <si>
    <t>mycbp associated protein [Source:ZFIN;Acc:ZDB-GENE-080923-1]</t>
  </si>
  <si>
    <t>tmc2a</t>
  </si>
  <si>
    <t>ENSDARG00000033104</t>
  </si>
  <si>
    <t>transmembrane channel-like 2a [Source:ZFIN;Acc:ZDB-GENE-060526-280]</t>
  </si>
  <si>
    <t>morn2</t>
  </si>
  <si>
    <t>ENSDARG00000071360</t>
  </si>
  <si>
    <t>MORN repeat containing 2 [Source:ZFIN;Acc:ZDB-GENE-060825-230]</t>
  </si>
  <si>
    <t>micall2a</t>
  </si>
  <si>
    <t>ENSDARG00000102366</t>
  </si>
  <si>
    <t>mical-like 2a [Source:ZFIN;Acc:ZDB-GENE-030131-5409]</t>
  </si>
  <si>
    <t>cabp2b</t>
  </si>
  <si>
    <t>ENSDARG00000052277</t>
  </si>
  <si>
    <t>calcium binding protein 2b [Source:ZFIN;Acc:ZDB-GENE-081028-55]</t>
  </si>
  <si>
    <t>lrrc23</t>
  </si>
  <si>
    <t>ENSDARG00000006174</t>
  </si>
  <si>
    <t>leucine rich repeat containing 23 [Source:ZFIN;Acc:ZDB-GENE-041010-153]</t>
  </si>
  <si>
    <t>abhd2b</t>
  </si>
  <si>
    <t>ENSDARG00000045804</t>
  </si>
  <si>
    <t>abhydrolase domain containing 2b [Source:ZFIN;Acc:ZDB-GENE-061027-74]</t>
  </si>
  <si>
    <t>si:dkey-246i21.1</t>
  </si>
  <si>
    <t>ENSDARG00000093492</t>
  </si>
  <si>
    <t>si:dkey-246i21.1 [Source:ZFIN;Acc:ZDB-GENE-090313-271]</t>
  </si>
  <si>
    <t>si:dkey-16p21.8</t>
  </si>
  <si>
    <t>ENSDARG00000096849</t>
  </si>
  <si>
    <t>si:dkey-16p21.8 [Source:ZFIN;Acc:ZDB-GENE-131121-428]</t>
  </si>
  <si>
    <t>si:dkeyp-110e4.11</t>
  </si>
  <si>
    <t>ENSDARG00000071585</t>
  </si>
  <si>
    <t>si:dkeyp-110e4.11 [Source:ZFIN;Acc:ZDB-GENE-070424-267]</t>
  </si>
  <si>
    <t>si:ch211-248e11.2</t>
  </si>
  <si>
    <t>ENSDARG00000058940</t>
  </si>
  <si>
    <t>si:ch211-248e11.2 [Source:ZFIN;Acc:ZDB-GENE-081104-197]</t>
  </si>
  <si>
    <t>hsp90aa1.2</t>
  </si>
  <si>
    <t>ENSDARG00000024746</t>
  </si>
  <si>
    <t>heat shock protein 90, alpha (cytosolic), class A member 1, tandem duplicate 2 [Source:ZFIN;Acc:ZDB-GENE-031001-3]</t>
  </si>
  <si>
    <t>ccdc103</t>
  </si>
  <si>
    <t>ENSDARG00000053455</t>
  </si>
  <si>
    <t>coiled-coil domain containing 103 [Source:ZFIN;Acc:ZDB-GENE-040718-253]</t>
  </si>
  <si>
    <t>adipor1a</t>
  </si>
  <si>
    <t>ENSDARG00000002912</t>
  </si>
  <si>
    <t>adiponectin receptor 1a [Source:ZFIN;Acc:ZDB-GENE-040718-169]</t>
  </si>
  <si>
    <t>grtp1a</t>
  </si>
  <si>
    <t>ENSDARG00000029936</t>
  </si>
  <si>
    <t>growth hormone regulated TBC protein 1a [Source:ZFIN;Acc:ZDB-GENE-040426-2733]</t>
  </si>
  <si>
    <t>barhl1a</t>
  </si>
  <si>
    <t>ENSDARG00000035508</t>
  </si>
  <si>
    <t>BarH-like homeobox 1a [Source:ZFIN;Acc:ZDB-GENE-050417-212]</t>
  </si>
  <si>
    <t>zgc:173593</t>
  </si>
  <si>
    <t>ENSDARG00000077360</t>
  </si>
  <si>
    <t>zgc:173593 [Source:ZFIN;Acc:ZDB-GENE-071004-57]</t>
  </si>
  <si>
    <t>gstp2</t>
  </si>
  <si>
    <t>ENSDARG00000103019</t>
  </si>
  <si>
    <t>glutathione S-transferase pi 2 [Source:ZFIN;Acc:ZDB-GENE-050601-1]</t>
  </si>
  <si>
    <t>c10h21orf59</t>
  </si>
  <si>
    <t>ENSDARG00000035332</t>
  </si>
  <si>
    <t>c10h21orf59 homolog (H. sapiens) [Source:ZFIN;Acc:ZDB-GENE-040930-8]</t>
  </si>
  <si>
    <t>pih1d2</t>
  </si>
  <si>
    <t>ENSDARG00000014849</t>
  </si>
  <si>
    <t>PIH1 domain containing 2 [Source:ZFIN;Acc:ZDB-GENE-041212-54]</t>
  </si>
  <si>
    <t>rasd1</t>
  </si>
  <si>
    <t>ENSDARG00000019274</t>
  </si>
  <si>
    <t>RAS, dexamethasone-induced 1 [Source:ZFIN;Acc:ZDB-GENE-040426-1473]</t>
  </si>
  <si>
    <t>si:dkey-100n19.2</t>
  </si>
  <si>
    <t>ENSDARG00000075206</t>
  </si>
  <si>
    <t>si:dkey-100n19.2 [Source:ZFIN;Acc:ZDB-GENE-120711-2]</t>
  </si>
  <si>
    <t>ap1s2</t>
  </si>
  <si>
    <t>ENSDARG00000058504</t>
  </si>
  <si>
    <t>adaptor-related protein complex 1, sigma 2 subunit [Source:ZFIN;Acc:ZDB-GENE-030131-5448]</t>
  </si>
  <si>
    <t>ush1c</t>
  </si>
  <si>
    <t>ENSDARG00000051876</t>
  </si>
  <si>
    <t>Usher syndrome 1C [Source:ZFIN;Acc:ZDB-GENE-060312-41]</t>
  </si>
  <si>
    <t>fam131c</t>
  </si>
  <si>
    <t>ENSDARG00000037320</t>
  </si>
  <si>
    <t>family with sequence similarity 131, member C [Source:ZFIN;Acc:ZDB-GENE-050706-119]</t>
  </si>
  <si>
    <t>dyx1c1</t>
  </si>
  <si>
    <t>ENSDARG00000099161</t>
  </si>
  <si>
    <t>dyslexia susceptibility 1 candidate 1 [Source:ZFIN;Acc:ZDB-GENE-040426-1892]</t>
  </si>
  <si>
    <t>si:ch1073-416d2.4</t>
  </si>
  <si>
    <t>ENSDARG00000101867</t>
  </si>
  <si>
    <t>si:ch1073-416d2.4 [Source:ZFIN;Acc:ZDB-GENE-131121-564]</t>
  </si>
  <si>
    <t>bdnf</t>
  </si>
  <si>
    <t>ENSDARG00000018817</t>
  </si>
  <si>
    <t>brain-derived neurotrophic factor [Source:ZFIN;Acc:ZDB-GENE-000412-1]</t>
  </si>
  <si>
    <t>tmem178b</t>
  </si>
  <si>
    <t>ENSDARG00000006747</t>
  </si>
  <si>
    <t>transmembrane protein 178B [Source:ZFIN;Acc:ZDB-GENE-040718-92]</t>
  </si>
  <si>
    <t>OSCP1</t>
  </si>
  <si>
    <t>ENSDARG00000101888</t>
  </si>
  <si>
    <t>organic solute carrier partner 1 [Source:HGNC Symbol;Acc:HGNC:29971]</t>
  </si>
  <si>
    <t>dnajb13</t>
  </si>
  <si>
    <t>ENSDARG00000043157</t>
  </si>
  <si>
    <t>DnaJ (Hsp40) homolog, subfamily B, member 13 [Source:ZFIN;Acc:ZDB-GENE-040910-4]</t>
  </si>
  <si>
    <t>zgc:193811</t>
  </si>
  <si>
    <t>ENSDARG00000076745</t>
  </si>
  <si>
    <t>zgc:193811 [Source:ZFIN;Acc:ZDB-GENE-081022-43]</t>
  </si>
  <si>
    <t>klhl26</t>
  </si>
  <si>
    <t>ENSDARG00000053876</t>
  </si>
  <si>
    <t>kelch-like family member 26 [Source:ZFIN;Acc:ZDB-GENE-030131-5975]</t>
  </si>
  <si>
    <t>rnasekb</t>
  </si>
  <si>
    <t>ENSDARG00000104458</t>
  </si>
  <si>
    <t>ribonuclease, RNase K b [Source:ZFIN;Acc:ZDB-GENE-060825-160]</t>
  </si>
  <si>
    <t>ppil6</t>
  </si>
  <si>
    <t>ENSDARG00000042157</t>
  </si>
  <si>
    <t>peptidylprolyl isomerase (cyclophilin)-like 6 [Source:ZFIN;Acc:ZDB-GENE-050522-70]</t>
  </si>
  <si>
    <t>dytn</t>
  </si>
  <si>
    <t>ENSDARG00000071025</t>
  </si>
  <si>
    <t>dystrotelin [Source:ZFIN;Acc:ZDB-GENE-070124-2]</t>
  </si>
  <si>
    <t>desma</t>
  </si>
  <si>
    <t>ENSDARG00000058656</t>
  </si>
  <si>
    <t>desmin a [Source:ZFIN;Acc:ZDB-GENE-980526-221]</t>
  </si>
  <si>
    <t>spata6l</t>
  </si>
  <si>
    <t>ENSDARG00000004874</t>
  </si>
  <si>
    <t>spermatogenesis associated 6-like [Source:ZFIN;Acc:ZDB-GENE-040426-1369]</t>
  </si>
  <si>
    <t>fam188b2</t>
  </si>
  <si>
    <t>ENSDARG00000069867</t>
  </si>
  <si>
    <t>family with sequence similarity 188, member B2 [Source:ZFIN;Acc:ZDB-GENE-140127-1]</t>
  </si>
  <si>
    <t>cluap1</t>
  </si>
  <si>
    <t>ENSDARG00000079110</t>
  </si>
  <si>
    <t>clusterin associated protein 1 [Source:ZFIN;Acc:ZDB-GENE-040426-1943]</t>
  </si>
  <si>
    <t>myo3a</t>
  </si>
  <si>
    <t>ENSDARG00000010186</t>
  </si>
  <si>
    <t>myosin IIIA [Source:ZFIN;Acc:ZDB-GENE-041026-4]</t>
  </si>
  <si>
    <t>ap3d1</t>
  </si>
  <si>
    <t>ENSDARG00000071424</t>
  </si>
  <si>
    <t>adaptor-related protein complex 3, delta 1 subunit [Source:ZFIN;Acc:ZDB-GENE-050208-437]</t>
  </si>
  <si>
    <t>si:ch211-198b3.4</t>
  </si>
  <si>
    <t>ENSDARG00000089110</t>
  </si>
  <si>
    <t>si:ch211-198b3.4 [Source:ZFIN;Acc:ZDB-GENE-121119-1]</t>
  </si>
  <si>
    <t>dnal1</t>
  </si>
  <si>
    <t>ENSDARG00000034042</t>
  </si>
  <si>
    <t>dynein, axonemal, light chain 1 [Source:ZFIN;Acc:ZDB-GENE-040801-178]</t>
  </si>
  <si>
    <t>TSTD1</t>
  </si>
  <si>
    <t>ENSDARG00000071567</t>
  </si>
  <si>
    <t>si:dkey-34l15.1 [Source:ZFIN;Acc:ZDB-GENE-081107-63]</t>
  </si>
  <si>
    <t>si:ch211-243g18.2</t>
  </si>
  <si>
    <t>ENSDARG00000044261</t>
  </si>
  <si>
    <t>si:ch211-243g18.2 [Source:ZFIN;Acc:ZDB-GENE-030131-2830]</t>
  </si>
  <si>
    <t>gstp1</t>
  </si>
  <si>
    <t>ENSDARG00000104068</t>
  </si>
  <si>
    <t>glutathione S-transferase pi 1 [Source:ZFIN;Acc:ZDB-GENE-020806-4]</t>
  </si>
  <si>
    <t>tpi1a</t>
  </si>
  <si>
    <t>ENSDARG00000025012</t>
  </si>
  <si>
    <t>triosephosphate isomerase 1a [Source:ZFIN;Acc:ZDB-GENE-020416-3]</t>
  </si>
  <si>
    <t>si:ch211-189e2.2</t>
  </si>
  <si>
    <t>ENSDARG00000090489</t>
  </si>
  <si>
    <t>si:ch211-189e2.2 [Source:ZFIN;Acc:ZDB-GENE-131121-624]</t>
  </si>
  <si>
    <t>stk32a</t>
  </si>
  <si>
    <t>ENSDARG00000079499</t>
  </si>
  <si>
    <t>serine/threonine kinase 32A [Source:ZFIN;Acc:ZDB-GENE-091204-271]</t>
  </si>
  <si>
    <t>cfap100</t>
  </si>
  <si>
    <t>ENSDARG00000038538</t>
  </si>
  <si>
    <t>cilia and flagella associated protein 100 [Source:ZFIN;Acc:ZDB-GENE-060929-352]</t>
  </si>
  <si>
    <t>si:dkeyp-82a1.8</t>
  </si>
  <si>
    <t>ENSDARG00000095539</t>
  </si>
  <si>
    <t>si:dkeyp-82a1.8 [Source:ZFIN;Acc:ZDB-GENE-081104-479]</t>
  </si>
  <si>
    <t>dnajc12</t>
  </si>
  <si>
    <t>ENSDARG00000086691</t>
  </si>
  <si>
    <t>DnaJ (Hsp40) homolog, subfamily C, member 12 [Source:ZFIN;Acc:ZDB-GENE-070801-3]</t>
  </si>
  <si>
    <t>klhl30</t>
  </si>
  <si>
    <t>ENSDARG00000076094</t>
  </si>
  <si>
    <t>kelch-like family member 30 [Source:ZFIN;Acc:ZDB-GENE-100913-2]</t>
  </si>
  <si>
    <t>cfap57</t>
  </si>
  <si>
    <t>ENSDARG00000058090</t>
  </si>
  <si>
    <t>cilia and flagella associated protein 57 [Source:ZFIN;Acc:ZDB-GENE-110411-266]</t>
  </si>
  <si>
    <t>nsfa</t>
  </si>
  <si>
    <t>ENSDARG00000007654</t>
  </si>
  <si>
    <t>N-ethylmaleimide-sensitive factor a [Source:ZFIN;Acc:ZDB-GENE-030616-37]</t>
  </si>
  <si>
    <t>zgc:113691</t>
  </si>
  <si>
    <t>ENSDARG00000038898</t>
  </si>
  <si>
    <t>zgc:113691 [Source:ZFIN;Acc:ZDB-GENE-050220-7]</t>
  </si>
  <si>
    <t>rab3ip</t>
  </si>
  <si>
    <t>ENSDARG00000101908</t>
  </si>
  <si>
    <t>RAB3A interacting protein (rabin3) [Source:ZFIN;Acc:ZDB-GENE-050522-323]</t>
  </si>
  <si>
    <t>CABZ01118004.1</t>
  </si>
  <si>
    <t>ENSDARG00000104620</t>
  </si>
  <si>
    <t>clta</t>
  </si>
  <si>
    <t>ENSDARG00000045618</t>
  </si>
  <si>
    <t>clathrin, light chain A [Source:ZFIN;Acc:ZDB-GENE-040426-1986]</t>
  </si>
  <si>
    <t>s100t</t>
  </si>
  <si>
    <t>ENSDARG00000055589</t>
  </si>
  <si>
    <t>S100 calcium binding protein T [Source:ZFIN;Acc:ZDB-GENE-050320-61]</t>
  </si>
  <si>
    <t>PSMB10</t>
  </si>
  <si>
    <t>ENSDARG00000043781</t>
  </si>
  <si>
    <t>zgc:92791 [Source:ZFIN;Acc:ZDB-GENE-040718-278]</t>
  </si>
  <si>
    <t>zgc:109934</t>
  </si>
  <si>
    <t>ENSDARG00000094210</t>
  </si>
  <si>
    <t>zgc:109934 [Source:ZFIN;Acc:ZDB-GENE-050522-428]</t>
  </si>
  <si>
    <t>pvalb8</t>
  </si>
  <si>
    <t>ENSDARG00000037790</t>
  </si>
  <si>
    <t>parvalbumin 8 [Source:ZFIN;Acc:ZDB-GENE-030805-3]</t>
  </si>
  <si>
    <t>atl1</t>
  </si>
  <si>
    <t>ENSDARG00000060481</t>
  </si>
  <si>
    <t>atlastin GTPase 1 [Source:ZFIN;Acc:ZDB-GENE-030131-8003]</t>
  </si>
  <si>
    <t>gsto2</t>
  </si>
  <si>
    <t>ENSDARG00000033285</t>
  </si>
  <si>
    <t>glutathione S-transferase omega 2 [Source:ZFIN;Acc:ZDB-GENE-041114-67]</t>
  </si>
  <si>
    <t>spata17</t>
  </si>
  <si>
    <t>ENSDARG00000054414</t>
  </si>
  <si>
    <t>spermatogenesis associated 17 [Source:ZFIN;Acc:ZDB-GENE-111214-1]</t>
  </si>
  <si>
    <t>calm1a</t>
  </si>
  <si>
    <t>ENSDARG00000021811</t>
  </si>
  <si>
    <t>calmodulin 1a [Source:ZFIN;Acc:ZDB-GENE-030131-8308]</t>
  </si>
  <si>
    <t>fam166b</t>
  </si>
  <si>
    <t>ENSDARG00000100292</t>
  </si>
  <si>
    <t>family with sequence similarity 166, member B [Source:ZFIN;Acc:ZDB-GENE-070209-41]</t>
  </si>
  <si>
    <t>fbxo16</t>
  </si>
  <si>
    <t>ENSDARG00000033949</t>
  </si>
  <si>
    <t>F-box protein 16 [Source:ZFIN;Acc:ZDB-GENE-041015-747]</t>
  </si>
  <si>
    <t>tpgs2</t>
  </si>
  <si>
    <t>ENSDARG00000011926</t>
  </si>
  <si>
    <t>tubulin polyglutamylase complex subunit 2 [Source:ZFIN;Acc:ZDB-GENE-040704-49]</t>
  </si>
  <si>
    <t>gnai1</t>
  </si>
  <si>
    <t>ENSDARG00000021647</t>
  </si>
  <si>
    <t>guanine nucleotide binding protein (G protein), alpha inhibiting activity polypeptide 1 [Source:ZFIN;Acc:ZDB-GENE-040426-1310]</t>
  </si>
  <si>
    <t>CABZ01074816.1</t>
  </si>
  <si>
    <t>ENSDARG00000091489</t>
  </si>
  <si>
    <t>gcnt4a</t>
  </si>
  <si>
    <t>ENSDARG00000035198</t>
  </si>
  <si>
    <t>glucosaminyl (N-acetyl) transferase 4, core 2, a [Source:ZFIN;Acc:ZDB-GENE-030131-3231]</t>
  </si>
  <si>
    <t>fancg</t>
  </si>
  <si>
    <t>ENSDARG00000024967</t>
  </si>
  <si>
    <t>Fanconi anemia, complementation group G [Source:ZFIN;Acc:ZDB-GENE-050417-103]</t>
  </si>
  <si>
    <t>nme7</t>
  </si>
  <si>
    <t>ENSDARG00000056193</t>
  </si>
  <si>
    <t>NME/NM23 family member 7 [Source:ZFIN;Acc:ZDB-GENE-000210-35]</t>
  </si>
  <si>
    <t>mycbp</t>
  </si>
  <si>
    <t>ENSDARG00000091001</t>
  </si>
  <si>
    <t>c-myc binding protein [Source:ZFIN;Acc:ZDB-GENE-060331-97]</t>
  </si>
  <si>
    <t>maats1</t>
  </si>
  <si>
    <t>ENSDARG00000006292</t>
  </si>
  <si>
    <t>MYCBP-associated, testis expressed 1 [Source:ZFIN;Acc:ZDB-GENE-070912-489]</t>
  </si>
  <si>
    <t>laptm4b</t>
  </si>
  <si>
    <t>ENSDARG00000035870</t>
  </si>
  <si>
    <t>lysosomal protein transmembrane 4 beta [Source:ZFIN;Acc:ZDB-GENE-030616-616]</t>
  </si>
  <si>
    <t>aifm4</t>
  </si>
  <si>
    <t>ENSDARG00000061634</t>
  </si>
  <si>
    <t>apoptosis-inducing factor, mitochondrion-associated, 4 [Source:ZFIN;Acc:ZDB-GENE-070112-2282]</t>
  </si>
  <si>
    <t>mapk15</t>
  </si>
  <si>
    <t>ENSDARG00000101987</t>
  </si>
  <si>
    <t>si:ch73-103b9.2</t>
  </si>
  <si>
    <t>ENSDARG00000092489</t>
  </si>
  <si>
    <t>si:ch73-103b9.2 [Source:ZFIN;Acc:ZDB-GENE-070705-199]</t>
  </si>
  <si>
    <t>gapdhs</t>
  </si>
  <si>
    <t>ENSDARG00000039914</t>
  </si>
  <si>
    <t>glyceraldehyde-3-phosphate dehydrogenase, spermatogenic [Source:ZFIN;Acc:ZDB-GENE-020913-1]</t>
  </si>
  <si>
    <t>spag1b</t>
  </si>
  <si>
    <t>ENSDARG00000069499</t>
  </si>
  <si>
    <t>sperm associated antigen 1b [Source:ZFIN;Acc:ZDB-GENE-061013-512]</t>
  </si>
  <si>
    <t>ift88</t>
  </si>
  <si>
    <t>ENSDARG00000027234</t>
  </si>
  <si>
    <t>intraflagellar transport 88 homolog [Source:ZFIN;Acc:ZDB-GENE-030131-574]</t>
  </si>
  <si>
    <t>mal</t>
  </si>
  <si>
    <t>ENSDARG00000030094</t>
  </si>
  <si>
    <t>mal, T-cell differentiation protein [Source:ZFIN;Acc:ZDB-GENE-050417-175]</t>
  </si>
  <si>
    <t>ak7b</t>
  </si>
  <si>
    <t>ENSDARG00000017023</t>
  </si>
  <si>
    <t>adenylate kinase 7b [Source:ZFIN;Acc:ZDB-GENE-050309-170]</t>
  </si>
  <si>
    <t>TPGS1</t>
  </si>
  <si>
    <t>ENSDARG00000027547</t>
  </si>
  <si>
    <t>zgc:92789 [Source:ZFIN;Acc:ZDB-GENE-040718-280]</t>
  </si>
  <si>
    <t>cplx2l</t>
  </si>
  <si>
    <t>ENSDARG00000018997</t>
  </si>
  <si>
    <t>complexin 2, like [Source:ZFIN;Acc:ZDB-GENE-040718-160]</t>
  </si>
  <si>
    <t>sema7a</t>
  </si>
  <si>
    <t>ENSDARG00000078707</t>
  </si>
  <si>
    <t>semaphorin 7A [Source:ZFIN;Acc:ZDB-GENE-030131-3633]</t>
  </si>
  <si>
    <t>si:ch211-238e22.1</t>
  </si>
  <si>
    <t>ENSDARG00000099355</t>
  </si>
  <si>
    <t>si:ch211-238e22.1 [Source:ZFIN;Acc:ZDB-GENE-041210-345]</t>
  </si>
  <si>
    <t>asb5b</t>
  </si>
  <si>
    <t>ENSDARG00000053222</t>
  </si>
  <si>
    <t>ankyrin repeat and SOCS box containing 5b [Source:ZFIN;Acc:ZDB-GENE-050417-271]</t>
  </si>
  <si>
    <t>cep70</t>
  </si>
  <si>
    <t>ENSDARG00000076965</t>
  </si>
  <si>
    <t>centrosomal protein 70 [Source:ZFIN;Acc:ZDB-GENE-070705-311]</t>
  </si>
  <si>
    <t>CCDC181</t>
  </si>
  <si>
    <t>ENSDARG00000062021</t>
  </si>
  <si>
    <t>si:ch211-232d19.4 [Source:ZFIN;Acc:ZDB-GENE-060503-312]</t>
  </si>
  <si>
    <t>uqcc3</t>
  </si>
  <si>
    <t>ENSDARG00000093382</t>
  </si>
  <si>
    <t>ubiquinol-cytochrome c reductase complex assembly factor 3 [Source:ZFIN;Acc:ZDB-GENE-030131-8451]</t>
  </si>
  <si>
    <t>ccdc113</t>
  </si>
  <si>
    <t>ENSDARG00000006981</t>
  </si>
  <si>
    <t>coiled-coil domain containing 113 [Source:ZFIN;Acc:ZDB-GENE-041010-163]</t>
  </si>
  <si>
    <t>epcam</t>
  </si>
  <si>
    <t>ENSDARG00000040534</t>
  </si>
  <si>
    <t>epithelial cell adhesion molecule [Source:ZFIN;Acc:ZDB-GENE-040426-2209]</t>
  </si>
  <si>
    <t>rab36</t>
  </si>
  <si>
    <t>ENSDARG00000014058</t>
  </si>
  <si>
    <t>RAB36, member RAS oncogene family [Source:ZFIN;Acc:ZDB-GENE-040910-5]</t>
  </si>
  <si>
    <t>si:ch211-56a11.2</t>
  </si>
  <si>
    <t>ENSDARG00000093677</t>
  </si>
  <si>
    <t>si:ch211-56a11.2 [Source:ZFIN;Acc:ZDB-GENE-091204-123]</t>
  </si>
  <si>
    <t>tmeff2b</t>
  </si>
  <si>
    <t>ENSDARG00000058699</t>
  </si>
  <si>
    <t>transmembrane protein with EGF-like and two follistatin-like domains 2b [Source:ZFIN;Acc:ZDB-GENE-101001-4]</t>
  </si>
  <si>
    <t>nqo1</t>
  </si>
  <si>
    <t>ENSDARG00000010250</t>
  </si>
  <si>
    <t>NAD(P)H dehydrogenase, quinone 1 [Source:ZFIN;Acc:ZDB-GENE-030131-1226]</t>
  </si>
  <si>
    <t>rem1</t>
  </si>
  <si>
    <t>ENSDARG00000020544</t>
  </si>
  <si>
    <t>RAS (RAD and GEM)-like GTP-binding 1 [Source:ZFIN;Acc:ZDB-GENE-040317-1]</t>
  </si>
  <si>
    <t>sms</t>
  </si>
  <si>
    <t>ENSDARG00000008155</t>
  </si>
  <si>
    <t>spermine synthase [Source:ZFIN;Acc:ZDB-GENE-040625-150]</t>
  </si>
  <si>
    <t>loxhd1a</t>
  </si>
  <si>
    <t>ENSDARG00000094738</t>
  </si>
  <si>
    <t>lipoxygenase homology domains 1a [Source:ZFIN;Acc:ZDB-GENE-091112-20]</t>
  </si>
  <si>
    <t>tmie</t>
  </si>
  <si>
    <t>ENSDARG00000069423</t>
  </si>
  <si>
    <t>transmembrane inner ear [Source:ZFIN;Acc:ZDB-GENE-061207-9]</t>
  </si>
  <si>
    <t>wdr66</t>
  </si>
  <si>
    <t>ENSDARG00000059855</t>
  </si>
  <si>
    <t>WD repeat domain 66 [Source:ZFIN;Acc:ZDB-GENE-060526-328]</t>
  </si>
  <si>
    <t>rheb</t>
  </si>
  <si>
    <t>ENSDARG00000090213</t>
  </si>
  <si>
    <t>Ras homolog enriched in brain [Source:ZFIN;Acc:ZDB-GENE-040426-1690]</t>
  </si>
  <si>
    <t>calm2b</t>
  </si>
  <si>
    <t>ENSDARG00000015050</t>
  </si>
  <si>
    <t>calmodulin 2b, (phosphorylase kinase, delta) [Source:ZFIN;Acc:ZDB-GENE-020415-2]</t>
  </si>
  <si>
    <t>gdi1</t>
  </si>
  <si>
    <t>ENSDARG00000056122</t>
  </si>
  <si>
    <t>GDP dissociation inhibitor 1 [Source:ZFIN;Acc:ZDB-GENE-050522-504]</t>
  </si>
  <si>
    <t>gas8</t>
  </si>
  <si>
    <t>ENSDARG00000101431</t>
  </si>
  <si>
    <t>growth arrest-specific 8 [Source:ZFIN;Acc:ZDB-GENE-030131-1980]</t>
  </si>
  <si>
    <t>plpp1a</t>
  </si>
  <si>
    <t>ENSDARG00000053381</t>
  </si>
  <si>
    <t>phospholipid phosphatase 1a [Source:ZFIN;Acc:ZDB-GENE-080225-26]</t>
  </si>
  <si>
    <t>eif3hb</t>
  </si>
  <si>
    <t>ENSDARG00000036116</t>
  </si>
  <si>
    <t>eukaryotic translation initiation factor 3, subunit H, b [Source:ZFIN;Acc:ZDB-GENE-051030-42]</t>
  </si>
  <si>
    <t>si:dkeyp-86d6.2</t>
  </si>
  <si>
    <t>ENSDARG00000101911</t>
  </si>
  <si>
    <t>si:dkeyp-86d6.2 [Source:ZFIN;Acc:ZDB-GENE-141216-459]</t>
  </si>
  <si>
    <t>zgc:55461</t>
  </si>
  <si>
    <t>ENSDARG00000041723</t>
  </si>
  <si>
    <t>zgc:55461 [Source:ZFIN;Acc:ZDB-GENE-040426-2879]</t>
  </si>
  <si>
    <t>kcnma1a</t>
  </si>
  <si>
    <t>ENSDARG00000079840</t>
  </si>
  <si>
    <t>potassium large conductance calcium-activated channel, subfamily M, alpha member 1a [Source:ZFIN;Acc:ZDB-GENE-070202-9]</t>
  </si>
  <si>
    <t>hebp2</t>
  </si>
  <si>
    <t>ENSDARG00000042630</t>
  </si>
  <si>
    <t>heme binding protein 2 [Source:ZFIN;Acc:ZDB-GENE-040426-914]</t>
  </si>
  <si>
    <t>prdx2</t>
  </si>
  <si>
    <t>ENSDARG00000025350</t>
  </si>
  <si>
    <t>peroxiredoxin 2 [Source:ZFIN;Acc:ZDB-GENE-030326-2]</t>
  </si>
  <si>
    <t>arl6ip5b</t>
  </si>
  <si>
    <t>ENSDARG00000016238</t>
  </si>
  <si>
    <t>ADP-ribosylation factor-like 6 interacting protein 5b [Source:ZFIN;Acc:ZDB-GENE-040718-223]</t>
  </si>
  <si>
    <t>si:ch211-150j10.4</t>
  </si>
  <si>
    <t>ENSDARG00000079336</t>
  </si>
  <si>
    <t>si:ch211-150j10.4 [Source:ZFIN;Acc:ZDB-GENE-110411-215]</t>
  </si>
  <si>
    <t>atp6v1e1b</t>
  </si>
  <si>
    <t>ENSDARG00000030694</t>
  </si>
  <si>
    <t>ATPase, H+ transporting, lysosomal, V1 subunit E1b [Source:ZFIN;Acc:ZDB-GENE-020419-11]</t>
  </si>
  <si>
    <t>bbs5</t>
  </si>
  <si>
    <t>ENSDARG00000039827</t>
  </si>
  <si>
    <t>Bardet-Biedl syndrome 5 [Source:ZFIN;Acc:ZDB-GENE-040426-1083]</t>
  </si>
  <si>
    <t>cox7a2a</t>
  </si>
  <si>
    <t>ENSDARG00000053217</t>
  </si>
  <si>
    <t>cytochrome c oxidase subunit VIIa polypeptide 2a (liver) [Source:ZFIN;Acc:ZDB-GENE-050522-153]</t>
  </si>
  <si>
    <t>ift22</t>
  </si>
  <si>
    <t>ENSDARG00000020822</t>
  </si>
  <si>
    <t>intraflagellar transport 22 homolog (Chlamydomonas) [Source:ZFIN;Acc:ZDB-GENE-050417-439]</t>
  </si>
  <si>
    <t>necap1</t>
  </si>
  <si>
    <t>ENSDARG00000020798</t>
  </si>
  <si>
    <t>NECAP endocytosis associated 1 [Source:ZFIN;Acc:ZDB-GENE-040426-1682]</t>
  </si>
  <si>
    <t>si:ch211-226m7.4</t>
  </si>
  <si>
    <t>ENSDARG00000032885</t>
  </si>
  <si>
    <t>si:ch211-226m7.4 [Source:ZFIN;Acc:ZDB-GENE-080919-1]</t>
  </si>
  <si>
    <t>dll4</t>
  </si>
  <si>
    <t>ENSDARG00000070425</t>
  </si>
  <si>
    <t>delta-like 4 (Drosophila) [Source:ZFIN;Acc:ZDB-GENE-041014-73]</t>
  </si>
  <si>
    <t>si:ch211-112b1.4</t>
  </si>
  <si>
    <t>ENSDARG00000096053</t>
  </si>
  <si>
    <t>si:ch211-112b1.4 [Source:ZFIN;Acc:ZDB-GENE-131127-114]</t>
  </si>
  <si>
    <t>prr15la</t>
  </si>
  <si>
    <t>ENSDARG00000025615</t>
  </si>
  <si>
    <t>proline rich 15-like a [Source:ZFIN;Acc:ZDB-GENE-040801-218]</t>
  </si>
  <si>
    <t>si:dkey-205h13.2</t>
  </si>
  <si>
    <t>ENSDARG00000089429</t>
  </si>
  <si>
    <t>si:dkey-205h13.2 [Source:ZFIN;Acc:ZDB-GENE-080225-18]</t>
  </si>
  <si>
    <t>triobpa</t>
  </si>
  <si>
    <t>ENSDARG00000075870</t>
  </si>
  <si>
    <t>TRIO and F-actin binding protein a [Source:ZFIN;Acc:ZDB-GENE-110411-40]</t>
  </si>
  <si>
    <t>tex9</t>
  </si>
  <si>
    <t>ENSDARG00000010586</t>
  </si>
  <si>
    <t>testis expressed 9 [Source:ZFIN;Acc:ZDB-GENE-110623-3]</t>
  </si>
  <si>
    <t>si:ch73-110p20.1</t>
  </si>
  <si>
    <t>ENSDARG00000095236</t>
  </si>
  <si>
    <t>si:ch73-110p20.1 [Source:ZFIN;Acc:ZDB-GENE-081030-16]</t>
  </si>
  <si>
    <t>cldnb</t>
  </si>
  <si>
    <t>ENSDARG00000009544</t>
  </si>
  <si>
    <t>claudin b [Source:ZFIN;Acc:ZDB-GENE-010328-2]</t>
  </si>
  <si>
    <t>WDR63</t>
  </si>
  <si>
    <t>ENSDARG00000105093</t>
  </si>
  <si>
    <t>WD repeat domain 63 [Source:HGNC Symbol;Acc:HGNC:30711]</t>
  </si>
  <si>
    <t>wdr54</t>
  </si>
  <si>
    <t>ENSDARG00000010248</t>
  </si>
  <si>
    <t>WD repeat domain 54 [Source:ZFIN;Acc:ZDB-GENE-040801-151]</t>
  </si>
  <si>
    <t>dynlt1</t>
  </si>
  <si>
    <t>ENSDARG00000045909</t>
  </si>
  <si>
    <t>dynein, light chain, Tctex-type 1 [Source:ZFIN;Acc:ZDB-GENE-041210-9]</t>
  </si>
  <si>
    <t>hbegfa</t>
  </si>
  <si>
    <t>ENSDARG00000075121</t>
  </si>
  <si>
    <t>heparin-binding EGF-like growth factor a [Source:ZFIN;Acc:ZDB-GENE-080204-119]</t>
  </si>
  <si>
    <t>lyar</t>
  </si>
  <si>
    <t>ENSDARG00000098507</t>
  </si>
  <si>
    <t>Ly1 antibody reactive homolog (mouse) [Source:ZFIN;Acc:ZDB-GENE-040426-1414]</t>
  </si>
  <si>
    <t>malat1</t>
  </si>
  <si>
    <t>ENSDARG00000099970</t>
  </si>
  <si>
    <t>metastasis associated lung adenocarcinoma transcript 1 [Source:ZFIN;Acc:ZDB-GENE-141216-248]</t>
  </si>
  <si>
    <t>trappc3</t>
  </si>
  <si>
    <t>ENSDARG00000045364</t>
  </si>
  <si>
    <t>trafficking protein particle complex 3 [Source:ZFIN;Acc:ZDB-GENE-040801-120]</t>
  </si>
  <si>
    <t>pih1d3</t>
  </si>
  <si>
    <t>ENSDARG00000038612</t>
  </si>
  <si>
    <t>PIH1 domain containing 3 [Source:ZFIN;Acc:ZDB-GENE-040722-2]</t>
  </si>
  <si>
    <t>txn</t>
  </si>
  <si>
    <t>ENSDARG00000044125</t>
  </si>
  <si>
    <t>thioredoxin [Source:ZFIN;Acc:ZDB-GENE-040718-162]</t>
  </si>
  <si>
    <t>rsph4a</t>
  </si>
  <si>
    <t>ENSDARG00000067606</t>
  </si>
  <si>
    <t>radial spoke head 4 homolog A (Chlamydomonas) [Source:ZFIN;Acc:ZDB-GENE-030131-7437]</t>
  </si>
  <si>
    <t>adipor2</t>
  </si>
  <si>
    <t>ENSDARG00000101849</t>
  </si>
  <si>
    <t>adiponectin receptor 2 [Source:ZFIN;Acc:ZDB-GENE-041210-60]</t>
  </si>
  <si>
    <t>hacd3</t>
  </si>
  <si>
    <t>ENSDARG00000016038</t>
  </si>
  <si>
    <t>3-hydroxyacyl-CoA dehydratase 3 [Source:ZFIN;Acc:ZDB-GENE-040426-1200]</t>
  </si>
  <si>
    <t>calm3b</t>
  </si>
  <si>
    <t>ENSDARG00000074057</t>
  </si>
  <si>
    <t>calmodulin 3b (phosphorylase kinase, delta) [Source:ZFIN;Acc:ZDB-GENE-030131-527]</t>
  </si>
  <si>
    <t>klhdc7a</t>
  </si>
  <si>
    <t>ENSDARG00000105322</t>
  </si>
  <si>
    <t>kelch domain containing 7A [Source:ZFIN;Acc:ZDB-GENE-160114-44]</t>
  </si>
  <si>
    <t>tmem107</t>
  </si>
  <si>
    <t>ENSDARG00000059150</t>
  </si>
  <si>
    <t>transmembrane protein 107 [Source:ZFIN;Acc:ZDB-GENE-040426-2294]</t>
  </si>
  <si>
    <t>atp6v0e1</t>
  </si>
  <si>
    <t>ENSDARG00000101794</t>
  </si>
  <si>
    <t>ATPase, H+ transporting, lysosomal V0 subunit e1 [Source:ZFIN;Acc:ZDB-GENE-041010-133]</t>
  </si>
  <si>
    <t>tctex1d2</t>
  </si>
  <si>
    <t>ENSDARG00000054255</t>
  </si>
  <si>
    <t>Tctex1 domain containing 2 [Source:ZFIN;Acc:ZDB-GENE-081104-219]</t>
  </si>
  <si>
    <t>atoh1a</t>
  </si>
  <si>
    <t>ENSDARG00000055294</t>
  </si>
  <si>
    <t>atonal bHLH transcription factor 1a [Source:ZFIN;Acc:ZDB-GENE-990415-17]</t>
  </si>
  <si>
    <t>calm1b</t>
  </si>
  <si>
    <t>ENSDARG00000034187</t>
  </si>
  <si>
    <t>calmodulin 1b [Source:ZFIN;Acc:ZDB-GENE-030804-2]</t>
  </si>
  <si>
    <t>nt5c2l1</t>
  </si>
  <si>
    <t>ENSDARG00000034852</t>
  </si>
  <si>
    <t>5'-nucleotidase, cytosolic II, like 1 [Source:ZFIN;Acc:ZDB-GENE-031006-8]</t>
  </si>
  <si>
    <t>ccdc40</t>
  </si>
  <si>
    <t>ENSDARG00000100584</t>
  </si>
  <si>
    <t>coiled-coil domain containing 40 [Source:ZFIN;Acc:ZDB-GENE-060503-723]</t>
  </si>
  <si>
    <t>si:rp71-1c10.11</t>
  </si>
  <si>
    <t>ENSDARG00000096721</t>
  </si>
  <si>
    <t>si:rp71-1c10.11 [Source:ZFIN;Acc:ZDB-GENE-130603-61]</t>
  </si>
  <si>
    <t>erich3</t>
  </si>
  <si>
    <t>ENSDARG00000069262</t>
  </si>
  <si>
    <t>glutamate-rich 3 [Source:ZFIN;Acc:ZDB-GENE-070209-295]</t>
  </si>
  <si>
    <t>slc30a10</t>
  </si>
  <si>
    <t>ENSDARG00000103983</t>
  </si>
  <si>
    <t>solute carrier family 30, member 10 [Source:ZFIN;Acc:ZDB-GENE-060608-2]</t>
  </si>
  <si>
    <t>marcksl1b</t>
  </si>
  <si>
    <t>ENSDARG00000035715</t>
  </si>
  <si>
    <t>MARCKS-like 1b [Source:ZFIN;Acc:ZDB-GENE-040426-2315]</t>
  </si>
  <si>
    <t>dlg1</t>
  </si>
  <si>
    <t>ENSDARG00000009677</t>
  </si>
  <si>
    <t>discs, large homolog 1 (Drosophila) [Source:ZFIN;Acc:ZDB-GENE-010724-8]</t>
  </si>
  <si>
    <t>slitrk2</t>
  </si>
  <si>
    <t>ENSDARG00000006636</t>
  </si>
  <si>
    <t>SLIT and NTRK-like family, member 2 [Source:ZFIN;Acc:ZDB-GENE-080327-7]</t>
  </si>
  <si>
    <t>zgc:77880</t>
  </si>
  <si>
    <t>ENSDARG00000030563</t>
  </si>
  <si>
    <t>zgc:77880 [Source:ZFIN;Acc:ZDB-GENE-040426-1901]</t>
  </si>
  <si>
    <t>casz1</t>
  </si>
  <si>
    <t>ENSDARG00000037030</t>
  </si>
  <si>
    <t>castor zinc finger 1 [Source:ZFIN;Acc:ZDB-GENE-060130-108]</t>
  </si>
  <si>
    <t>cbr1l</t>
  </si>
  <si>
    <t>ENSDARG00000021149</t>
  </si>
  <si>
    <t>carbonyl reductase 1-like [Source:ZFIN;Acc:ZDB-GENE-030131-9642]</t>
  </si>
  <si>
    <t>cep19.1</t>
  </si>
  <si>
    <t>ENSDARG00000059175</t>
  </si>
  <si>
    <t>centrosomal protein 19 [Source:ZFIN;Acc:ZDB-GENE-050913-81]</t>
  </si>
  <si>
    <t>si:ch73-308b14.1</t>
  </si>
  <si>
    <t>ENSDARG00000095351</t>
  </si>
  <si>
    <t>si:ch73-308b14.1 [Source:ZFIN;Acc:ZDB-GENE-091204-411]</t>
  </si>
  <si>
    <t>si:dkey-265j8.3</t>
  </si>
  <si>
    <t>ENSDARG00000097108</t>
  </si>
  <si>
    <t>si:dkey-265j8.3 [Source:ZFIN;Acc:ZDB-GENE-131127-55]</t>
  </si>
  <si>
    <t>eef1a1l1</t>
  </si>
  <si>
    <t>ENSDARG00000020850</t>
  </si>
  <si>
    <t>eukaryotic translation elongation factor 1 alpha 1, like 1 [Source:ZFIN;Acc:ZDB-GENE-990415-52]</t>
  </si>
  <si>
    <t>atp6v0a1a</t>
  </si>
  <si>
    <t>ENSDARG00000020847</t>
  </si>
  <si>
    <t>ATPase, H+ transporting, lysosomal V0 subunit a1a [Source:ZFIN;Acc:ZDB-GENE-030131-3027]</t>
  </si>
  <si>
    <t>tmem176l.4</t>
  </si>
  <si>
    <t>ENSDARG00000074390</t>
  </si>
  <si>
    <t>transmembrane protein 176l.4 [Source:ZFIN;Acc:ZDB-GENE-030131-3532]</t>
  </si>
  <si>
    <t>apooa</t>
  </si>
  <si>
    <t>ENSDARG00000104696</t>
  </si>
  <si>
    <t>apolipoprotein O, a [Source:ZFIN;Acc:ZDB-GENE-031118-91]</t>
  </si>
  <si>
    <t>DNAH10</t>
  </si>
  <si>
    <t>ENSDARG00000061486</t>
  </si>
  <si>
    <t>si:dkeyp-86b9.1 [Source:ZFIN;Acc:ZDB-GENE-060531-163]</t>
  </si>
  <si>
    <t>calm2a</t>
  </si>
  <si>
    <t>ENSDARG00000031427</t>
  </si>
  <si>
    <t>calmodulin 2a (phosphorylase kinase, delta) [Source:ZFIN;Acc:ZDB-GENE-030804-3]</t>
  </si>
  <si>
    <t>ttc26</t>
  </si>
  <si>
    <t>ENSDARG00000012039</t>
  </si>
  <si>
    <t>tetratricopeptide repeat domain 26 [Source:ZFIN;Acc:ZDB-GENE-041212-41]</t>
  </si>
  <si>
    <t>cfap20</t>
  </si>
  <si>
    <t>ENSDARG00000100514</t>
  </si>
  <si>
    <t>cilia and flagella associated protein 20 [Source:ZFIN;Acc:ZDB-GENE-040426-1784]</t>
  </si>
  <si>
    <t>GRXCR1</t>
  </si>
  <si>
    <t>ENSDARG00000105434</t>
  </si>
  <si>
    <t>si:dkey-109l4.6 [Source:ZFIN;Acc:ZDB-GENE-160113-42]</t>
  </si>
  <si>
    <t>ap1s1</t>
  </si>
  <si>
    <t>ENSDARG00000056803</t>
  </si>
  <si>
    <t>adaptor-related protein complex 1, sigma 1 subunit [Source:ZFIN;Acc:ZDB-GENE-040426-1119]</t>
  </si>
  <si>
    <t>gclm</t>
  </si>
  <si>
    <t>ENSDARG00000018953</t>
  </si>
  <si>
    <t>glutamate-cysteine ligase, modifier subunit [Source:ZFIN;Acc:ZDB-GENE-030131-5906]</t>
  </si>
  <si>
    <t>echdc2</t>
  </si>
  <si>
    <t>ENSDARG00000016607</t>
  </si>
  <si>
    <t>enoyl CoA hydratase domain containing 2 [Source:ZFIN;Acc:ZDB-GENE-030219-147]</t>
  </si>
  <si>
    <t>myo1ca</t>
  </si>
  <si>
    <t>ENSDARG00000020924</t>
  </si>
  <si>
    <t>myosin Ic, paralog a [Source:ZFIN;Acc:ZDB-GENE-070705-190]</t>
  </si>
  <si>
    <t>nkx3.2</t>
  </si>
  <si>
    <t>ENSDARG00000037639</t>
  </si>
  <si>
    <t>NK3 homeobox 2 [Source:ZFIN;Acc:ZDB-GENE-030127-1]</t>
  </si>
  <si>
    <t>zmynd10</t>
  </si>
  <si>
    <t>ENSDARG00000002406</t>
  </si>
  <si>
    <t>zinc finger, MYND-type containing 10 [Source:ZFIN;Acc:ZDB-GENE-040426-1218]</t>
  </si>
  <si>
    <t>hepacam2</t>
  </si>
  <si>
    <t>ENSDARG00000061365</t>
  </si>
  <si>
    <t>HEPACAM family member 2 [Source:ZFIN;Acc:ZDB-GENE-060503-135]</t>
  </si>
  <si>
    <t>armc4</t>
  </si>
  <si>
    <t>ENSDARG00000055128</t>
  </si>
  <si>
    <t>armadillo repeat containing 4 [Source:ZFIN;Acc:ZDB-GENE-100316-7]</t>
  </si>
  <si>
    <t>arl2bp</t>
  </si>
  <si>
    <t>ENSDARG00000025383</t>
  </si>
  <si>
    <t>ADP-ribosylation factor-like 2 binding protein [Source:ZFIN;Acc:ZDB-GENE-040426-1604]</t>
  </si>
  <si>
    <t>msrb3</t>
  </si>
  <si>
    <t>ENSDARG00000045658</t>
  </si>
  <si>
    <t>methionine sulfoxide reductase B3 [Source:ZFIN;Acc:ZDB-GENE-040625-74]</t>
  </si>
  <si>
    <t>si:ch211-103f14.3</t>
  </si>
  <si>
    <t>ENSDARG00000088315</t>
  </si>
  <si>
    <t>si:ch211-103f14.3 [Source:ZFIN;Acc:ZDB-GENE-110411-160]</t>
  </si>
  <si>
    <t>zgc:195356</t>
  </si>
  <si>
    <t>ENSDARG00000099134</t>
  </si>
  <si>
    <t>zgc:195356 [Source:ZFIN;Acc:ZDB-GENE-030131-6619]</t>
  </si>
  <si>
    <t>btf3l4</t>
  </si>
  <si>
    <t>ENSDARG00000089681</t>
  </si>
  <si>
    <t>basic transcription factor 3-like 4 [Source:ZFIN;Acc:ZDB-GENE-040426-1650]</t>
  </si>
  <si>
    <t>zgc:92066</t>
  </si>
  <si>
    <t>ENSDARG00000031776</t>
  </si>
  <si>
    <t>zgc:92066 [Source:ZFIN;Acc:ZDB-GENE-040718-72]</t>
  </si>
  <si>
    <t>ndel1a</t>
  </si>
  <si>
    <t>ENSDARG00000010953</t>
  </si>
  <si>
    <t>nudE neurodevelopment protein 1-like 1a [Source:ZFIN;Acc:ZDB-GENE-040115-2]</t>
  </si>
  <si>
    <t>tmem53</t>
  </si>
  <si>
    <t>ENSDARG00000038789</t>
  </si>
  <si>
    <t>transmembrane protein 53 [Source:ZFIN;Acc:ZDB-GENE-040718-384]</t>
  </si>
  <si>
    <t>ckbb</t>
  </si>
  <si>
    <t>ENSDARG00000043257</t>
  </si>
  <si>
    <t>creatine kinase, brain b [Source:ZFIN;Acc:ZDB-GENE-020103-2]</t>
  </si>
  <si>
    <t>uqcrq</t>
  </si>
  <si>
    <t>ENSDARG00000029064</t>
  </si>
  <si>
    <t>ubiquinol-cytochrome c reductase, complex III subunit VII [Source:ZFIN;Acc:ZDB-GENE-040718-199]</t>
  </si>
  <si>
    <t>si:ch211-274p24.2</t>
  </si>
  <si>
    <t>ENSDARG00000095185</t>
  </si>
  <si>
    <t>si:ch211-274p24.2 [Source:ZFIN;Acc:ZDB-GENE-050309-265]</t>
  </si>
  <si>
    <t>nrxn3b</t>
  </si>
  <si>
    <t>ENSDARG00000062693</t>
  </si>
  <si>
    <t>neurexin 3b [Source:ZFIN;Acc:ZDB-GENE-070206-10]</t>
  </si>
  <si>
    <t>ethe1</t>
  </si>
  <si>
    <t>ENSDARG00000005713</t>
  </si>
  <si>
    <t>ethylmalonic encephalopathy 1 [Source:ZFIN;Acc:ZDB-GENE-040426-2503]</t>
  </si>
  <si>
    <t>cd9b</t>
  </si>
  <si>
    <t>ENSDARG00000016691</t>
  </si>
  <si>
    <t>CD9 molecule b [Source:ZFIN;Acc:ZDB-GENE-040426-2768]</t>
  </si>
  <si>
    <t>zmat4b</t>
  </si>
  <si>
    <t>ENSDARG00000061419</t>
  </si>
  <si>
    <t>zinc finger, matrin-type 4b [Source:ZFIN;Acc:ZDB-GENE-091118-68]</t>
  </si>
  <si>
    <t>atp5g1</t>
  </si>
  <si>
    <t>ENSDARG00000056008</t>
  </si>
  <si>
    <t>ATP synthase, H+ transporting, mitochondrial Fo complex, subunit C1 (subunit 9) [Source:ZFIN;Acc:ZDB-GENE-040426-1966]</t>
  </si>
  <si>
    <t>dnah5</t>
  </si>
  <si>
    <t>ENSDARG00000087373</t>
  </si>
  <si>
    <t>dynein, axonemal, heavy chain 5 [Source:ZFIN;Acc:ZDB-GENE-110411-177]</t>
  </si>
  <si>
    <t>atp6v1aa</t>
  </si>
  <si>
    <t>ENSDARG00000034534</t>
  </si>
  <si>
    <t>ATPase, H+ transporting, lysosomal, V1 subunit Aa [Source:ZFIN;Acc:ZDB-GENE-040426-1143]</t>
  </si>
  <si>
    <t>vdac1</t>
  </si>
  <si>
    <t>ENSDARG00000045132</t>
  </si>
  <si>
    <t>voltage-dependent anion channel 1 [Source:ZFIN;Acc:ZDB-GENE-030131-6514]</t>
  </si>
  <si>
    <t>zgc:158343</t>
  </si>
  <si>
    <t>ENSDARG00000099411</t>
  </si>
  <si>
    <t>zgc:158343 [Source:ZFIN;Acc:ZDB-GENE-061201-9]</t>
  </si>
  <si>
    <t>cib2</t>
  </si>
  <si>
    <t>ENSDARG00000102820</t>
  </si>
  <si>
    <t>calcium and integrin binding family member 2 [Source:ZFIN;Acc:ZDB-GENE-040426-1663]</t>
  </si>
  <si>
    <t>arl6ip1</t>
  </si>
  <si>
    <t>ENSDARG00000054578</t>
  </si>
  <si>
    <t>ADP-ribosylation factor-like 6 interacting protein 1 [Source:ZFIN;Acc:ZDB-GENE-040426-1087]</t>
  </si>
  <si>
    <t>stc2a</t>
  </si>
  <si>
    <t>ENSDARG00000056680</t>
  </si>
  <si>
    <t>stanniocalcin 2a [Source:ZFIN;Acc:ZDB-GENE-041008-14]</t>
  </si>
  <si>
    <t>gpx1a</t>
  </si>
  <si>
    <t>ENSDARG00000018146</t>
  </si>
  <si>
    <t>glutathione peroxidase 1a [Source:ZFIN;Acc:ZDB-GENE-030410-1]</t>
  </si>
  <si>
    <t>prelid1a</t>
  </si>
  <si>
    <t>ENSDARG00000098671</t>
  </si>
  <si>
    <t>PRELI domain containing 1a [Source:ZFIN;Acc:ZDB-GENE-040426-1341]</t>
  </si>
  <si>
    <t>dzank1</t>
  </si>
  <si>
    <t>ENSDARG00000055787</t>
  </si>
  <si>
    <t>double zinc ribbon and ankyrin repeat domains 1 [Source:ZFIN;Acc:ZDB-GENE-051113-296]</t>
  </si>
  <si>
    <t>ankrd24</t>
  </si>
  <si>
    <t>ENSDARG00000062103</t>
  </si>
  <si>
    <t>ankyrin repeat domain 24 [Source:ZFIN;Acc:ZDB-GENE-050208-747]</t>
  </si>
  <si>
    <t>atp6v1g1</t>
  </si>
  <si>
    <t>ENSDARG00000022315</t>
  </si>
  <si>
    <t>ATPase, H+ transporting, lysosomal, V1 subunit G1 [Source:ZFIN;Acc:ZDB-GENE-030131-6965]</t>
  </si>
  <si>
    <t>si:ch73-209e20.6</t>
  </si>
  <si>
    <t>ENSDARG00000103528</t>
  </si>
  <si>
    <t>si:ch73-209e20.6 [Source:ZFIN;Acc:ZDB-GENE-120215-114]</t>
  </si>
  <si>
    <t>minos1</t>
  </si>
  <si>
    <t>ENSDARG00000101619</t>
  </si>
  <si>
    <t>mitochondrial inner membrane organizing system 1 [Source:ZFIN;Acc:ZDB-GENE-060825-325]</t>
  </si>
  <si>
    <t>atp6ap2</t>
  </si>
  <si>
    <t>ENSDARG00000008735</t>
  </si>
  <si>
    <t>ATPase, H+ transporting, lysosomal accessory protein 2 [Source:ZFIN;Acc:ZDB-GENE-040426-1960]</t>
  </si>
  <si>
    <t>flj11011l</t>
  </si>
  <si>
    <t>ENSDARG00000045360</t>
  </si>
  <si>
    <t>hypothetical protein FLJ11011-like (H. sapiens) [Source:ZFIN;Acc:ZDB-GENE-050113-1]</t>
  </si>
  <si>
    <t>cetn4</t>
  </si>
  <si>
    <t>ENSDARG00000041215</t>
  </si>
  <si>
    <t>centrin 4 [Source:ZFIN;Acc:ZDB-GENE-030826-21]</t>
  </si>
  <si>
    <t>si:dkey-202l16.5</t>
  </si>
  <si>
    <t>ENSDARG00000013252</t>
  </si>
  <si>
    <t>si:dkey-202l16.5 [Source:ZFIN;Acc:ZDB-GENE-120411-6]</t>
  </si>
  <si>
    <t>med30</t>
  </si>
  <si>
    <t>ENSDARG00000101115</t>
  </si>
  <si>
    <t>mediator complex subunit 30 [Source:ZFIN;Acc:ZDB-GENE-040426-1676]</t>
  </si>
  <si>
    <t>ndufb4</t>
  </si>
  <si>
    <t>ENSDARG00000019332</t>
  </si>
  <si>
    <t>NADH dehydrogenase (ubiquinone) 1 beta subcomplex, 4 [Source:ZFIN;Acc:ZDB-GENE-040426-1973]</t>
  </si>
  <si>
    <t>mns1</t>
  </si>
  <si>
    <t>ENSDARG00000060169</t>
  </si>
  <si>
    <t>meiosis-specific nuclear structural 1 [Source:ZFIN;Acc:ZDB-GENE-030521-42]</t>
  </si>
  <si>
    <t>zgc:77517</t>
  </si>
  <si>
    <t>ENSDARG00000028618</t>
  </si>
  <si>
    <t>zgc:77517 [Source:ZFIN;Acc:ZDB-GENE-040426-1508]</t>
  </si>
  <si>
    <t>ip6k2a</t>
  </si>
  <si>
    <t>ENSDARG00000008310</t>
  </si>
  <si>
    <t>inositol hexakisphosphate kinase 2a [Source:ZFIN;Acc:ZDB-GENE-030131-760]</t>
  </si>
  <si>
    <t>krt1-c5</t>
  </si>
  <si>
    <t>ENSDARG00000026979</t>
  </si>
  <si>
    <t>keratin, type 1, gene c5 [Source:ZFIN;Acc:ZDB-GENE-060316-3]</t>
  </si>
  <si>
    <t>ift52</t>
  </si>
  <si>
    <t>ENSDARG00000045025</t>
  </si>
  <si>
    <t>intraflagellar transport 52 homolog (Chlamydomonas) [Source:ZFIN;Acc:ZDB-GENE-040614-3]</t>
  </si>
  <si>
    <t>cox7c</t>
  </si>
  <si>
    <t>ENSDARG00000104537</t>
  </si>
  <si>
    <t>cytochrome c oxidase, subunit VIIc [Source:ZFIN;Acc:ZDB-GENE-030131-8062]</t>
  </si>
  <si>
    <t>nme2b.1</t>
  </si>
  <si>
    <t>ENSDARG00000103791</t>
  </si>
  <si>
    <t>NME/NM23 nucleoside diphosphate kinase 2b, tandem duplicate 1 [Source:ZFIN;Acc:ZDB-GENE-000210-32]</t>
  </si>
  <si>
    <t>myo6b</t>
  </si>
  <si>
    <t>ENSDARG00000042141</t>
  </si>
  <si>
    <t>myosin VIb [Source:ZFIN;Acc:ZDB-GENE-030318-3]</t>
  </si>
  <si>
    <t>cisd1</t>
  </si>
  <si>
    <t>ENSDARG00000079516</t>
  </si>
  <si>
    <t>CDGSH iron sulfur domain 1 [Source:ZFIN;Acc:ZDB-GENE-040426-1162]</t>
  </si>
  <si>
    <t>fbxo32</t>
  </si>
  <si>
    <t>ENSDARG00000040277</t>
  </si>
  <si>
    <t>F-box protein 32 [Source:ZFIN;Acc:ZDB-GENE-040426-1040]</t>
  </si>
  <si>
    <t>pllp</t>
  </si>
  <si>
    <t>ENSDARG00000062756</t>
  </si>
  <si>
    <t>plasmolipin [Source:ZFIN;Acc:ZDB-GENE-050419-195]</t>
  </si>
  <si>
    <t>ift46</t>
  </si>
  <si>
    <t>ENSDARG00000011240</t>
  </si>
  <si>
    <t>intraflagellar transport 46 homolog (Chlamydomonas) [Source:ZFIN;Acc:ZDB-GENE-080102-3]</t>
  </si>
  <si>
    <t>stoml3a</t>
  </si>
  <si>
    <t>ENSDARG00000079914</t>
  </si>
  <si>
    <t>stomatin (EPB72)-like 3a [Source:ZFIN;Acc:ZDB-GENE-070620-18]</t>
  </si>
  <si>
    <t>TST</t>
  </si>
  <si>
    <t>ENSDARG00000093235</t>
  </si>
  <si>
    <t>zgc:162544 [Source:ZFIN;Acc:ZDB-GENE-030131-9020]</t>
  </si>
  <si>
    <t>zgc:154006</t>
  </si>
  <si>
    <t>ENSDARG00000061797</t>
  </si>
  <si>
    <t>zgc:154006 [Source:ZFIN;Acc:ZDB-GENE-061013-134]</t>
  </si>
  <si>
    <t>USMG5</t>
  </si>
  <si>
    <t>ENSDARG00000096003</t>
  </si>
  <si>
    <t>si:dkeyp-80c12.10 [Source:ZFIN;Acc:ZDB-GENE-110914-234]</t>
  </si>
  <si>
    <t>ift57</t>
  </si>
  <si>
    <t>ENSDARG00000021022</t>
  </si>
  <si>
    <t>intraflagellar transport 57 homolog (Chlamydomonas) [Source:ZFIN;Acc:ZDB-GENE-040614-1]</t>
  </si>
  <si>
    <t>sdc4</t>
  </si>
  <si>
    <t>ENSDARG00000059906</t>
  </si>
  <si>
    <t>syndecan 4 [Source:ZFIN;Acc:ZDB-GENE-061111-1]</t>
  </si>
  <si>
    <t>meis1a</t>
  </si>
  <si>
    <t>ENSDARG00000002937</t>
  </si>
  <si>
    <t>Meis homeobox 1 a [Source:ZFIN;Acc:ZDB-GENE-020122-3]</t>
  </si>
  <si>
    <t>phlda2</t>
  </si>
  <si>
    <t>ENSDARG00000042874</t>
  </si>
  <si>
    <t>pleckstrin homology-like domain, family A, member 2 [Source:ZFIN;Acc:ZDB-GENE-050522-73]</t>
  </si>
  <si>
    <t>chchd10</t>
  </si>
  <si>
    <t>ENSDARG00000010717</t>
  </si>
  <si>
    <t>coiled-coil-helix-coiled-coil-helix domain containing 10 [Source:ZFIN;Acc:ZDB-GENE-040426-1753]</t>
  </si>
  <si>
    <t>acyp1</t>
  </si>
  <si>
    <t>ENSDARG00000060126</t>
  </si>
  <si>
    <t>acylphosphatase 1, erythrocyte (common) type [Source:ZFIN;Acc:ZDB-GENE-050309-125]</t>
  </si>
  <si>
    <t>rplp1</t>
  </si>
  <si>
    <t>ENSDARG00000021864</t>
  </si>
  <si>
    <t>ribosomal protein, large, P1 [Source:ZFIN;Acc:ZDB-GENE-030131-8663]</t>
  </si>
  <si>
    <t>man2a2</t>
  </si>
  <si>
    <t>ENSDARG00000063101</t>
  </si>
  <si>
    <t>mannosidase, alpha, class 2A, member 2 [Source:ZFIN;Acc:ZDB-GENE-110331-1]</t>
  </si>
  <si>
    <t>rplp2</t>
  </si>
  <si>
    <t>ENSDARG00000101406</t>
  </si>
  <si>
    <t>ribosomal protein, large P2 [Source:ZFIN;Acc:ZDB-GENE-031018-2]</t>
  </si>
  <si>
    <t>si:ch211-153b23.5</t>
  </si>
  <si>
    <t>ENSDARG00000058206</t>
  </si>
  <si>
    <t>si:ch211-153b23.5 [Source:ZFIN;Acc:ZDB-GENE-030131-9744]</t>
  </si>
  <si>
    <t>rab3aa</t>
  </si>
  <si>
    <t>ENSDARG00000056347</t>
  </si>
  <si>
    <t>RAB3A, member RAS oncogene family, a [Source:ZFIN;Acc:ZDB-GENE-040801-2]</t>
  </si>
  <si>
    <t>arl6</t>
  </si>
  <si>
    <t>ENSDARG00000032056</t>
  </si>
  <si>
    <t>ADP-ribosylation factor-like 6 [Source:ZFIN;Acc:ZDB-GENE-041219-2]</t>
  </si>
  <si>
    <t>lysmd2</t>
  </si>
  <si>
    <t>ENSDARG00000091771</t>
  </si>
  <si>
    <t>LysM, putative peptidoglycan-binding, domain containing 2 [Source:ZFIN;Acc:ZDB-GENE-040801-250]</t>
  </si>
  <si>
    <t>tmsb4x</t>
  </si>
  <si>
    <t>ENSDARG00000077777</t>
  </si>
  <si>
    <t>thymosin, beta 4 x [Source:ZFIN;Acc:ZDB-GENE-030131-8304]</t>
  </si>
  <si>
    <t>si:ch73-57f22.5</t>
  </si>
  <si>
    <t>ENSDARG00000098046</t>
  </si>
  <si>
    <t>si:ch73-57f22.5 [Source:ZFIN;Acc:ZDB-GENE-131120-165]</t>
  </si>
  <si>
    <t>cox6b1</t>
  </si>
  <si>
    <t>ENSDARG00000045230</t>
  </si>
  <si>
    <t>cytochrome c oxidase subunit VIb polypeptide 1 [Source:ZFIN;Acc:ZDB-GENE-040718-448]</t>
  </si>
  <si>
    <t>synrg</t>
  </si>
  <si>
    <t>ENSDARG00000073926</t>
  </si>
  <si>
    <t>synergin, gamma [Source:ZFIN;Acc:ZDB-GENE-030131-9396]</t>
  </si>
  <si>
    <t>atp6v1c1a</t>
  </si>
  <si>
    <t>ENSDARG00000023967</t>
  </si>
  <si>
    <t>ATPase, H+ transporting, lysosomal, V1 subunit C1a [Source:ZFIN;Acc:ZDB-GENE-030616-612]</t>
  </si>
  <si>
    <t>ak4</t>
  </si>
  <si>
    <t>ENSDARG00000006546</t>
  </si>
  <si>
    <t>adenylate kinase 4 [Source:ZFIN;Acc:ZDB-GENE-040426-2505]</t>
  </si>
  <si>
    <t>cox6a1</t>
  </si>
  <si>
    <t>ENSDARG00000022438</t>
  </si>
  <si>
    <t>cytochrome c oxidase subunit VIa polypeptide 1 [Source:ZFIN;Acc:ZDB-GENE-030131-7715]</t>
  </si>
  <si>
    <t>tfg</t>
  </si>
  <si>
    <t>ENSDARG00000003641</t>
  </si>
  <si>
    <t>trk-fused gene [Source:ZFIN;Acc:ZDB-GENE-030131-8410]</t>
  </si>
  <si>
    <t>capgb</t>
  </si>
  <si>
    <t>ENSDARG00000099672</t>
  </si>
  <si>
    <t>capping protein (actin filament), gelsolin-like b [Source:ZFIN;Acc:ZDB-GENE-030131-8541]</t>
  </si>
  <si>
    <t>eef1da</t>
  </si>
  <si>
    <t>ENSDARG00000102291</t>
  </si>
  <si>
    <t>eukaryotic translation elongation factor 1 delta a (guanine nucleotide exchange protein) [Source:ZFIN;Acc:ZDB-GENE-040426-2740]</t>
  </si>
  <si>
    <t>scg3</t>
  </si>
  <si>
    <t>ENSDARG00000086288</t>
  </si>
  <si>
    <t>secretogranin III [Source:ZFIN;Acc:ZDB-GENE-040426-1725]</t>
  </si>
  <si>
    <t>hagh</t>
  </si>
  <si>
    <t>ENSDARG00000025338</t>
  </si>
  <si>
    <t>hydroxyacylglutathione hydrolase [Source:ZFIN;Acc:ZDB-GENE-030131-8921]</t>
  </si>
  <si>
    <t>xbp1</t>
  </si>
  <si>
    <t>ENSDARG00000035622</t>
  </si>
  <si>
    <t>X-box binding protein 1 [Source:ZFIN;Acc:ZDB-GENE-011210-2]</t>
  </si>
  <si>
    <t>si:ch211-195b11.3</t>
  </si>
  <si>
    <t>ENSDARG00000100582</t>
  </si>
  <si>
    <t>si:ch211-195b11.3 [Source:ZFIN;Acc:ZDB-GENE-141222-6]</t>
  </si>
  <si>
    <t>cox17</t>
  </si>
  <si>
    <t>ENSDARG00000069920</t>
  </si>
  <si>
    <t>COX17 cytochrome c oxidase copper chaperone [Source:ZFIN;Acc:ZDB-GENE-040912-91]</t>
  </si>
  <si>
    <t>prdx5</t>
  </si>
  <si>
    <t>ENSDARG00000055064</t>
  </si>
  <si>
    <t>peroxiredoxin 5 [Source:ZFIN;Acc:ZDB-GENE-050522-159]</t>
  </si>
  <si>
    <t>id1.1</t>
  </si>
  <si>
    <t>ENSDARG00000096939</t>
  </si>
  <si>
    <t>zgc:103586</t>
  </si>
  <si>
    <t>ENSDARG00000036426</t>
  </si>
  <si>
    <t>zgc:103586 [Source:ZFIN;Acc:ZDB-GENE-041114-88]</t>
  </si>
  <si>
    <t>map9</t>
  </si>
  <si>
    <t>ENSDARG00000037276</t>
  </si>
  <si>
    <t>microtubule-associated protein 9 [Source:ZFIN;Acc:ZDB-GENE-080225-36]</t>
  </si>
  <si>
    <t>ift20</t>
  </si>
  <si>
    <t>ENSDARG00000040556</t>
  </si>
  <si>
    <t>intraflagellar transport 20 homolog (Chlamydomonas) [Source:ZFIN;Acc:ZDB-GENE-040614-2]</t>
  </si>
  <si>
    <t>anp32e</t>
  </si>
  <si>
    <t>ENSDARG00000054804</t>
  </si>
  <si>
    <t>acidic (leucine-rich) nuclear phosphoprotein 32 family, member E [Source:ZFIN;Acc:ZDB-GENE-040426-2448]</t>
  </si>
  <si>
    <t>sqstm1</t>
  </si>
  <si>
    <t>ENSDARG00000075014</t>
  </si>
  <si>
    <t>sequestosome 1 [Source:ZFIN;Acc:ZDB-GENE-040426-2204]</t>
  </si>
  <si>
    <t>cdc34a</t>
  </si>
  <si>
    <t>ENSDARG00000069708</t>
  </si>
  <si>
    <t>cell division cycle 34 homolog (S. cerevisiae) a [Source:ZFIN;Acc:ZDB-GENE-040426-713]</t>
  </si>
  <si>
    <t>btg1</t>
  </si>
  <si>
    <t>ENSDARG00000027249</t>
  </si>
  <si>
    <t>B-cell translocation gene 1, anti-proliferative [Source:ZFIN;Acc:ZDB-GENE-010726-1]</t>
  </si>
  <si>
    <t>rfc5</t>
  </si>
  <si>
    <t>ENSDARG00000035634</t>
  </si>
  <si>
    <t>replication factor C (activator 1) 5 [Source:ZFIN;Acc:ZDB-GENE-040907-1]</t>
  </si>
  <si>
    <t>zgc:153867</t>
  </si>
  <si>
    <t>ENSDARG00000033738</t>
  </si>
  <si>
    <t>zgc:153867 [Source:ZFIN;Acc:ZDB-GENE-030131-9170]</t>
  </si>
  <si>
    <t>cap2</t>
  </si>
  <si>
    <t>ENSDARG00000104478</t>
  </si>
  <si>
    <t>CAP, adenylate cyclase-associated protein, 2 (yeast) [Source:ZFIN;Acc:ZDB-GENE-040426-1758]</t>
  </si>
  <si>
    <t>CABZ01079721.1</t>
  </si>
  <si>
    <t>ENSDARG00000101951</t>
  </si>
  <si>
    <t>si:dkey-11c5.11</t>
  </si>
  <si>
    <t>ENSDARG00000096637</t>
  </si>
  <si>
    <t>si:dkey-11c5.11 [Source:ZFIN;Acc:ZDB-GENE-121214-253]</t>
  </si>
  <si>
    <t>uggt2</t>
  </si>
  <si>
    <t>ENSDARG00000062089</t>
  </si>
  <si>
    <t>UDP-glucose glycoprotein glucosyltransferase 2 [Source:ZFIN;Acc:ZDB-GENE-050517-21]</t>
  </si>
  <si>
    <t>atp6v1ba</t>
  </si>
  <si>
    <t>ENSDARG00000013443</t>
  </si>
  <si>
    <t>ATPase, H+ transporting, lysosomal, V1 subunit B, member a [Source:ZFIN;Acc:ZDB-GENE-030711-3]</t>
  </si>
  <si>
    <t>dpcd</t>
  </si>
  <si>
    <t>ENSDARG00000060501</t>
  </si>
  <si>
    <t>deleted in primary ciliary dyskinesia homolog (mouse) [Source:ZFIN;Acc:ZDB-GENE-060825-166]</t>
  </si>
  <si>
    <t>gb:bc139872</t>
  </si>
  <si>
    <t>ENSDARG00000086753</t>
  </si>
  <si>
    <t>expressed sequence BC139872 [Source:ZFIN;Acc:ZDB-GENE-111013-4]</t>
  </si>
  <si>
    <t>plekhb2</t>
  </si>
  <si>
    <t>ENSDARG00000013928</t>
  </si>
  <si>
    <t>pleckstrin homology domain containing, family B (evectins) member 2 [Source:ZFIN;Acc:ZDB-GENE-040426-754]</t>
  </si>
  <si>
    <t>pdia3</t>
  </si>
  <si>
    <t>ENSDARG00000102640</t>
  </si>
  <si>
    <t>protein disulfide isomerase family A, member 3 [Source:ZFIN;Acc:ZDB-GENE-031002-9]</t>
  </si>
  <si>
    <t>atp5o</t>
  </si>
  <si>
    <t>ENSDARG00000001788</t>
  </si>
  <si>
    <t>ATP synthase, H+ transporting, mitochondrial F1 complex, O subunit [Source:ZFIN;Acc:ZDB-GENE-050522-147]</t>
  </si>
  <si>
    <t>mipol1</t>
  </si>
  <si>
    <t>ENSDARG00000104845</t>
  </si>
  <si>
    <t>mirror-image polydactyly 1 [Source:ZFIN;Acc:ZDB-GENE-030131-41]</t>
  </si>
  <si>
    <t>pgd</t>
  </si>
  <si>
    <t>ENSDARG00000015343</t>
  </si>
  <si>
    <t>phosphogluconate dehydrogenase [Source:ZFIN;Acc:ZDB-GENE-040426-2807]</t>
  </si>
  <si>
    <t>cox5aa</t>
  </si>
  <si>
    <t>ENSDARG00000088383</t>
  </si>
  <si>
    <t>cytochrome c oxidase subunit Vaa [Source:ZFIN;Acc:ZDB-GENE-050522-133]</t>
  </si>
  <si>
    <t>hddc2</t>
  </si>
  <si>
    <t>ENSDARG00000034957</t>
  </si>
  <si>
    <t>HD domain containing 2 [Source:ZFIN;Acc:ZDB-GENE-050522-394]</t>
  </si>
  <si>
    <t>capn8</t>
  </si>
  <si>
    <t>ENSDARG00000055715</t>
  </si>
  <si>
    <t>calpain 8 [Source:ZFIN;Acc:ZDB-GENE-050522-279]</t>
  </si>
  <si>
    <t>bcl2l10</t>
  </si>
  <si>
    <t>ENSDARG00000026766</t>
  </si>
  <si>
    <t>BCL2-like 10 (apoptosis facilitator) [Source:ZFIN;Acc:ZDB-GENE-030825-2]</t>
  </si>
  <si>
    <t>id4</t>
  </si>
  <si>
    <t>ENSDARG00000045131</t>
  </si>
  <si>
    <t>inhibitor of DNA binding 4 [Source:ZFIN;Acc:ZDB-GENE-051113-208]</t>
  </si>
  <si>
    <t>ndufa7</t>
  </si>
  <si>
    <t>ENSDARG00000036684</t>
  </si>
  <si>
    <t>NADH dehydrogenase (ubiquinone) 1 alpha subcomplex, 7 [Source:ZFIN;Acc:ZDB-GENE-040801-169]</t>
  </si>
  <si>
    <t>pgk1</t>
  </si>
  <si>
    <t>ENSDARG00000054191</t>
  </si>
  <si>
    <t>phosphoglycerate kinase 1 [Source:ZFIN;Acc:ZDB-GENE-040426-2711]</t>
  </si>
  <si>
    <t>cycsb</t>
  </si>
  <si>
    <t>ENSDARG00000044562</t>
  </si>
  <si>
    <t>cytochrome c, somatic b [Source:ZFIN;Acc:ZDB-GENE-040625-38]</t>
  </si>
  <si>
    <t>pir</t>
  </si>
  <si>
    <t>ENSDARG00000056638</t>
  </si>
  <si>
    <t>pirin [Source:ZFIN;Acc:ZDB-GENE-040718-288]</t>
  </si>
  <si>
    <t>ndufa12</t>
  </si>
  <si>
    <t>ENSDARG00000042469</t>
  </si>
  <si>
    <t>NADH dehydrogenase (ubiquinone) 1 alpha subcomplex, 12 [Source:ZFIN;Acc:ZDB-GENE-050828-1]</t>
  </si>
  <si>
    <t>ppiaa</t>
  </si>
  <si>
    <t>ENSDARG00000009212</t>
  </si>
  <si>
    <t>peptidylprolyl isomerase Aa (cyclophilin A) [Source:ZFIN;Acc:ZDB-GENE-030131-8556]</t>
  </si>
  <si>
    <t>six1a</t>
  </si>
  <si>
    <t>ENSDARG00000039304</t>
  </si>
  <si>
    <t>SIX homeobox 1a [Source:ZFIN;Acc:ZDB-GENE-040718-155]</t>
  </si>
  <si>
    <t>spag7</t>
  </si>
  <si>
    <t>ENSDARG00000011555</t>
  </si>
  <si>
    <t>sperm associated antigen 7 [Source:ZFIN;Acc:ZDB-GENE-040426-1632]</t>
  </si>
  <si>
    <t>zgc:171699</t>
  </si>
  <si>
    <t>ENSDARG00000095966</t>
  </si>
  <si>
    <t>zgc:171699 [Source:ZFIN;Acc:ZDB-GENE-071004-24]</t>
  </si>
  <si>
    <t>rpl24</t>
  </si>
  <si>
    <t>ENSDARG00000099104</t>
  </si>
  <si>
    <t>ribosomal protein L24 [Source:ZFIN;Acc:ZDB-GENE-020419-25]</t>
  </si>
  <si>
    <t>hk1</t>
  </si>
  <si>
    <t>ENSDARG00000039452</t>
  </si>
  <si>
    <t>hexokinase 1 [Source:ZFIN;Acc:ZDB-GENE-040426-2848]</t>
  </si>
  <si>
    <t>NDUFC1</t>
  </si>
  <si>
    <t>ENSDARG00000103101</t>
  </si>
  <si>
    <t>si:ch211-235e9.6 [Source:ZFIN;Acc:ZDB-GENE-141216-417]</t>
  </si>
  <si>
    <t>sod2</t>
  </si>
  <si>
    <t>ENSDARG00000042644</t>
  </si>
  <si>
    <t>superoxide dismutase 2, mitochondrial [Source:ZFIN;Acc:ZDB-GENE-030131-7742]</t>
  </si>
  <si>
    <t>rsg1</t>
  </si>
  <si>
    <t>ENSDARG00000028442</t>
  </si>
  <si>
    <t>REM2 and RAB-like small GTPase 1 [Source:ZFIN;Acc:ZDB-GENE-040912-80]</t>
  </si>
  <si>
    <t>mdh2</t>
  </si>
  <si>
    <t>ENSDARG00000043371</t>
  </si>
  <si>
    <t>malate dehydrogenase 2, NAD (mitochondrial) [Source:ZFIN;Acc:ZDB-GENE-040426-2143]</t>
  </si>
  <si>
    <t>tctex1d1</t>
  </si>
  <si>
    <t>ENSDARG00000103545</t>
  </si>
  <si>
    <t>Tctex1 domain containing 1 [Source:ZFIN;Acc:ZDB-GENE-040912-49]</t>
  </si>
  <si>
    <t>arf2a</t>
  </si>
  <si>
    <t>ENSDARG00000014763</t>
  </si>
  <si>
    <t>ADP-ribosylation factor 2a [Source:ZFIN;Acc:ZDB-GENE-040122-4]</t>
  </si>
  <si>
    <t>ubtd2</t>
  </si>
  <si>
    <t>ENSDARG00000069184</t>
  </si>
  <si>
    <t>ubiquitin domain containing 2 [Source:ZFIN;Acc:ZDB-GENE-040718-473]</t>
  </si>
  <si>
    <t>si:dkey-78l4.14</t>
  </si>
  <si>
    <t>ENSDARG00000071378</t>
  </si>
  <si>
    <t>si:dkey-78l4.14 [Source:ZFIN;Acc:ZDB-GENE-050309-178]</t>
  </si>
  <si>
    <t>isca2</t>
  </si>
  <si>
    <t>ENSDARG00000038154</t>
  </si>
  <si>
    <t>iron-sulfur cluster assembly 2 [Source:ZFIN;Acc:ZDB-GENE-131121-486]</t>
  </si>
  <si>
    <t>emx2</t>
  </si>
  <si>
    <t>ENSDARG00000039701</t>
  </si>
  <si>
    <t>empty spiracles homeobox 2 [Source:ZFIN;Acc:ZDB-GENE-990415-54]</t>
  </si>
  <si>
    <t>hadhaa</t>
  </si>
  <si>
    <t>ENSDARG00000057128</t>
  </si>
  <si>
    <t>hydroxyacyl-CoA dehydrogenase/3-ketoacyl-CoA thiolase/enoyl-CoA hydratase (trifunctional protein), alpha subunit a [Source:ZFIN;Acc:ZDB-GENE-031222-5]</t>
  </si>
  <si>
    <t>rps28</t>
  </si>
  <si>
    <t>ENSDARG00000035860</t>
  </si>
  <si>
    <t>ribosomal protein S28 [Source:ZFIN;Acc:ZDB-GENE-030131-2022]</t>
  </si>
  <si>
    <t>mrpl20</t>
  </si>
  <si>
    <t>ENSDARG00000090462</t>
  </si>
  <si>
    <t>mitochondrial ribosomal protein L20 [Source:ZFIN;Acc:ZDB-GENE-030131-5299]</t>
  </si>
  <si>
    <t>dbi</t>
  </si>
  <si>
    <t>ENSDARG00000026369</t>
  </si>
  <si>
    <t>diazepam binding inhibitor (GABA receptor modulator, acyl-CoA binding protein) [Source:ZFIN;Acc:ZDB-GENE-040426-1861]</t>
  </si>
  <si>
    <t>sec61g</t>
  </si>
  <si>
    <t>ENSDARG00000018637</t>
  </si>
  <si>
    <t>Sec61 translocon gamma subunit [Source:ZFIN;Acc:ZDB-GENE-040718-203]</t>
  </si>
  <si>
    <t>atp6v0d1</t>
  </si>
  <si>
    <t>ENSDARG00000069090</t>
  </si>
  <si>
    <t>ATPase, H+ transporting, lysosomal V0 subunit d1 [Source:ZFIN;Acc:ZDB-GENE-030131-1531]</t>
  </si>
  <si>
    <t>ndufb5</t>
  </si>
  <si>
    <t>ENSDARG00000070824</t>
  </si>
  <si>
    <t>NADH dehydrogenase (ubiquinone) 1 beta subcomplex 5 [Source:ZFIN;Acc:ZDB-GENE-011010-1]</t>
  </si>
  <si>
    <t>cops5</t>
  </si>
  <si>
    <t>ENSDARG00000057624</t>
  </si>
  <si>
    <t>COP9 signalosome subunit 5 [Source:ZFIN;Acc:ZDB-GENE-040426-1686]</t>
  </si>
  <si>
    <t>sox21a</t>
  </si>
  <si>
    <t>ENSDARG00000031664</t>
  </si>
  <si>
    <t>SRY (sex determining region Y)-box 21a [Source:ZFIN;Acc:ZDB-GENE-990715-6]</t>
  </si>
  <si>
    <t>rpl29</t>
  </si>
  <si>
    <t>ENSDARG00000077717</t>
  </si>
  <si>
    <t>ribosomal protein L29 [Source:ZFIN;Acc:ZDB-GENE-040801-167]</t>
  </si>
  <si>
    <t>ndufb6</t>
  </si>
  <si>
    <t>ENSDARG00000037259</t>
  </si>
  <si>
    <t>NADH dehydrogenase (ubiquinone) 1 beta subcomplex, 6 [Source:ZFIN;Acc:ZDB-GENE-040426-1781]</t>
  </si>
  <si>
    <t>cox6c</t>
  </si>
  <si>
    <t>ENSDARG00000038577</t>
  </si>
  <si>
    <t>cytochrome c oxidase subunit VIc [Source:ZFIN;Acc:ZDB-GENE-040724-95]</t>
  </si>
  <si>
    <t>phtf2</t>
  </si>
  <si>
    <t>ENSDARG00000102123</t>
  </si>
  <si>
    <t>putative homeodomain transcription factor 2 [Source:ZFIN;Acc:ZDB-GENE-040711-4]</t>
  </si>
  <si>
    <t>tusc3</t>
  </si>
  <si>
    <t>ENSDARG00000078854</t>
  </si>
  <si>
    <t>tumor suppressor candidate 3 [Source:ZFIN;Acc:ZDB-GENE-050522-381]</t>
  </si>
  <si>
    <t>nfu1</t>
  </si>
  <si>
    <t>ENSDARG00000068125</t>
  </si>
  <si>
    <t>NFU1 iron-sulfur cluster scaffold homolog (S. cerevisiae) [Source:ZFIN;Acc:ZDB-GENE-050417-365]</t>
  </si>
  <si>
    <t>cox4i1l</t>
  </si>
  <si>
    <t>ENSDARG00000012388</t>
  </si>
  <si>
    <t>cytochrome c oxidase subunit IV isoform 1, like [Source:ZFIN;Acc:ZDB-GENE-130814-2]</t>
  </si>
  <si>
    <t>dynll2b</t>
  </si>
  <si>
    <t>ENSDARG00000005172</t>
  </si>
  <si>
    <t>dynein, light chain, LC8-type 2b [Source:ZFIN;Acc:ZDB-GENE-050320-132]</t>
  </si>
  <si>
    <t>irx2a</t>
  </si>
  <si>
    <t>ENSDARG00000001785</t>
  </si>
  <si>
    <t>iroquois homeobox 2a [Source:ZFIN;Acc:ZDB-GENE-040426-1446]</t>
  </si>
  <si>
    <t>fgfr1op</t>
  </si>
  <si>
    <t>ENSDARG00000003058</t>
  </si>
  <si>
    <t>FGFR1 oncogene partner [Source:ZFIN;Acc:ZDB-GENE-090417-1]</t>
  </si>
  <si>
    <t>cldnh</t>
  </si>
  <si>
    <t>ENSDARG00000069503</t>
  </si>
  <si>
    <t>claudin h [Source:ZFIN;Acc:ZDB-GENE-010328-8]</t>
  </si>
  <si>
    <t>eml2</t>
  </si>
  <si>
    <t>ENSDARG00000008808</t>
  </si>
  <si>
    <t>echinoderm microtubule associated protein like 2 [Source:ZFIN;Acc:ZDB-GENE-050706-71]</t>
  </si>
  <si>
    <t>CR847847.1</t>
  </si>
  <si>
    <t>ENSDARG00000087096</t>
  </si>
  <si>
    <t>ruvbl1</t>
  </si>
  <si>
    <t>ENSDARG00000002591</t>
  </si>
  <si>
    <t>RuvB-like AAA ATPase 1 [Source:ZFIN;Acc:ZDB-GENE-030109-2]</t>
  </si>
  <si>
    <t>nfe2l2a</t>
  </si>
  <si>
    <t>ENSDARG00000042824</t>
  </si>
  <si>
    <t>nuclear factor, erythroid 2-like 2a [Source:ZFIN;Acc:ZDB-GENE-030723-2]</t>
  </si>
  <si>
    <t>vdac3</t>
  </si>
  <si>
    <t>ENSDARG00000003695</t>
  </si>
  <si>
    <t>voltage-dependent anion channel 3 [Source:ZFIN;Acc:ZDB-GENE-040426-2380]</t>
  </si>
  <si>
    <t>atp5c1</t>
  </si>
  <si>
    <t>ENSDARG00000045514</t>
  </si>
  <si>
    <t>ATP synthase, H+ transporting, mitochondrial F1 complex, gamma polypeptide 1 [Source:ZFIN;Acc:ZDB-GENE-030131-8901]</t>
  </si>
  <si>
    <t>bag1</t>
  </si>
  <si>
    <t>ENSDARG00000020895</t>
  </si>
  <si>
    <t>BCL2-associated athanogene 1 [Source:ZFIN;Acc:ZDB-GENE-050309-89]</t>
  </si>
  <si>
    <t>ndufs6</t>
  </si>
  <si>
    <t>ENSDARG00000056583</t>
  </si>
  <si>
    <t>NADH dehydrogenase (ubiquinone) Fe-S protein 6 [Source:ZFIN;Acc:ZDB-GENE-040912-86]</t>
  </si>
  <si>
    <t>atp5ib</t>
  </si>
  <si>
    <t>ENSDARG00000068940</t>
  </si>
  <si>
    <t>ATP synthase, H+ transporting, mitochondrial Fo complex, subunit Eb [Source:ZFIN;Acc:ZDB-GENE-051130-1]</t>
  </si>
  <si>
    <t>cox7a3</t>
  </si>
  <si>
    <t>ENSDARG00000054907</t>
  </si>
  <si>
    <t>cytochrome c oxidase subunit VIIa polypeptide 3 [Source:ZFIN;Acc:ZDB-GENE-030131-7691]</t>
  </si>
  <si>
    <t>vapb</t>
  </si>
  <si>
    <t>ENSDARG00000070435</t>
  </si>
  <si>
    <t>VAMP (vesicle-associated membrane protein)-associated protein B and C [Source:ZFIN;Acc:ZDB-GENE-030131-2348]</t>
  </si>
  <si>
    <t>si:dkey-188i13.11</t>
  </si>
  <si>
    <t>ENSDARG00000092895</t>
  </si>
  <si>
    <t>si:dkey-188i13.11 [Source:ZFIN;Acc:ZDB-GENE-090313-209]</t>
  </si>
  <si>
    <t>cltcb</t>
  </si>
  <si>
    <t>ENSDARG00000090716</t>
  </si>
  <si>
    <t>clathrin, heavy chain b (Hc) [Source:ZFIN;Acc:ZDB-GENE-050227-12]</t>
  </si>
  <si>
    <t>UQCR10</t>
  </si>
  <si>
    <t>ENSDARG00000104517</t>
  </si>
  <si>
    <t>ubiquinol-cytochrome c reductase, complex III subunit X [Source:HGNC Symbol;Acc:HGNC:30863]</t>
  </si>
  <si>
    <t>tomm40l</t>
  </si>
  <si>
    <t>ENSDARG00000036721</t>
  </si>
  <si>
    <t>translocase of outer mitochondrial membrane 40 homolog, like [Source:ZFIN;Acc:ZDB-GENE-040426-2319]</t>
  </si>
  <si>
    <t>wu:fj16a03</t>
  </si>
  <si>
    <t>ENSDARG00000100952</t>
  </si>
  <si>
    <t>wu:fj16a03 [Source:EntrezGene;Acc:335475]</t>
  </si>
  <si>
    <t>cyb5d1</t>
  </si>
  <si>
    <t>ENSDARG00000056007</t>
  </si>
  <si>
    <t>cytochrome b5 domain containing 1 [Source:ZFIN;Acc:ZDB-GENE-050417-173]</t>
  </si>
  <si>
    <t>rabif</t>
  </si>
  <si>
    <t>ENSDARG00000002690</t>
  </si>
  <si>
    <t>RAB interacting factor [Source:ZFIN;Acc:ZDB-GENE-040718-216]</t>
  </si>
  <si>
    <t>rpl34</t>
  </si>
  <si>
    <t>ENSDARG00000029500</t>
  </si>
  <si>
    <t>ribosomal protein L34 [Source:ZFIN;Acc:ZDB-GENE-040426-1033]</t>
  </si>
  <si>
    <t>rpl12</t>
  </si>
  <si>
    <t>ENSDARG00000006691</t>
  </si>
  <si>
    <t>ribosomal protein L12 [Source:ZFIN;Acc:ZDB-GENE-030131-5297]</t>
  </si>
  <si>
    <t>oaz1b</t>
  </si>
  <si>
    <t>ENSDARG00000104782</t>
  </si>
  <si>
    <t>ornithine decarboxylase antizyme 1b [Source:ZFIN;Acc:ZDB-GENE-020731-5]</t>
  </si>
  <si>
    <t>rpl26</t>
  </si>
  <si>
    <t>ENSDARG00000102317</t>
  </si>
  <si>
    <t>ribosomal protein L26 [Source:ZFIN;Acc:ZDB-GENE-040426-2117]</t>
  </si>
  <si>
    <t>RPL41</t>
  </si>
  <si>
    <t>ENSDARG00000092807</t>
  </si>
  <si>
    <t>si:dkey-151g10.6 [Source:ZFIN;Acc:ZDB-GENE-030131-7528]</t>
  </si>
  <si>
    <t>atp5b</t>
  </si>
  <si>
    <t>ENSDARG00000070083</t>
  </si>
  <si>
    <t>ATP synthase, H+ transporting, mitochondrial F1 complex, beta polypeptide [Source:ZFIN;Acc:ZDB-GENE-030131-124]</t>
  </si>
  <si>
    <t>atp6v1h</t>
  </si>
  <si>
    <t>ENSDARG00000006370</t>
  </si>
  <si>
    <t>ATPase, H+ transporting, lysosomal V1 subunit H [Source:ZFIN;Acc:ZDB-GENE-021219-2]</t>
  </si>
  <si>
    <t>ndufa4l</t>
  </si>
  <si>
    <t>ENSDARG00000099499</t>
  </si>
  <si>
    <t>NADH dehydrogenase (ubiquinone) 1 alpha subcomplex 4, like [Source:ZFIN;Acc:ZDB-GENE-040426-2756]</t>
  </si>
  <si>
    <t>trappc4</t>
  </si>
  <si>
    <t>ENSDARG00000027418</t>
  </si>
  <si>
    <t>trafficking protein particle complex 4 [Source:ZFIN;Acc:ZDB-GENE-040426-1734]</t>
  </si>
  <si>
    <t>rps21</t>
  </si>
  <si>
    <t>ENSDARG00000025850</t>
  </si>
  <si>
    <t>ribosomal protein S21 [Source:ZFIN;Acc:ZDB-GENE-040426-1102]</t>
  </si>
  <si>
    <t>klf17</t>
  </si>
  <si>
    <t>ENSDARG00000038792</t>
  </si>
  <si>
    <t>Kruppel-like factor 17 [Source:ZFIN;Acc:ZDB-GENE-010129-1]</t>
  </si>
  <si>
    <t>ndufa10</t>
  </si>
  <si>
    <t>ENSDARG00000013333</t>
  </si>
  <si>
    <t>NADH dehydrogenase (ubiquinone) 1 alpha subcomplex, 10 [Source:ZFIN;Acc:ZDB-GENE-030131-670]</t>
  </si>
  <si>
    <t>ppib</t>
  </si>
  <si>
    <t>ENSDARG00000092798</t>
  </si>
  <si>
    <t>peptidylprolyl isomerase B (cyclophilin B) [Source:ZFIN;Acc:ZDB-GENE-040426-1955]</t>
  </si>
  <si>
    <t>nme3</t>
  </si>
  <si>
    <t>ENSDARG00000100990</t>
  </si>
  <si>
    <t>NME/NM23 nucleoside diphosphate kinase 3 [Source:ZFIN;Acc:ZDB-GENE-000210-34]</t>
  </si>
  <si>
    <t>ift74</t>
  </si>
  <si>
    <t>ENSDARG00000023495</t>
  </si>
  <si>
    <t>intraflagellar transport 74 [Source:ZFIN;Acc:ZDB-GENE-040718-81]</t>
  </si>
  <si>
    <t>rps20</t>
  </si>
  <si>
    <t>ENSDARG00000036044</t>
  </si>
  <si>
    <t>ribosomal protein S20 [Source:ZFIN;Acc:ZDB-GENE-040426-2284]</t>
  </si>
  <si>
    <t>gpatch11</t>
  </si>
  <si>
    <t>ENSDARG00000026892</t>
  </si>
  <si>
    <t>G patch domain containing 11 [Source:ZFIN;Acc:ZDB-GENE-040718-89]</t>
  </si>
  <si>
    <t>ndufb3</t>
  </si>
  <si>
    <t>ENSDARG00000075709</t>
  </si>
  <si>
    <t>NADH dehydrogenase (ubiquinone) 1 beta subcomplex, 3 [Source:EntrezGene;Acc:100332034]</t>
  </si>
  <si>
    <t>dap1b.1</t>
  </si>
  <si>
    <t>ENSDARG00000086842</t>
  </si>
  <si>
    <t>death associated protein 1b [Source:ZFIN;Acc:ZDB-GENE-000511-4]</t>
  </si>
  <si>
    <t>rps15a</t>
  </si>
  <si>
    <t>ENSDARG00000010160</t>
  </si>
  <si>
    <t>ribosomal protein S15a [Source:ZFIN;Acc:ZDB-GENE-030131-8708]</t>
  </si>
  <si>
    <t>trappc2l</t>
  </si>
  <si>
    <t>ENSDARG00000100109</t>
  </si>
  <si>
    <t>trafficking protein particle complex 2-like [Source:ZFIN;Acc:ZDB-GENE-040801-249]</t>
  </si>
  <si>
    <t>rpl11</t>
  </si>
  <si>
    <t>ENSDARG00000043509</t>
  </si>
  <si>
    <t>ribosomal protein L11 [Source:ZFIN;Acc:ZDB-GENE-040625-147]</t>
  </si>
  <si>
    <t>reep3b</t>
  </si>
  <si>
    <t>ENSDARG00000004160</t>
  </si>
  <si>
    <t>receptor accessory protein 3b [Source:ZFIN;Acc:ZDB-GENE-040426-730]</t>
  </si>
  <si>
    <t>selm</t>
  </si>
  <si>
    <t>ENSDARG00000051957</t>
  </si>
  <si>
    <t>selenoprotein M [Source:ZFIN;Acc:ZDB-GENE-030410-4]</t>
  </si>
  <si>
    <t>atp5e</t>
  </si>
  <si>
    <t>ENSDARG00000095897</t>
  </si>
  <si>
    <t>ATP synthase, H+ transporting, mitochondrial F1 complex, epsilon subunit [Source:ZFIN;Acc:ZDB-GENE-110411-22]</t>
  </si>
  <si>
    <t>uqcrfs1</t>
  </si>
  <si>
    <t>ENSDARG00000007745</t>
  </si>
  <si>
    <t>ubiquinol-cytochrome c reductase, Rieske iron-sulfur polypeptide 1 [Source:ZFIN;Acc:ZDB-GENE-040426-2060]</t>
  </si>
  <si>
    <t>gabarapl2</t>
  </si>
  <si>
    <t>ENSDARG00000027200</t>
  </si>
  <si>
    <t>GABA(A) receptor-associated protein like 2 [Source:ZFIN;Acc:ZDB-GENE-040718-336]</t>
  </si>
  <si>
    <t>spaca4l</t>
  </si>
  <si>
    <t>ENSDARG00000100431</t>
  </si>
  <si>
    <t>sperm acrosome associated 4 like [Source:ZFIN;Acc:ZDB-GENE-101011-2]</t>
  </si>
  <si>
    <t>rpl35</t>
  </si>
  <si>
    <t>ENSDARG00000018334</t>
  </si>
  <si>
    <t>ribosomal protein L35 [Source:ZFIN;Acc:ZDB-GENE-020419-2]</t>
  </si>
  <si>
    <t>cfl1l</t>
  </si>
  <si>
    <t>ENSDARG00000012972</t>
  </si>
  <si>
    <t>cofilin 1 (non-muscle), like [Source:ZFIN;Acc:ZDB-GENE-040426-2770]</t>
  </si>
  <si>
    <t>rpl36</t>
  </si>
  <si>
    <t>ENSDARG00000100588</t>
  </si>
  <si>
    <t>ribosomal protein L36 [Source:ZFIN;Acc:ZDB-GENE-040622-2]</t>
  </si>
  <si>
    <t>cbln20</t>
  </si>
  <si>
    <t>ENSDARG00000087476</t>
  </si>
  <si>
    <t>cerebellin 20 [Source:ZFIN;Acc:ZDB-GENE-111109-2]</t>
  </si>
  <si>
    <t>pnrc2</t>
  </si>
  <si>
    <t>ENSDARG00000053291</t>
  </si>
  <si>
    <t>proline-rich nuclear receptor coactivator 2 [Source:ZFIN;Acc:ZDB-GENE-030131-5475]</t>
  </si>
  <si>
    <t>ptmaa</t>
  </si>
  <si>
    <t>ENSDARG00000021113</t>
  </si>
  <si>
    <t>prothymosin, alpha a [Source:ZFIN;Acc:ZDB-GENE-030131-7647]</t>
  </si>
  <si>
    <t>sdhb</t>
  </si>
  <si>
    <t>ENSDARG00000075768</t>
  </si>
  <si>
    <t>succinate dehydrogenase complex, subunit B, iron sulfur (Ip) [Source:ZFIN;Acc:ZDB-GENE-030131-8005]</t>
  </si>
  <si>
    <t>rpl37.1</t>
  </si>
  <si>
    <t>ENSDARG00000076360</t>
  </si>
  <si>
    <t>ribosomal protein L37 [Source:ZFIN;Acc:ZDB-GENE-040625-39]</t>
  </si>
  <si>
    <t>spag1a</t>
  </si>
  <si>
    <t>ENSDARG00000004017</t>
  </si>
  <si>
    <t>sperm associated antigen 1a [Source:ZFIN;Acc:ZDB-GENE-030131-9443]</t>
  </si>
  <si>
    <t>soul2</t>
  </si>
  <si>
    <t>ENSDARG00000039499</t>
  </si>
  <si>
    <t>heme-binding protein soul2 [Source:ZFIN;Acc:ZDB-GENE-030131-2524]</t>
  </si>
  <si>
    <t>ndufa8</t>
  </si>
  <si>
    <t>ENSDARG00000058041</t>
  </si>
  <si>
    <t>NADH dehydrogenase (ubiquinone) 1 alpha subcomplex, 8 [Source:ZFIN;Acc:ZDB-GENE-040426-1688]</t>
  </si>
  <si>
    <t>gpx4a</t>
  </si>
  <si>
    <t>ENSDARG00000068478</t>
  </si>
  <si>
    <t>glutathione peroxidase 4a [Source:ZFIN;Acc:ZDB-GENE-030410-2]</t>
  </si>
  <si>
    <t>cetn3</t>
  </si>
  <si>
    <t>ENSDARG00000011825</t>
  </si>
  <si>
    <t>centrin 3 [Source:ZFIN;Acc:ZDB-GENE-050522-152]</t>
  </si>
  <si>
    <t>ptges3a</t>
  </si>
  <si>
    <t>ENSDARG00000037284</t>
  </si>
  <si>
    <t>prostaglandin E synthase 3a (cytosolic) [Source:ZFIN;Acc:ZDB-GENE-040426-2200]</t>
  </si>
  <si>
    <t>ndufv2</t>
  </si>
  <si>
    <t>ENSDARG00000013044</t>
  </si>
  <si>
    <t>NADH dehydrogenase (ubiquinone) flavoprotein 2 [Source:ZFIN;Acc:ZDB-GENE-040426-1713]</t>
  </si>
  <si>
    <t>cox7b</t>
  </si>
  <si>
    <t>ENSDARG00000098250</t>
  </si>
  <si>
    <t>cytochrome c oxidase subunit VIIb [Source:ZFIN;Acc:ZDB-GENE-030131-6602]</t>
  </si>
  <si>
    <t>wrb</t>
  </si>
  <si>
    <t>ENSDARG00000074271</t>
  </si>
  <si>
    <t>tryptophan rich basic protein [Source:ZFIN;Acc:ZDB-GENE-030131-7696]</t>
  </si>
  <si>
    <t>si:dkey-222f2.1</t>
  </si>
  <si>
    <t>ENSDARG00000043242</t>
  </si>
  <si>
    <t>si:dkey-222f2.1 [Source:ZFIN;Acc:ZDB-GENE-050208-726]</t>
  </si>
  <si>
    <t>RPL37A</t>
  </si>
  <si>
    <t>ENSDARG00000098458</t>
  </si>
  <si>
    <t>zgc:171772 [Source:ZFIN;Acc:ZDB-GENE-070928-31]</t>
  </si>
  <si>
    <t>rps4x</t>
  </si>
  <si>
    <t>ENSDARG00000014690</t>
  </si>
  <si>
    <t>ribosomal protein S4, X-linked [Source:ZFIN;Acc:ZDB-GENE-040927-19]</t>
  </si>
  <si>
    <t>got2b</t>
  </si>
  <si>
    <t>ENSDARG00000005840</t>
  </si>
  <si>
    <t>glutamic-oxaloacetic transaminase 2b, mitochondrial [Source:ZFIN;Acc:ZDB-GENE-030131-7917]</t>
  </si>
  <si>
    <t>acat1</t>
  </si>
  <si>
    <t>ENSDARG00000045888</t>
  </si>
  <si>
    <t>acetyl-CoA acetyltransferase 1 [Source:ZFIN;Acc:ZDB-GENE-040808-68]</t>
  </si>
  <si>
    <t>rpl35a</t>
  </si>
  <si>
    <t>ENSDARG00000088030</t>
  </si>
  <si>
    <t>ribosomal protein L35a [Source:ZFIN;Acc:ZDB-GENE-040718-190]</t>
  </si>
  <si>
    <t>slc25a11</t>
  </si>
  <si>
    <t>ENSDARG00000035741</t>
  </si>
  <si>
    <t>solute carrier family 25 (mitochondrial carrier; oxoglutarate carrier), member 11 [Source:ZFIN;Acc:ZDB-GENE-040625-79]</t>
  </si>
  <si>
    <t>phb2b</t>
  </si>
  <si>
    <t>ENSDARG00000017728</t>
  </si>
  <si>
    <t>prohibitin 2b [Source:ZFIN;Acc:ZDB-GENE-040718-430]</t>
  </si>
  <si>
    <t>atp5h</t>
  </si>
  <si>
    <t>ENSDARG00000098355</t>
  </si>
  <si>
    <t>ATP synthase, H+ transporting, mitochondrial Fo complex, subunit d [Source:ZFIN;Acc:ZDB-GENE-040426-1658]</t>
  </si>
  <si>
    <t>cox4i1</t>
  </si>
  <si>
    <t>ENSDARG00000032970</t>
  </si>
  <si>
    <t>cytochrome c oxidase subunit IV isoform 1 [Source:ZFIN;Acc:ZDB-GENE-030131-5175]</t>
  </si>
  <si>
    <t>prdx3</t>
  </si>
  <si>
    <t>ENSDARG00000032102</t>
  </si>
  <si>
    <t>peroxiredoxin 3 [Source:ZFIN;Acc:ZDB-GENE-030826-18]</t>
  </si>
  <si>
    <t>btc</t>
  </si>
  <si>
    <t>ENSDARG00000098112</t>
  </si>
  <si>
    <t>betacellulin, epidermal growth factor family member [Source:ZFIN;Acc:ZDB-GENE-050311-1]</t>
  </si>
  <si>
    <t>tssc4</t>
  </si>
  <si>
    <t>ENSDARG00000036144</t>
  </si>
  <si>
    <t>tumor suppressing subtransferable candidate 4 [Source:ZFIN;Acc:ZDB-GENE-060825-263]</t>
  </si>
  <si>
    <t>rpl28</t>
  </si>
  <si>
    <t>ENSDARG00000005791</t>
  </si>
  <si>
    <t>ribosomal protein L28 [Source:ZFIN;Acc:ZDB-GENE-040930-10]</t>
  </si>
  <si>
    <t>naa20</t>
  </si>
  <si>
    <t>ENSDARG00000039493</t>
  </si>
  <si>
    <t>N(alpha)-acetyltransferase 20, NatB catalytic subunit [Source:ZFIN;Acc:ZDB-GENE-050327-47]</t>
  </si>
  <si>
    <t>suclg1</t>
  </si>
  <si>
    <t>ENSDARG00000052712</t>
  </si>
  <si>
    <t>succinate-CoA ligase, alpha subunit [Source:ZFIN;Acc:ZDB-GENE-040912-101]</t>
  </si>
  <si>
    <t>fam168b</t>
  </si>
  <si>
    <t>ENSDARG00000101733</t>
  </si>
  <si>
    <t>family with sequence similarity 168, member B [Source:ZFIN;Acc:ZDB-GENE-060929-180]</t>
  </si>
  <si>
    <t>ndufs7</t>
  </si>
  <si>
    <t>ENSDARG00000074552</t>
  </si>
  <si>
    <t>NADH dehydrogenase (ubiquinone) Fe-S protein 7, (NADH-coenzyme Q reductase) [Source:ZFIN;Acc:ZDB-GENE-041111-261]</t>
  </si>
  <si>
    <t>ndufa3</t>
  </si>
  <si>
    <t>ENSDARG00000041400</t>
  </si>
  <si>
    <t>NADH dehydrogenase (ubiquinone) 1 alpha subcomplex, 3 [Source:ZFIN;Acc:ZDB-GENE-040801-18]</t>
  </si>
  <si>
    <t>rpl36a</t>
  </si>
  <si>
    <t>ENSDARG00000058105</t>
  </si>
  <si>
    <t>ribosomal protein L36A [Source:ZFIN;Acc:ZDB-GENE-020423-1]</t>
  </si>
  <si>
    <t>ndufb11</t>
  </si>
  <si>
    <t>ENSDARG00000043467</t>
  </si>
  <si>
    <t>NADH dehydrogenase (ubiquinone) 1 beta subcomplex, 11 [Source:ZFIN;Acc:ZDB-GENE-050309-25]</t>
  </si>
  <si>
    <t>si:ch211-275j6.5</t>
  </si>
  <si>
    <t>ENSDARG00000097803</t>
  </si>
  <si>
    <t>si:ch211-275j6.5 [Source:ZFIN;Acc:ZDB-GENE-130109-1]</t>
  </si>
  <si>
    <t>pkig</t>
  </si>
  <si>
    <t>ENSDARG00000086471</t>
  </si>
  <si>
    <t>protein kinase (cAMP-dependent, catalytic) inhibitor gamma [Source:ZFIN;Acc:ZDB-GENE-050302-97]</t>
  </si>
  <si>
    <t>ndufa9a</t>
  </si>
  <si>
    <t>ENSDARG00000070723</t>
  </si>
  <si>
    <t>NADH dehydrogenase (ubiquinone) 1 alpha subcomplex, 9a [Source:ZFIN;Acc:ZDB-GENE-050320-20]</t>
  </si>
  <si>
    <t>ccdc106a</t>
  </si>
  <si>
    <t>ENSDARG00000004211</t>
  </si>
  <si>
    <t>coiled-coil domain containing 106a [Source:ZFIN;Acc:ZDB-GENE-050220-4]</t>
  </si>
  <si>
    <t>rps13</t>
  </si>
  <si>
    <t>ENSDARG00000036298</t>
  </si>
  <si>
    <t>ribosomal protein S13 [Source:ZFIN;Acc:ZDB-GENE-040625-52]</t>
  </si>
  <si>
    <t>rpl13</t>
  </si>
  <si>
    <t>ENSDARG00000099380</t>
  </si>
  <si>
    <t>ribosomal protein L13 [Source:ZFIN;Acc:ZDB-GENE-031007-1]</t>
  </si>
  <si>
    <t>mrpl11</t>
  </si>
  <si>
    <t>ENSDARG00000013075</t>
  </si>
  <si>
    <t>mitochondrial ribosomal protein L11 [Source:ZFIN;Acc:ZDB-GENE-040718-294]</t>
  </si>
  <si>
    <t>tmsb</t>
  </si>
  <si>
    <t>ENSDARG00000054911</t>
  </si>
  <si>
    <t>thymosin, beta [Source:ZFIN;Acc:ZDB-GENE-050307-5]</t>
  </si>
  <si>
    <t>RAMP1</t>
  </si>
  <si>
    <t>ENSDARG00000056704</t>
  </si>
  <si>
    <t>zgc:91818 [Source:ZFIN;Acc:ZDB-GENE-040718-446]</t>
  </si>
  <si>
    <t>rps10</t>
  </si>
  <si>
    <t>ENSDARG00000034897</t>
  </si>
  <si>
    <t>ribosomal protein S10 [Source:ZFIN;Acc:ZDB-GENE-040426-1481]</t>
  </si>
  <si>
    <t>rpl32</t>
  </si>
  <si>
    <t>ENSDARG00000054818</t>
  </si>
  <si>
    <t>ribosomal protein L32 [Source:ZFIN;Acc:ZDB-GENE-060331-105]</t>
  </si>
  <si>
    <t>cops4</t>
  </si>
  <si>
    <t>ENSDARG00000043732</t>
  </si>
  <si>
    <t>COP9 constitutive photomorphogenic homolog subunit 4 (Arabidopsis) [Source:ZFIN;Acc:ZDB-GENE-030131-4317]</t>
  </si>
  <si>
    <t>rps27.1</t>
  </si>
  <si>
    <t>ENSDARG00000023298</t>
  </si>
  <si>
    <t>ribosomal protein S27, isoform 1 [Source:ZFIN;Acc:ZDB-GENE-050522-549]</t>
  </si>
  <si>
    <t>trappc6bl</t>
  </si>
  <si>
    <t>ENSDARG00000033171</t>
  </si>
  <si>
    <t>trafficking protein particle complex 6b-like [Source:ZFIN;Acc:ZDB-GENE-040426-1602]</t>
  </si>
  <si>
    <t>uqcrc1</t>
  </si>
  <si>
    <t>ENSDARG00000052304</t>
  </si>
  <si>
    <t>ubiquinol-cytochrome c reductase core protein I [Source:ZFIN;Acc:ZDB-GENE-040426-1792]</t>
  </si>
  <si>
    <t>fxyd6l</t>
  </si>
  <si>
    <t>ENSDARG00000097057</t>
  </si>
  <si>
    <t>FXYD domain containing ion transport regulator 6 like [Source:ZFIN;Acc:ZDB-GENE-071205-8]</t>
  </si>
  <si>
    <t>si:dkey-42i9.4</t>
  </si>
  <si>
    <t>ENSDARG00000008049</t>
  </si>
  <si>
    <t>si:dkey-42i9.4 [Source:ZFIN;Acc:ZDB-GENE-030131-8398]</t>
  </si>
  <si>
    <t>icn</t>
  </si>
  <si>
    <t>ENSDARG00000009978</t>
  </si>
  <si>
    <t>ictacalcin [Source:ZFIN;Acc:ZDB-GENE-030131-8599]</t>
  </si>
  <si>
    <t>rpl18</t>
  </si>
  <si>
    <t>ENSDARG00000029533</t>
  </si>
  <si>
    <t>ribosomal protein L18 [Source:ZFIN;Acc:ZDB-GENE-040801-165]</t>
  </si>
  <si>
    <t>rps3a</t>
  </si>
  <si>
    <t>ENSDARG00000035692</t>
  </si>
  <si>
    <t>ribosomal protein S3A [Source:ZFIN;Acc:ZDB-GENE-030131-9184]</t>
  </si>
  <si>
    <t>mob1ba</t>
  </si>
  <si>
    <t>ENSDARG00000009169</t>
  </si>
  <si>
    <t>MOB kinase activator 1Ba [Source:ZFIN;Acc:ZDB-GENE-040426-919]</t>
  </si>
  <si>
    <t>cox8a</t>
  </si>
  <si>
    <t>ENSDARG00000095273</t>
  </si>
  <si>
    <t>cytochrome c oxidase subunit VIIIA (ubiquitous) [Source:ZFIN;Acc:ZDB-GENE-030131-9136]</t>
  </si>
  <si>
    <t>si:dkey-95p16.2</t>
  </si>
  <si>
    <t>ENSDARG00000093484</t>
  </si>
  <si>
    <t>si:dkey-95p16.2 [Source:ZFIN;Acc:ZDB-GENE-081105-65]</t>
  </si>
  <si>
    <t>rps8a</t>
  </si>
  <si>
    <t>ENSDARG00000055996</t>
  </si>
  <si>
    <t>ribosomal protein S8a [Source:ZFIN;Acc:ZDB-GENE-030131-8626]</t>
  </si>
  <si>
    <t>ndufa11</t>
  </si>
  <si>
    <t>ENSDARG00000042777</t>
  </si>
  <si>
    <t>NADH dehydrogenase (ubiquinone) 1 alpha subcomplex, 11 [Source:ZFIN;Acc:ZDB-GENE-040426-1631]</t>
  </si>
  <si>
    <t>dap1b</t>
  </si>
  <si>
    <t>ENSDARG00000036895</t>
  </si>
  <si>
    <t>rplp2l</t>
  </si>
  <si>
    <t>ENSDARG00000011201</t>
  </si>
  <si>
    <t>ribosomal protein, large P2, like [Source:ZFIN;Acc:ZDB-GENE-070327-2]</t>
  </si>
  <si>
    <t>txnipa</t>
  </si>
  <si>
    <t>ENSDARG00000036107</t>
  </si>
  <si>
    <t>thioredoxin interacting protein a [Source:ZFIN;Acc:ZDB-GENE-030804-10]</t>
  </si>
  <si>
    <t>gnb2l1</t>
  </si>
  <si>
    <t>ENSDARG00000041619</t>
  </si>
  <si>
    <t>guanine nucleotide binding protein (G protein), beta polypeptide 2-like 1 [Source:ZFIN;Acc:ZDB-GENE-990415-89]</t>
  </si>
  <si>
    <t>si:ch211-229d2.5</t>
  </si>
  <si>
    <t>ENSDARG00000079119</t>
  </si>
  <si>
    <t>si:ch211-229d2.5 [Source:ZFIN;Acc:ZDB-GENE-121214-200]</t>
  </si>
  <si>
    <t>zfp36l1b</t>
  </si>
  <si>
    <t>ENSDARG00000021443</t>
  </si>
  <si>
    <t>zinc finger protein 36, C3H type-like 1b [Source:ZFIN;Acc:ZDB-GENE-030131-2391]</t>
  </si>
  <si>
    <t>rpl7a</t>
  </si>
  <si>
    <t>ENSDARG00000019230</t>
  </si>
  <si>
    <t>ribosomal protein L7a [Source:ZFIN;Acc:ZDB-GENE-031001-9]</t>
  </si>
  <si>
    <t>mt-cyb</t>
  </si>
  <si>
    <t>ENSDARG00000063924</t>
  </si>
  <si>
    <t>cytochrome b, mitochondrial [Source:ZFIN;Acc:ZDB-GENE-011205-17]</t>
  </si>
  <si>
    <t>rpl38</t>
  </si>
  <si>
    <t>ENSDARG00000006413</t>
  </si>
  <si>
    <t>ribosomal protein L38 [Source:ZFIN;Acc:ZDB-GENE-030131-8752]</t>
  </si>
  <si>
    <t>ndufs4</t>
  </si>
  <si>
    <t>ENSDARG00000052840</t>
  </si>
  <si>
    <t>NADH dehydrogenase (ubiquinone) Fe-S protein 4, (NADH-coenzyme Q reductase) [Source:ZFIN;Acc:ZDB-GENE-050522-421]</t>
  </si>
  <si>
    <t>rps12</t>
  </si>
  <si>
    <t>ENSDARG00000036875</t>
  </si>
  <si>
    <t>ribosomal protein S12 [Source:ZFIN;Acc:ZDB-GENE-030131-8951]</t>
  </si>
  <si>
    <t>rpl9</t>
  </si>
  <si>
    <t>ENSDARG00000037350</t>
  </si>
  <si>
    <t>ribosomal protein L9 [Source:ZFIN;Acc:ZDB-GENE-030131-8646]</t>
  </si>
  <si>
    <t>ndufv3</t>
  </si>
  <si>
    <t>ENSDARG00000090389</t>
  </si>
  <si>
    <t>NADH dehydrogenase (ubiquinone) flavoprotein 3 [Source:ZFIN;Acc:ZDB-GENE-030131-6500]</t>
  </si>
  <si>
    <t>zgc:193541</t>
  </si>
  <si>
    <t>ENSDARG00000092873</t>
  </si>
  <si>
    <t>zgc:193541 [Source:ZFIN;Acc:ZDB-GENE-081022-15]</t>
  </si>
  <si>
    <t>MAF1</t>
  </si>
  <si>
    <t>ENSDARG00000036489</t>
  </si>
  <si>
    <t>zgc:112356 [Source:ZFIN;Acc:ZDB-GENE-050913-28]</t>
  </si>
  <si>
    <t>rpl3</t>
  </si>
  <si>
    <t>ENSDARG00000003599</t>
  </si>
  <si>
    <t>ribosomal protein L3 [Source:ZFIN;Acc:ZDB-GENE-030131-1291]</t>
  </si>
  <si>
    <t>ndufb8</t>
  </si>
  <si>
    <t>ENSDARG00000010113</t>
  </si>
  <si>
    <t>NADH dehydrogenase (ubiquinone) 1 beta subcomplex, 8 [Source:ZFIN;Acc:ZDB-GENE-040426-1858]</t>
  </si>
  <si>
    <t>sub1a</t>
  </si>
  <si>
    <t>ENSDARG00000053446</t>
  </si>
  <si>
    <t>SUB1 homolog, transcriptional regulator a [Source:ZFIN;Acc:ZDB-GENE-050522-151]</t>
  </si>
  <si>
    <t>atpv0e2</t>
  </si>
  <si>
    <t>ENSDARG00000059057</t>
  </si>
  <si>
    <t>ATPase, H+ transporting V0 subunit e2 [Source:ZFIN;Acc:ZDB-GENE-050522-135]</t>
  </si>
  <si>
    <t>kpnb3</t>
  </si>
  <si>
    <t>ENSDARG00000040245</t>
  </si>
  <si>
    <t>karyopherin (importin) beta 3 [Source:ZFIN;Acc:ZDB-GENE-030424-2]</t>
  </si>
  <si>
    <t>rps14</t>
  </si>
  <si>
    <t>ENSDARG00000036629</t>
  </si>
  <si>
    <t>ribosomal protein S14 [Source:ZFIN;Acc:ZDB-GENE-030131-8631]</t>
  </si>
  <si>
    <t>ldha</t>
  </si>
  <si>
    <t>ENSDARG00000101251</t>
  </si>
  <si>
    <t>lactate dehydrogenase A4 [Source:ZFIN;Acc:ZDB-GENE-991026-5]</t>
  </si>
  <si>
    <t>rps16</t>
  </si>
  <si>
    <t>ENSDARG00000045487</t>
  </si>
  <si>
    <t>ribosomal protein S16 [Source:ZFIN;Acc:ZDB-GENE-050506-107]</t>
  </si>
  <si>
    <t>si:ch1073-325m22.2</t>
  </si>
  <si>
    <t>ENSDARG00000095921</t>
  </si>
  <si>
    <t>si:ch1073-325m22.2 [Source:ZFIN;Acc:ZDB-GENE-030131-6614]</t>
  </si>
  <si>
    <t>nap1l4b</t>
  </si>
  <si>
    <t>ENSDARG00000068868</t>
  </si>
  <si>
    <t>nucleosome assembly protein 1-like 4b [Source:ZFIN;Acc:ZDB-GENE-041114-168]</t>
  </si>
  <si>
    <t>rpl39</t>
  </si>
  <si>
    <t>ENSDARG00000036316</t>
  </si>
  <si>
    <t>ribosomal protein L39 [Source:ZFIN;Acc:ZDB-GENE-040625-51]</t>
  </si>
  <si>
    <t>atp5j2</t>
  </si>
  <si>
    <t>ENSDARG00000037867</t>
  </si>
  <si>
    <t>ATP synthase, H+ transporting, mitochondrial Fo complex, subunit F2 [Source:ZFIN;Acc:ZDB-GENE-050309-87]</t>
  </si>
  <si>
    <t>hccsb</t>
  </si>
  <si>
    <t>ENSDARG00000099358</t>
  </si>
  <si>
    <t>holocytochrome c synthase b [Source:ZFIN;Acc:ZDB-GENE-000607-78]</t>
  </si>
  <si>
    <t>atp5j</t>
  </si>
  <si>
    <t>ENSDARG00000014313</t>
  </si>
  <si>
    <t>ATP synthase, H+ transporting, mitochondrial Fo complex, subunit F6 [Source:ZFIN;Acc:ZDB-GENE-040426-2534]</t>
  </si>
  <si>
    <t>si:dkeyp-110c7.4</t>
  </si>
  <si>
    <t>ENSDARG00000100476</t>
  </si>
  <si>
    <t>si:dkeyp-110c7.4 [Source:ZFIN;Acc:ZDB-GENE-070705-532]</t>
  </si>
  <si>
    <t>lbr</t>
  </si>
  <si>
    <t>ENSDARG00000014013</t>
  </si>
  <si>
    <t>lamin B receptor [Source:ZFIN;Acc:ZDB-GENE-030804-11]</t>
  </si>
  <si>
    <t>tpi1b</t>
  </si>
  <si>
    <t>ENSDARG00000040988</t>
  </si>
  <si>
    <t>triosephosphate isomerase 1b [Source:ZFIN;Acc:ZDB-GENE-020416-4]</t>
  </si>
  <si>
    <t>dynll1</t>
  </si>
  <si>
    <t>ENSDARG00000058454</t>
  </si>
  <si>
    <t>dynein, light chain, LC8-type 1 [Source:ZFIN;Acc:ZDB-GENE-040426-1961]</t>
  </si>
  <si>
    <t>rpl10a</t>
  </si>
  <si>
    <t>ENSDARG00000042905</t>
  </si>
  <si>
    <t>ribosomal protein L10a [Source:ZFIN;Acc:ZDB-GENE-030131-2025]</t>
  </si>
  <si>
    <t>rpl23</t>
  </si>
  <si>
    <t>ENSDARG00000053457</t>
  </si>
  <si>
    <t>ribosomal protein L23 [Source:ZFIN;Acc:ZDB-GENE-030131-8756]</t>
  </si>
  <si>
    <t>rps9</t>
  </si>
  <si>
    <t>ENSDARG00000011405</t>
  </si>
  <si>
    <t>ribosomal protein S9 [Source:ZFIN;Acc:ZDB-GENE-010724-15]</t>
  </si>
  <si>
    <t>atp5d</t>
  </si>
  <si>
    <t>ENSDARG00000019404</t>
  </si>
  <si>
    <t>ATP synthase, H+ transporting, mitochondrial F1 complex, delta subunit [Source:ZFIN;Acc:ZDB-GENE-030131-7649]</t>
  </si>
  <si>
    <t>rpsa</t>
  </si>
  <si>
    <t>ENSDARG00000019181</t>
  </si>
  <si>
    <t>ribosomal protein SA [Source:ZFIN;Acc:ZDB-GENE-040426-811]</t>
  </si>
  <si>
    <t>cldn7b</t>
  </si>
  <si>
    <t>ENSDARG00000014047</t>
  </si>
  <si>
    <t>claudin 7b [Source:ZFIN;Acc:ZDB-GENE-001103-5]</t>
  </si>
  <si>
    <t>sparc</t>
  </si>
  <si>
    <t>ENSDARG00000019353</t>
  </si>
  <si>
    <t>secreted protein, acidic, cysteine-rich (osteonectin) [Source:ZFIN;Acc:ZDB-GENE-030131-9]</t>
  </si>
  <si>
    <t>cyc1</t>
  </si>
  <si>
    <t>ENSDARG00000038075</t>
  </si>
  <si>
    <t>cytochrome c-1 [Source:ZFIN;Acc:ZDB-GENE-031105-2]</t>
  </si>
  <si>
    <t>ppid</t>
  </si>
  <si>
    <t>ENSDARG00000038835</t>
  </si>
  <si>
    <t>peptidylprolyl isomerase D [Source:ZFIN;Acc:ZDB-GENE-040625-34]</t>
  </si>
  <si>
    <t>lamtor5</t>
  </si>
  <si>
    <t>ENSDARG00000090194</t>
  </si>
  <si>
    <t>late endosomal/lysosomal adaptor, MAPK and MTOR activator 5 [Source:ZFIN;Acc:ZDB-GENE-110411-193]</t>
  </si>
  <si>
    <t>rpl27</t>
  </si>
  <si>
    <t>ENSDARG00000015128</t>
  </si>
  <si>
    <t>ribosomal protein L27 [Source:ZFIN;Acc:ZDB-GENE-030131-4343]</t>
  </si>
  <si>
    <t>ssr4</t>
  </si>
  <si>
    <t>ENSDARG00000019444</t>
  </si>
  <si>
    <t>signal sequence receptor, delta [Source:ZFIN;Acc:ZDB-GENE-030131-4900]</t>
  </si>
  <si>
    <t>si:ch211-117m20.5</t>
  </si>
  <si>
    <t>ENSDARG00000091996</t>
  </si>
  <si>
    <t>si:ch211-117m20.5 [Source:ZFIN;Acc:ZDB-GENE-030131-12]</t>
  </si>
  <si>
    <t>atp6v0ca</t>
  </si>
  <si>
    <t>ENSDARG00000057853</t>
  </si>
  <si>
    <t>ATPase, H+ transporting, lysosomal, V0 subunit ca [Source:ZFIN;Acc:ZDB-GENE-020419-23]</t>
  </si>
  <si>
    <t>nfkbiab</t>
  </si>
  <si>
    <t>ENSDARG00000007693</t>
  </si>
  <si>
    <t>nuclear factor of kappa light polypeptide gene enhancer in B-cells inhibitor, alpha b [Source:ZFIN;Acc:ZDB-GENE-030131-1819]</t>
  </si>
  <si>
    <t>ufd1l</t>
  </si>
  <si>
    <t>ENSDARG00000010051</t>
  </si>
  <si>
    <t>ubiquitin fusion degradation 1 like (yeast) [Source:ZFIN;Acc:ZDB-GENE-040718-150]</t>
  </si>
  <si>
    <t>tceb1b</t>
  </si>
  <si>
    <t>ENSDARG00000045359</t>
  </si>
  <si>
    <t>transcription elongation factor B (SIII), polypeptide 1b [Source:ZFIN;Acc:ZDB-GENE-040718-138]</t>
  </si>
  <si>
    <t>mrps18c</t>
  </si>
  <si>
    <t>ENSDARG00000069624</t>
  </si>
  <si>
    <t>mitochondrial ribosomal protein S18C [Source:ZFIN;Acc:ZDB-GENE-060503-609]</t>
  </si>
  <si>
    <t>rpl30</t>
  </si>
  <si>
    <t>ENSDARG00000035871</t>
  </si>
  <si>
    <t>ribosomal protein L30 [Source:ZFIN;Acc:ZDB-GENE-030131-8657]</t>
  </si>
  <si>
    <t>psmb7</t>
  </si>
  <si>
    <t>ENSDARG00000037962</t>
  </si>
  <si>
    <t>proteasome subunit beta 7 [Source:ZFIN;Acc:ZDB-GENE-001208-4]</t>
  </si>
  <si>
    <t>pabpc1b</t>
  </si>
  <si>
    <t>ENSDARG00000021140</t>
  </si>
  <si>
    <t>poly A binding protein, cytoplasmic 1 b [Source:ZFIN;Acc:ZDB-GENE-050308-1]</t>
  </si>
  <si>
    <t>si:dkey-87o1.2</t>
  </si>
  <si>
    <t>ENSDARG00000095796</t>
  </si>
  <si>
    <t>si:dkey-87o1.2 [Source:ZFIN;Acc:ZDB-GENE-110411-217]</t>
  </si>
  <si>
    <t>si:ch211-68a17.7</t>
  </si>
  <si>
    <t>ENSDARG00000045797</t>
  </si>
  <si>
    <t>si:ch211-68a17.7 [Source:ZFIN;Acc:ZDB-GENE-100427-3]</t>
  </si>
  <si>
    <t>ap1m2</t>
  </si>
  <si>
    <t>ENSDARG00000096454</t>
  </si>
  <si>
    <t>adaptor-related protein complex 1, mu 2 subunit [Source:ZFIN;Acc:ZDB-GENE-041114-20]</t>
  </si>
  <si>
    <t>mcl1b</t>
  </si>
  <si>
    <t>ENSDARG00000008363</t>
  </si>
  <si>
    <t>myeloid cell leukemia 1b [Source:ZFIN;Acc:ZDB-GENE-030825-1]</t>
  </si>
  <si>
    <t>rpl19</t>
  </si>
  <si>
    <t>ENSDARG00000013307</t>
  </si>
  <si>
    <t>ribosomal protein L19 [Source:ZFIN;Acc:ZDB-GENE-040426-2290]</t>
  </si>
  <si>
    <t>mt-atp6</t>
  </si>
  <si>
    <t>ENSDARG00000063911</t>
  </si>
  <si>
    <t>ATP synthase 6, mitochondrial [Source:ZFIN;Acc:ZDB-GENE-011205-18]</t>
  </si>
  <si>
    <t>dynlrb1</t>
  </si>
  <si>
    <t>ENSDARG00000021582</t>
  </si>
  <si>
    <t>dynein, light chain, roadblock-type 1 [Source:ZFIN;Acc:ZDB-GENE-040426-989]</t>
  </si>
  <si>
    <t>ndufa2</t>
  </si>
  <si>
    <t>ENSDARG00000021984</t>
  </si>
  <si>
    <t>NADH dehydrogenase (ubiquinone) 1 alpha subcomplex, 2 [Source:ZFIN;Acc:ZDB-GENE-050522-377]</t>
  </si>
  <si>
    <t>ube2a</t>
  </si>
  <si>
    <t>ENSDARG00000098466</t>
  </si>
  <si>
    <t>ubiquitin-conjugating enzyme E2A (RAD6 homolog) [Source:ZFIN;Acc:ZDB-GENE-030616-72]</t>
  </si>
  <si>
    <t>uqcrc2b</t>
  </si>
  <si>
    <t>ENSDARG00000071691</t>
  </si>
  <si>
    <t>ubiquinol-cytochrome c reductase core protein IIb [Source:ZFIN;Acc:ZDB-GENE-030131-1269]</t>
  </si>
  <si>
    <t>rps6</t>
  </si>
  <si>
    <t>ENSDARG00000019778</t>
  </si>
  <si>
    <t>ribosomal protein S6 [Source:ZFIN;Acc:ZDB-GENE-040801-8]</t>
  </si>
  <si>
    <t>hsd17b10</t>
  </si>
  <si>
    <t>ENSDARG00000017781</t>
  </si>
  <si>
    <t>hydroxysteroid (17-beta) dehydrogenase 10 [Source:ZFIN;Acc:ZDB-GENE-041010-201]</t>
  </si>
  <si>
    <t>chchd2</t>
  </si>
  <si>
    <t>ENSDARG00000059304</t>
  </si>
  <si>
    <t>coiled-coil-helix-coiled-coil-helix domain containing 2 [Source:ZFIN;Acc:ZDB-GENE-040426-1737]</t>
  </si>
  <si>
    <t>atp5l</t>
  </si>
  <si>
    <t>ENSDARG00000011841</t>
  </si>
  <si>
    <t>ATP synthase, H+ transporting, mitochondrial F0 complex, subunit g [Source:ZFIN;Acc:ZDB-GENE-030131-5177]</t>
  </si>
  <si>
    <t>pet100</t>
  </si>
  <si>
    <t>ENSDARG00000098017</t>
  </si>
  <si>
    <t>PET100 homolog [Source:ZFIN;Acc:ZDB-GENE-131121-608]</t>
  </si>
  <si>
    <t>anapc13</t>
  </si>
  <si>
    <t>ENSDARG00000078435</t>
  </si>
  <si>
    <t>anaphase promoting complex subunit 13 [Source:ZFIN;Acc:ZDB-GENE-091204-298]</t>
  </si>
  <si>
    <t>si:dkey-16l2.20</t>
  </si>
  <si>
    <t>ENSDARG00000098191</t>
  </si>
  <si>
    <t>si:dkey-16l2.20 [Source:ZFIN;Acc:ZDB-GENE-141212-380]</t>
  </si>
  <si>
    <t>krt15</t>
  </si>
  <si>
    <t>ENSDARG00000036840</t>
  </si>
  <si>
    <t>keratin 15 [Source:ZFIN;Acc:ZDB-GENE-040426-2931]</t>
  </si>
  <si>
    <t>glulb</t>
  </si>
  <si>
    <t>ENSDARG00000100003</t>
  </si>
  <si>
    <t>glutamate-ammonia ligase (glutamine synthase) b [Source:ZFIN;Acc:ZDB-GENE-030131-8417]</t>
  </si>
  <si>
    <t>ywhaz</t>
  </si>
  <si>
    <t>ENSDARG00000032575</t>
  </si>
  <si>
    <t>tyrosine 3-monooxygenase/tryptophan 5-monooxygenase activation protein, zeta polypeptide [Source:ZFIN;Acc:ZDB-GENE-030131-8554]</t>
  </si>
  <si>
    <t>fkbp1aa</t>
  </si>
  <si>
    <t>ENSDARG00000022684</t>
  </si>
  <si>
    <t>FK506 binding protein 1Aa [Source:ZFIN;Acc:ZDB-GENE-030131-7275]</t>
  </si>
  <si>
    <t>rps19</t>
  </si>
  <si>
    <t>ENSDARG00000030602</t>
  </si>
  <si>
    <t>ribosomal protein S19 [Source:ZFIN;Acc:ZDB-GENE-040426-1716]</t>
  </si>
  <si>
    <t>pkp3b</t>
  </si>
  <si>
    <t>ENSDARG00000079438</t>
  </si>
  <si>
    <t>plakophilin 3b [Source:ZFIN;Acc:ZDB-GENE-130530-870]</t>
  </si>
  <si>
    <t>moxd1l</t>
  </si>
  <si>
    <t>ENSDARG00000069296</t>
  </si>
  <si>
    <t>monooxygenase, DBH-like 1, like [Source:ZFIN;Acc:ZDB-GENE-060126-3]</t>
  </si>
  <si>
    <t>herc1</t>
  </si>
  <si>
    <t>ENSDARG00000077901</t>
  </si>
  <si>
    <t>HECT and RLD domain containing E3 ubiquitin protein ligase family member 1 [Source:ZFIN;Acc:ZDB-GENE-030131-8542]</t>
  </si>
  <si>
    <t>hnrnpa0l</t>
  </si>
  <si>
    <t>ENSDARG00000036161</t>
  </si>
  <si>
    <t>heterogeneous nuclear ribonucleoprotein A0, like [Source:ZFIN;Acc:ZDB-GENE-030131-618]</t>
  </si>
  <si>
    <t>lamtor2</t>
  </si>
  <si>
    <t>ENSDARG00000039872</t>
  </si>
  <si>
    <t>late endosomal/lysosomal adaptor, MAPK and MTOR activator 2 [Source:ZFIN;Acc:ZDB-GENE-040801-63]</t>
  </si>
  <si>
    <t>gsta.1</t>
  </si>
  <si>
    <t>ENSDARG00000090228</t>
  </si>
  <si>
    <t>glutathione S-transferase, alpha tandem duplicate 1 [Source:ZFIN;Acc:ZDB-GENE-040426-2720]</t>
  </si>
  <si>
    <t>rps2</t>
  </si>
  <si>
    <t>ENSDARG00000077291</t>
  </si>
  <si>
    <t>ribosomal protein S2 [Source:ZFIN;Acc:ZDB-GENE-040426-2454]</t>
  </si>
  <si>
    <t>ndufab1a</t>
  </si>
  <si>
    <t>ENSDARG00000058463</t>
  </si>
  <si>
    <t>NADH dehydrogenase (ubiquinone) 1, alpha/beta subcomplex, 1a [Source:ZFIN;Acc:ZDB-GENE-040801-1]</t>
  </si>
  <si>
    <t>htatip2</t>
  </si>
  <si>
    <t>ENSDARG00000028386</t>
  </si>
  <si>
    <t>HIV-1 Tat interactive protein 2 [Source:ZFIN;Acc:ZDB-GENE-001219-1]</t>
  </si>
  <si>
    <t>MZT1</t>
  </si>
  <si>
    <t>ENSDARG00000096668</t>
  </si>
  <si>
    <t>si:dkey-15d12.2 [Source:ZFIN;Acc:ZDB-GENE-090313-33]</t>
  </si>
  <si>
    <t>chrac1</t>
  </si>
  <si>
    <t>ENSDARG00000042337</t>
  </si>
  <si>
    <t>chromatin accessibility complex 1 [Source:ZFIN;Acc:ZDB-GENE-050227-18]</t>
  </si>
  <si>
    <t>sec61b</t>
  </si>
  <si>
    <t>ENSDARG00000076568</t>
  </si>
  <si>
    <t>Sec61 translocon beta subunit [Source:ZFIN;Acc:ZDB-GENE-040718-260]</t>
  </si>
  <si>
    <t>sdhdb</t>
  </si>
  <si>
    <t>ENSDARG00000030139</t>
  </si>
  <si>
    <t>succinate dehydrogenase complex, subunit D, integral membrane protein b [Source:ZFIN;Acc:ZDB-GENE-040822-17]</t>
  </si>
  <si>
    <t>psmc6</t>
  </si>
  <si>
    <t>ENSDARG00000037038</t>
  </si>
  <si>
    <t>proteasome 26S subunit, ATPase 6 [Source:ZFIN;Acc:ZDB-GENE-030131-304]</t>
  </si>
  <si>
    <t>ndufb10</t>
  </si>
  <si>
    <t>ENSDARG00000028889</t>
  </si>
  <si>
    <t>NADH dehydrogenase (ubiquinone) 1 beta subcomplex, 10 [Source:ZFIN;Acc:ZDB-GENE-040426-1691]</t>
  </si>
  <si>
    <t>hopx</t>
  </si>
  <si>
    <t>ENSDARG00000089368</t>
  </si>
  <si>
    <t>HOP homeobox [Source:ZFIN;Acc:ZDB-GENE-031016-2]</t>
  </si>
  <si>
    <t>hnrnpa0a</t>
  </si>
  <si>
    <t>ENSDARG00000105465</t>
  </si>
  <si>
    <t>fam213aa</t>
  </si>
  <si>
    <t>ENSDARG00000057378</t>
  </si>
  <si>
    <t>family with sequence similarity 213, member Aa [Source:ZFIN;Acc:ZDB-GENE-030131-2459]</t>
  </si>
  <si>
    <t>si:ch73-1a9.3</t>
  </si>
  <si>
    <t>ENSDARG00000103919</t>
  </si>
  <si>
    <t>si:ch73-1a9.3 [Source:ZFIN;Acc:ZDB-GENE-141216-84]</t>
  </si>
  <si>
    <t>mrpl35</t>
  </si>
  <si>
    <t>ENSDARG00000070589</t>
  </si>
  <si>
    <t>mitochondrial ribosomal protein L35 [Source:ZFIN;Acc:ZDB-GENE-060929-1082]</t>
  </si>
  <si>
    <t>copz1</t>
  </si>
  <si>
    <t>ENSDARG00000017844</t>
  </si>
  <si>
    <t>coatomer protein complex, subunit zeta 1 [Source:ZFIN;Acc:ZDB-GENE-000406-6]</t>
  </si>
  <si>
    <t>aqp3a</t>
  </si>
  <si>
    <t>ENSDARG00000003808</t>
  </si>
  <si>
    <t>aquaporin 3a [Source:ZFIN;Acc:ZDB-GENE-040426-2826]</t>
  </si>
  <si>
    <t>rpl5b</t>
  </si>
  <si>
    <t>ENSDARG00000015862</t>
  </si>
  <si>
    <t>ribosomal protein L5b [Source:ZFIN;Acc:ZDB-GENE-040625-93]</t>
  </si>
  <si>
    <t>ndufa5</t>
  </si>
  <si>
    <t>ENSDARG00000039346</t>
  </si>
  <si>
    <t>NADH dehydrogenase (ubiquinone) 1 alpha subcomplex, 5 [Source:ZFIN;Acc:ZDB-GENE-050320-17]</t>
  </si>
  <si>
    <t>cox6b2</t>
  </si>
  <si>
    <t>ENSDARG00000037860</t>
  </si>
  <si>
    <t>cytochrome c oxidase subunit VIb polypeptide 2 [Source:ZFIN;Acc:ZDB-GENE-040426-1566]</t>
  </si>
  <si>
    <t>ppdpfa</t>
  </si>
  <si>
    <t>ENSDARG00000007682</t>
  </si>
  <si>
    <t>pancreatic progenitor cell differentiation and proliferation factor a [Source:ZFIN;Acc:ZDB-GENE-030219-204]</t>
  </si>
  <si>
    <t>CABZ01076616.1</t>
  </si>
  <si>
    <t>ENSDARG00000087456</t>
  </si>
  <si>
    <t>sox3</t>
  </si>
  <si>
    <t>ENSDARG00000053569</t>
  </si>
  <si>
    <t>SRY (sex determining region Y)-box 3 [Source:ZFIN;Acc:ZDB-GENE-980526-333]</t>
  </si>
  <si>
    <t>tnnt2d</t>
  </si>
  <si>
    <t>ENSDARG00000002988</t>
  </si>
  <si>
    <t>troponin T2d, cardiac [Source:ZFIN;Acc:ZDB-GENE-050626-97]</t>
  </si>
  <si>
    <t>rps7</t>
  </si>
  <si>
    <t>ENSDARG00000042566</t>
  </si>
  <si>
    <t>ribosomal protein S7 [Source:ZFIN;Acc:ZDB-GENE-040426-1718]</t>
  </si>
  <si>
    <t>rps26</t>
  </si>
  <si>
    <t>ENSDARG00000037071</t>
  </si>
  <si>
    <t>ribosomal protein S26 [Source:ZFIN;Acc:ZDB-GENE-030131-8606]</t>
  </si>
  <si>
    <t>uqcrh</t>
  </si>
  <si>
    <t>ENSDARG00000059128</t>
  </si>
  <si>
    <t>ubiquinol-cytochrome c reductase hinge protein [Source:ZFIN;Acc:ZDB-GENE-051030-93]</t>
  </si>
  <si>
    <t>rps18</t>
  </si>
  <si>
    <t>ENSDARG00000100392</t>
  </si>
  <si>
    <t>ribosomal protein S18 [Source:ZFIN;Acc:ZDB-GENE-020419-20]</t>
  </si>
  <si>
    <t>si:ch211-39i22.1</t>
  </si>
  <si>
    <t>ENSDARG00000087508</t>
  </si>
  <si>
    <t>si:ch211-39i22.1 [Source:ZFIN;Acc:ZDB-GENE-120215-258]</t>
  </si>
  <si>
    <t>chchd6b</t>
  </si>
  <si>
    <t>ENSDARG00000045978</t>
  </si>
  <si>
    <t>coiled-coil-helix-coiled-coil-helix domain containing 6b [Source:ZFIN;Acc:ZDB-GENE-041114-95]</t>
  </si>
  <si>
    <t>rpl18a</t>
  </si>
  <si>
    <t>ENSDARG00000025073</t>
  </si>
  <si>
    <t>ribosomal protein L18a [Source:ZFIN;Acc:ZDB-GENE-040426-1071]</t>
  </si>
  <si>
    <t>slc25a3b</t>
  </si>
  <si>
    <t>ENSDARG00000025566</t>
  </si>
  <si>
    <t>solute carrier family 25 (mitochondrial carrier; phosphate carrier), member 3b [Source:ZFIN;Acc:ZDB-GENE-040426-1916]</t>
  </si>
  <si>
    <t>arf2b</t>
  </si>
  <si>
    <t>ENSDARG00000016393</t>
  </si>
  <si>
    <t>ADP-ribosylation factor 2b [Source:ZFIN;Acc:ZDB-GENE-030131-5234]</t>
  </si>
  <si>
    <t>tomm34</t>
  </si>
  <si>
    <t>ENSDARG00000001557</t>
  </si>
  <si>
    <t>translocase of outer mitochondrial membrane 34 [Source:ZFIN;Acc:ZDB-GENE-030131-2081]</t>
  </si>
  <si>
    <t>ndufb7</t>
  </si>
  <si>
    <t>ENSDARG00000033789</t>
  </si>
  <si>
    <t>NADH dehydrogenase (ubiquinone) 1 beta subcomplex, 7 [Source:ZFIN;Acc:ZDB-GENE-040426-1886]</t>
  </si>
  <si>
    <t>actb2</t>
  </si>
  <si>
    <t>ENSDARG00000037870</t>
  </si>
  <si>
    <t>actin, beta 2 [Source:ZFIN;Acc:ZDB-GENE-000329-3]</t>
  </si>
  <si>
    <t>ndufab1b</t>
  </si>
  <si>
    <t>ENSDARG00000014915</t>
  </si>
  <si>
    <t>NADH dehydrogenase (ubiquinone) 1, alpha/beta subcomplex, 1b [Source:ZFIN;Acc:ZDB-GENE-030131-4437]</t>
  </si>
  <si>
    <t>TMSB15A</t>
  </si>
  <si>
    <t>ENSDARG00000104181</t>
  </si>
  <si>
    <t>si:dkey-152p16.6 [Source:ZFIN;Acc:ZDB-GENE-030131-8575]</t>
  </si>
  <si>
    <t>ndufs3</t>
  </si>
  <si>
    <t>ENSDARG00000015385</t>
  </si>
  <si>
    <t>NADH dehydrogenase (ubiquinone) Fe-S protein 3, (NADH-coenzyme Q reductase) [Source:ZFIN;Acc:ZDB-GENE-050417-274]</t>
  </si>
  <si>
    <t>cct7</t>
  </si>
  <si>
    <t>ENSDARG00000007385</t>
  </si>
  <si>
    <t>chaperonin containing TCP1, subunit 7 (eta) [Source:ZFIN;Acc:ZDB-GENE-020419-7]</t>
  </si>
  <si>
    <t>ndrg3b</t>
  </si>
  <si>
    <t>ENSDARG00000010052</t>
  </si>
  <si>
    <t>ndrg family member 3b [Source:ZFIN;Acc:ZDB-GENE-030131-5606]</t>
  </si>
  <si>
    <t>atp5g3b</t>
  </si>
  <si>
    <t>ENSDARG00000009447</t>
  </si>
  <si>
    <t>ATP synthase, H+ transporting, mitochondrial F0 complex, subunit c3 (subunit 9) b [Source:ZFIN;Acc:ZDB-GENE-020814-1]</t>
  </si>
  <si>
    <t>h1f0</t>
  </si>
  <si>
    <t>ENSDARG00000038559</t>
  </si>
  <si>
    <t>H1 histone family, member 0 [Source:ZFIN;Acc:ZDB-GENE-030131-337]</t>
  </si>
  <si>
    <t>rpl7</t>
  </si>
  <si>
    <t>ENSDARG00000007320</t>
  </si>
  <si>
    <t>ribosomal protein L7 [Source:ZFIN;Acc:ZDB-GENE-030131-8654]</t>
  </si>
  <si>
    <t>si:ch211-152c2.3</t>
  </si>
  <si>
    <t>ENSDARG00000045898</t>
  </si>
  <si>
    <t>si:ch211-152c2.3 [Source:ZFIN;Acc:ZDB-GENE-030131-9914]</t>
  </si>
  <si>
    <t>rpl23a</t>
  </si>
  <si>
    <t>ENSDARG00000006316</t>
  </si>
  <si>
    <t>ribosomal protein L23a [Source:ZFIN;Acc:ZDB-GENE-030131-7479]</t>
  </si>
  <si>
    <t>si:dkey-4p15.5</t>
  </si>
  <si>
    <t>ENSDARG00000086272</t>
  </si>
  <si>
    <t>si:dkey-4p15.5 [Source:ZFIN;Acc:ZDB-GENE-121214-193]</t>
  </si>
  <si>
    <t>slc1a3a</t>
  </si>
  <si>
    <t>ENSDARG00000104431</t>
  </si>
  <si>
    <t>solute carrier family 1 (glial high affinity glutamate transporter), member 3a [Source:ZFIN;Acc:ZDB-GENE-030131-2159]</t>
  </si>
  <si>
    <t>oaz1a</t>
  </si>
  <si>
    <t>ENSDARG00000071403</t>
  </si>
  <si>
    <t>ornithine decarboxylase antizyme 1a [Source:ZFIN;Acc:ZDB-GENE-020731-4]</t>
  </si>
  <si>
    <t>si:rp71-45k5.4</t>
  </si>
  <si>
    <t>ENSDARG00000035679</t>
  </si>
  <si>
    <t>si:rp71-45k5.4 [Source:ZFIN;Acc:ZDB-GENE-060503-941]</t>
  </si>
  <si>
    <t>rpl17</t>
  </si>
  <si>
    <t>ENSDARG00000057556</t>
  </si>
  <si>
    <t>ribosomal protein L17 [Source:ZFIN;Acc:ZDB-GENE-030131-8585]</t>
  </si>
  <si>
    <t>cadm4</t>
  </si>
  <si>
    <t>ENSDARG00000040291</t>
  </si>
  <si>
    <t>cell adhesion molecule 4 [Source:ZFIN;Acc:ZDB-GENE-041114-138]</t>
  </si>
  <si>
    <t>ndufs2</t>
  </si>
  <si>
    <t>ENSDARG00000007526</t>
  </si>
  <si>
    <t>NADH dehydrogenase (ubiquinone) Fe-S protein 2 [Source:ZFIN;Acc:ZDB-GENE-050522-273]</t>
  </si>
  <si>
    <t>six2b</t>
  </si>
  <si>
    <t>ENSDARG00000054878</t>
  </si>
  <si>
    <t>SIX homeobox 2b [Source:ZFIN;Acc:ZDB-GENE-080723-23]</t>
  </si>
  <si>
    <t>mrpl30</t>
  </si>
  <si>
    <t>ENSDARG00000069850</t>
  </si>
  <si>
    <t>mitochondrial ribosomal protein L30 [Source:ZFIN;Acc:ZDB-GENE-050522-240]</t>
  </si>
  <si>
    <t>rps29</t>
  </si>
  <si>
    <t>ENSDARG00000041232</t>
  </si>
  <si>
    <t>ribosomal protein S29 [Source:ZFIN;Acc:ZDB-GENE-040622-5]</t>
  </si>
  <si>
    <t>rpz5</t>
  </si>
  <si>
    <t>ENSDARG00000075718</t>
  </si>
  <si>
    <t>rapunzel 5 [Source:ZFIN;Acc:ZDB-GENE-030131-4678]</t>
  </si>
  <si>
    <t>trappc5</t>
  </si>
  <si>
    <t>ENSDARG00000026068</t>
  </si>
  <si>
    <t>trafficking protein particle complex 5 [Source:ZFIN;Acc:ZDB-GENE-040718-185]</t>
  </si>
  <si>
    <t>psmb4</t>
  </si>
  <si>
    <t>ENSDARG00000054696</t>
  </si>
  <si>
    <t>proteasome subunit beta 4 [Source:ZFIN;Acc:ZDB-GENE-050417-333]</t>
  </si>
  <si>
    <t>rpl31</t>
  </si>
  <si>
    <t>ENSDARG00000053365</t>
  </si>
  <si>
    <t>ribosomal protein L31 [Source:ZFIN;Acc:ZDB-GENE-060331-121]</t>
  </si>
  <si>
    <t>ssr3</t>
  </si>
  <si>
    <t>ENSDARG00000014165</t>
  </si>
  <si>
    <t>signal sequence receptor, gamma [Source:ZFIN;Acc:ZDB-GENE-030131-9134]</t>
  </si>
  <si>
    <t>si:ch211-98n17.5</t>
  </si>
  <si>
    <t>ENSDARG00000105641</t>
  </si>
  <si>
    <t>si:ch211-98n17.5 [Source:ZFIN;Acc:ZDB-GENE-160728-87]</t>
  </si>
  <si>
    <t>rps24</t>
  </si>
  <si>
    <t>ENSDARG00000039347</t>
  </si>
  <si>
    <t>ribosomal protein S24 [Source:ZFIN;Acc:ZDB-GENE-040109-5]</t>
  </si>
  <si>
    <t>ndufa1</t>
  </si>
  <si>
    <t>ENSDARG00000036329</t>
  </si>
  <si>
    <t>NADH dehydrogenase (ubiquinone) 1 alpha subcomplex, 1 [Source:ZFIN;Acc:ZDB-GENE-040625-168]</t>
  </si>
  <si>
    <t>h2afy2</t>
  </si>
  <si>
    <t>ENSDARG00000087897</t>
  </si>
  <si>
    <t>H2A histone family, member Y2 [Source:ZFIN;Acc:ZDB-GENE-050913-114]</t>
  </si>
  <si>
    <t>rps27a</t>
  </si>
  <si>
    <t>ENSDARG00000032725</t>
  </si>
  <si>
    <t>ribosomal protein S27a [Source:ZFIN;Acc:ZDB-GENE-030131-10018]</t>
  </si>
  <si>
    <t>net1</t>
  </si>
  <si>
    <t>ENSDARG00000032765</t>
  </si>
  <si>
    <t>neuroepithelial cell transforming 1 [Source:ZFIN;Acc:ZDB-GENE-041121-18]</t>
  </si>
  <si>
    <t>tspan35</t>
  </si>
  <si>
    <t>ENSDARG00000025757</t>
  </si>
  <si>
    <t>tetraspanin 35 [Source:ZFIN;Acc:ZDB-GENE-040426-1362]</t>
  </si>
  <si>
    <t>fam46bb</t>
  </si>
  <si>
    <t>ENSDARG00000011797</t>
  </si>
  <si>
    <t>family with sequence similarity 46, member Bb [Source:ZFIN;Acc:ZDB-GENE-060503-431]</t>
  </si>
  <si>
    <t>her15.1</t>
  </si>
  <si>
    <t>ENSDARG00000054562</t>
  </si>
  <si>
    <t>hairy and enhancer of split-related 15, tandem duplicate 1 [Source:ZFIN;Acc:ZDB-GENE-030707-2]</t>
  </si>
  <si>
    <t>faua</t>
  </si>
  <si>
    <t>ENSDARG00000099022</t>
  </si>
  <si>
    <t>Finkel-Biskis-Reilly murine sarcoma virus (FBR-MuSV) ubiquitously expressed a [Source:ZFIN;Acc:ZDB-GENE-040426-1700]</t>
  </si>
  <si>
    <t>pmp22a</t>
  </si>
  <si>
    <t>ENSDARG00000105223</t>
  </si>
  <si>
    <t>peripheral myelin protein 22a [Source:ZFIN;Acc:ZDB-GENE-030131-6757]</t>
  </si>
  <si>
    <t>lsm6</t>
  </si>
  <si>
    <t>ENSDARG00000036995</t>
  </si>
  <si>
    <t>LSM6 homolog, U6 small nuclear RNA and mRNA degradation associated [Source:ZFIN;Acc:ZDB-GENE-040625-50]</t>
  </si>
  <si>
    <t>psmd3</t>
  </si>
  <si>
    <t>ENSDARG00000018124</t>
  </si>
  <si>
    <t>proteasome 26S subunit, non-ATPase 3 [Source:ZFIN;Acc:ZDB-GENE-040426-1444]</t>
  </si>
  <si>
    <t>atp5f1</t>
  </si>
  <si>
    <t>ENSDARG00000011553</t>
  </si>
  <si>
    <t>ATP synthase, H+ transporting, mitochondrial Fo complex, subunit B1 [Source:ZFIN;Acc:ZDB-GENE-041010-33]</t>
  </si>
  <si>
    <t>rps11</t>
  </si>
  <si>
    <t>ENSDARG00000053058</t>
  </si>
  <si>
    <t>ribosomal protein S11 [Source:ZFIN;Acc:ZDB-GENE-040426-2701]</t>
  </si>
  <si>
    <t>rpl10</t>
  </si>
  <si>
    <t>ENSDARG00000025581</t>
  </si>
  <si>
    <t>ribosomal protein L10 [Source:ZFIN;Acc:ZDB-GENE-030131-8656]</t>
  </si>
  <si>
    <t>apodb</t>
  </si>
  <si>
    <t>ENSDARG00000057437</t>
  </si>
  <si>
    <t>apolipoprotein Db [Source:ZFIN;Acc:ZDB-GENE-051023-8]</t>
  </si>
  <si>
    <t>rps25</t>
  </si>
  <si>
    <t>ENSDARG00000041811</t>
  </si>
  <si>
    <t>ribosomal protein S25 [Source:ZFIN;Acc:ZDB-GENE-040426-1788]</t>
  </si>
  <si>
    <t>psma6a</t>
  </si>
  <si>
    <t>ENSDARG00000019398</t>
  </si>
  <si>
    <t>proteasome subunit alpha 6a [Source:ZFIN;Acc:ZDB-GENE-020326-1]</t>
  </si>
  <si>
    <t>rpl15</t>
  </si>
  <si>
    <t>ENSDARG00000009285</t>
  </si>
  <si>
    <t>ribosomal protein L15 [Source:ZFIN;Acc:ZDB-GENE-040801-183]</t>
  </si>
  <si>
    <t>zgc:175088</t>
  </si>
  <si>
    <t>ENSDARG00000099306</t>
  </si>
  <si>
    <t>zgc:175088 [Source:ZFIN;Acc:ZDB-GENE-080204-124]</t>
  </si>
  <si>
    <t>rpl21</t>
  </si>
  <si>
    <t>ENSDARG00000010516</t>
  </si>
  <si>
    <t>ribosomal protein L21 [Source:ZFIN;Acc:ZDB-GENE-030131-8512]</t>
  </si>
  <si>
    <t>rps15</t>
  </si>
  <si>
    <t>ENSDARG00000070849</t>
  </si>
  <si>
    <t>ribosomal protein S15 [Source:ZFIN;Acc:ZDB-GENE-030131-9092]</t>
  </si>
  <si>
    <t>rps3</t>
  </si>
  <si>
    <t>ENSDARG00000103007</t>
  </si>
  <si>
    <t>ribosomal protein S3 [Source:ZFIN;Acc:ZDB-GENE-030131-8494]</t>
  </si>
  <si>
    <t>rps26l</t>
  </si>
  <si>
    <t>ENSDARG00000030408</t>
  </si>
  <si>
    <t>ribosomal protein S26, like [Source:ZFIN;Acc:ZDB-GENE-040426-1706]</t>
  </si>
  <si>
    <t>GCA</t>
  </si>
  <si>
    <t>ENSDARG00000020187</t>
  </si>
  <si>
    <t>zgc:92027 [Source:ZFIN;Acc:ZDB-GENE-040930-3]</t>
  </si>
  <si>
    <t>tnks1bp1</t>
  </si>
  <si>
    <t>ENSDARG00000068760</t>
  </si>
  <si>
    <t>tankyrase 1 binding protein 1 [Source:ZFIN;Acc:ZDB-GENE-050208-317]</t>
  </si>
  <si>
    <t>dpy30</t>
  </si>
  <si>
    <t>ENSDARG00000004427</t>
  </si>
  <si>
    <t>dpy-30 histone methyltransferase complex regulatory subunit [Source:ZFIN;Acc:ZDB-GENE-040718-136]</t>
  </si>
  <si>
    <t>hspa5</t>
  </si>
  <si>
    <t>ENSDARG00000103846</t>
  </si>
  <si>
    <t>heat shock protein 5 [Source:ZFIN;Acc:ZDB-GENE-031001-11]</t>
  </si>
  <si>
    <t>tagln2</t>
  </si>
  <si>
    <t>ENSDARG00000033466</t>
  </si>
  <si>
    <t>transgelin 2 [Source:ZFIN;Acc:ZDB-GENE-020802-2]</t>
  </si>
  <si>
    <t>fzd7b</t>
  </si>
  <si>
    <t>ENSDARG00000027589</t>
  </si>
  <si>
    <t>frizzled class receptor 7b [Source:ZFIN;Acc:ZDB-GENE-990415-229]</t>
  </si>
  <si>
    <t>lsm4</t>
  </si>
  <si>
    <t>ENSDARG00000023852</t>
  </si>
  <si>
    <t>LSM4 homolog, U6 small nuclear RNA and mRNA degradation associated [Source:ZFIN;Acc:ZDB-GENE-040426-1652]</t>
  </si>
  <si>
    <t>rpl8</t>
  </si>
  <si>
    <t>ENSDARG00000014867</t>
  </si>
  <si>
    <t>ribosomal protein L8 [Source:ZFIN;Acc:ZDB-GENE-040426-1670]</t>
  </si>
  <si>
    <t>tuba8l3</t>
  </si>
  <si>
    <t>ENSDARG00000070155</t>
  </si>
  <si>
    <t>tubulin, alpha 8 like 3 [Source:ZFIN;Acc:ZDB-GENE-040801-77]</t>
  </si>
  <si>
    <t>mpc2</t>
  </si>
  <si>
    <t>ENSDARG00000024478</t>
  </si>
  <si>
    <t>mitochondrial pyruvate carrier 2 [Source:ZFIN;Acc:ZDB-GENE-030131-330]</t>
  </si>
  <si>
    <t>rps23</t>
  </si>
  <si>
    <t>ENSDARG00000021838</t>
  </si>
  <si>
    <t>ribosomal protein S23 [Source:ZFIN;Acc:ZDB-GENE-080220-50]</t>
  </si>
  <si>
    <t>si:ch211-191a24.4</t>
  </si>
  <si>
    <t>ENSDARG00000037528</t>
  </si>
  <si>
    <t>si:ch211-191a24.4 [Source:ZFIN;Acc:ZDB-GENE-030131-4489]</t>
  </si>
  <si>
    <t>wnt2</t>
  </si>
  <si>
    <t>ENSDARG00000041117</t>
  </si>
  <si>
    <t>wingless-type MMTV integration site family member 2 [Source:ZFIN;Acc:ZDB-GENE-980526-416]</t>
  </si>
  <si>
    <t>naa10</t>
  </si>
  <si>
    <t>ENSDARG00000071060</t>
  </si>
  <si>
    <t>N(alpha)-acetyltransferase 10, NatA catalytic subunit [Source:ZFIN;Acc:ZDB-GENE-040426-2648]</t>
  </si>
  <si>
    <t>atp5g3a</t>
  </si>
  <si>
    <t>ENSDARG00000017775</t>
  </si>
  <si>
    <t>ATP synthase, H+ transporting, mitochondrial Fo complex, subunit C3 (subunit 9), genome duplicate a [Source:ZFIN;Acc:ZDB-GENE-040426-857]</t>
  </si>
  <si>
    <t>aldoaa</t>
  </si>
  <si>
    <t>ENSDARG00000011665</t>
  </si>
  <si>
    <t>aldolase a, fructose-bisphosphate, a [Source:ZFIN;Acc:ZDB-GENE-030131-8369]</t>
  </si>
  <si>
    <t>ndnfl</t>
  </si>
  <si>
    <t>ENSDARG00000076462</t>
  </si>
  <si>
    <t>neuron-derived neurotrophic factor , like [Source:ZFIN;Acc:ZDB-GENE-131127-464]</t>
  </si>
  <si>
    <t>SERP1</t>
  </si>
  <si>
    <t>ENSDARG00000076223</t>
  </si>
  <si>
    <t>zgc:92744 [Source:ZFIN;Acc:ZDB-GENE-040718-312]</t>
  </si>
  <si>
    <t>rpl14</t>
  </si>
  <si>
    <t>ENSDARG00000103433</t>
  </si>
  <si>
    <t>ribosomal protein L14 [Source:ZFIN;Acc:ZDB-GENE-030131-2085]</t>
  </si>
  <si>
    <t>cct5</t>
  </si>
  <si>
    <t>ENSDARG00000045399</t>
  </si>
  <si>
    <t>chaperonin containing TCP1, subunit 5 (epsilon) [Source:ZFIN;Acc:ZDB-GENE-030131-977]</t>
  </si>
  <si>
    <t>srsf5a</t>
  </si>
  <si>
    <t>ENSDARG00000029818</t>
  </si>
  <si>
    <t>serine/arginine-rich splicing factor 5a [Source:ZFIN;Acc:ZDB-GENE-030131-7336]</t>
  </si>
  <si>
    <t>pomp</t>
  </si>
  <si>
    <t>ENSDARG00000032296</t>
  </si>
  <si>
    <t>proteasome maturation protein [Source:ZFIN;Acc:ZDB-GENE-040801-10]</t>
  </si>
  <si>
    <t>mdh1aa</t>
  </si>
  <si>
    <t>ENSDARG00000017772</t>
  </si>
  <si>
    <t>malate dehydrogenase 1Aa, NAD (soluble) [Source:ZFIN;Acc:ZDB-GENE-040204-1]</t>
  </si>
  <si>
    <t>dnajb11</t>
  </si>
  <si>
    <t>ENSDARG00000015088</t>
  </si>
  <si>
    <t>DnaJ (Hsp40) homolog, subfamily B, member 11 [Source:ZFIN;Acc:ZDB-GENE-031113-9]</t>
  </si>
  <si>
    <t>npc2</t>
  </si>
  <si>
    <t>ENSDARG00000090912</t>
  </si>
  <si>
    <t>Niemann-Pick disease, type C2 [Source:ZFIN;Acc:ZDB-GENE-021206-13]</t>
  </si>
  <si>
    <t>capza1a</t>
  </si>
  <si>
    <t>ENSDARG00000034240</t>
  </si>
  <si>
    <t>capping protein (actin filament) muscle Z-line, alpha 1a [Source:ZFIN;Acc:ZDB-GENE-030131-5237]</t>
  </si>
  <si>
    <t>ccnd2a</t>
  </si>
  <si>
    <t>ENSDARG00000051748</t>
  </si>
  <si>
    <t>cyclin D2, a [Source:ZFIN;Acc:ZDB-GENE-070424-30]</t>
  </si>
  <si>
    <t>rpl4</t>
  </si>
  <si>
    <t>ENSDARG00000041182</t>
  </si>
  <si>
    <t>ribosomal protein L4 [Source:ZFIN;Acc:ZDB-GENE-030131-9034]</t>
  </si>
  <si>
    <t>si:dkey-7j14.6</t>
  </si>
  <si>
    <t>ENSDARG00000090552</t>
  </si>
  <si>
    <t>si:dkey-7j14.6 [Source:ZFIN;Acc:ZDB-GENE-030131-8466]</t>
  </si>
  <si>
    <t>six2a</t>
  </si>
  <si>
    <t>ENSDARG00000058004</t>
  </si>
  <si>
    <t>SIX homeobox 2a [Source:ZFIN;Acc:ZDB-GENE-010412-1]</t>
  </si>
  <si>
    <t>s100v2</t>
  </si>
  <si>
    <t>ENSDARG00000070702</t>
  </si>
  <si>
    <t>S100 calcium binding protein V2 [Source:ZFIN;Acc:ZDB-GENE-030131-8909]</t>
  </si>
  <si>
    <t>calr3a</t>
  </si>
  <si>
    <t>ENSDARG00000103979</t>
  </si>
  <si>
    <t>calreticulin 3a [Source:ZFIN;Acc:ZDB-GENE-000208-17]</t>
  </si>
  <si>
    <t>tmed2</t>
  </si>
  <si>
    <t>ENSDARG00000026908</t>
  </si>
  <si>
    <t>transmembrane p24 trafficking protein 2 [Source:ZFIN;Acc:ZDB-GENE-030131-269]</t>
  </si>
  <si>
    <t>psma4</t>
  </si>
  <si>
    <t>ENSDARG00000045928</t>
  </si>
  <si>
    <t>proteasome subunit alpha 4 [Source:ZFIN;Acc:ZDB-GENE-040426-1932]</t>
  </si>
  <si>
    <t>cox5ab</t>
  </si>
  <si>
    <t>ENSDARG00000099663</t>
  </si>
  <si>
    <t>cytochrome c oxidase subunit Vab [Source:ZFIN;Acc:ZDB-GENE-030131-5162]</t>
  </si>
  <si>
    <t>eya1</t>
  </si>
  <si>
    <t>ENSDARG00000014259</t>
  </si>
  <si>
    <t>EYA transcriptional coactivator and phosphatase 1 [Source:ZFIN;Acc:ZDB-GENE-990712-18]</t>
  </si>
  <si>
    <t>sdprb</t>
  </si>
  <si>
    <t>ENSDARG00000071196</t>
  </si>
  <si>
    <t>serum deprivation response b [Source:ZFIN;Acc:ZDB-GENE-040912-149]</t>
  </si>
  <si>
    <t>hspa8</t>
  </si>
  <si>
    <t>ENSDARG00000068992</t>
  </si>
  <si>
    <t>heat shock protein 8 [Source:ZFIN;Acc:ZDB-GENE-990415-92]</t>
  </si>
  <si>
    <t>skp1</t>
  </si>
  <si>
    <t>ENSDARG00000003151</t>
  </si>
  <si>
    <t>S-phase kinase-associated protein 1 [Source:ZFIN;Acc:ZDB-GENE-040426-1707]</t>
  </si>
  <si>
    <t>hsp90b1</t>
  </si>
  <si>
    <t>ENSDARG00000003570</t>
  </si>
  <si>
    <t>heat shock protein 90, beta (grp94), member 1 [Source:ZFIN;Acc:ZDB-GENE-031002-1]</t>
  </si>
  <si>
    <t>tmed10</t>
  </si>
  <si>
    <t>ENSDARG00000041391</t>
  </si>
  <si>
    <t>transmembrane p24 trafficking protein 10 [Source:ZFIN;Acc:ZDB-GENE-030131-4915]</t>
  </si>
  <si>
    <t>tpt1</t>
  </si>
  <si>
    <t>ENSDARG00000092693</t>
  </si>
  <si>
    <t>tumor protein, translationally-controlled 1 [Source:ZFIN;Acc:ZDB-GENE-990603-10]</t>
  </si>
  <si>
    <t>s100u</t>
  </si>
  <si>
    <t>ENSDARG00000071014</t>
  </si>
  <si>
    <t>S100 calcium binding protein U [Source:ZFIN;Acc:ZDB-GENE-030131-3121]</t>
  </si>
  <si>
    <t>prss60.2</t>
  </si>
  <si>
    <t>ENSDARG00000055644</t>
  </si>
  <si>
    <t>protease, serine, 60.2 [Source:ZFIN;Acc:ZDB-GENE-050320-109]</t>
  </si>
  <si>
    <t>cxcl14</t>
  </si>
  <si>
    <t>ENSDARG00000056627</t>
  </si>
  <si>
    <t>chemokine (C-X-C motif) ligand 14 [Source:ZFIN;Acc:ZDB-GENE-000619-1]</t>
  </si>
  <si>
    <t>khdrbs1a</t>
  </si>
  <si>
    <t>ENSDARG00000052856</t>
  </si>
  <si>
    <t>KH domain containing, RNA binding, signal transduction associated 1a [Source:ZFIN;Acc:ZDB-GENE-000210-25]</t>
  </si>
  <si>
    <t>hmgb1a</t>
  </si>
  <si>
    <t>ENSDARG00000099175</t>
  </si>
  <si>
    <t>high mobility group box 1a [Source:ZFIN;Acc:ZDB-GENE-030131-341]</t>
  </si>
  <si>
    <t>spint2</t>
  </si>
  <si>
    <t>ENSDARG00000069476</t>
  </si>
  <si>
    <t>serine peptidase inhibitor, Kunitz type, 2 [Source:ZFIN;Acc:ZDB-GENE-061013-323]</t>
  </si>
  <si>
    <t>RPS17</t>
  </si>
  <si>
    <t>ENSDARG00000046157</t>
  </si>
  <si>
    <t>zgc:114188 [Source:ZFIN;Acc:ZDB-GENE-050320-15]</t>
  </si>
  <si>
    <t>elf3</t>
  </si>
  <si>
    <t>ENSDARG00000077982</t>
  </si>
  <si>
    <t>E74-like factor 3 (ets domain transcription factor, epithelial-specific ) [Source:ZFIN;Acc:ZDB-GENE-030131-8760]</t>
  </si>
  <si>
    <t>rps5</t>
  </si>
  <si>
    <t>ENSDARG00000043453</t>
  </si>
  <si>
    <t>ribosomal protein S5 [Source:ZFIN;Acc:ZDB-GENE-020419-12]</t>
  </si>
  <si>
    <t>sri</t>
  </si>
  <si>
    <t>ENSDARG00000058593</t>
  </si>
  <si>
    <t>sorcin [Source:ZFIN;Acc:ZDB-GENE-040426-1356]</t>
  </si>
  <si>
    <t>calr</t>
  </si>
  <si>
    <t>ENSDARG00000076290</t>
  </si>
  <si>
    <t>calreticulin [Source:ZFIN;Acc:ZDB-GENE-030131-4042]</t>
  </si>
  <si>
    <t>psma8</t>
  </si>
  <si>
    <t>ENSDARG00000010965</t>
  </si>
  <si>
    <t>proteasome subunit alpha 8 [Source:ZFIN;Acc:ZDB-GENE-040426-2194]</t>
  </si>
  <si>
    <t>rac1a</t>
  </si>
  <si>
    <t>ENSDARG00000074849</t>
  </si>
  <si>
    <t>ras-related C3 botulinum toxin substrate 1a (rho family, small GTP binding protein Rac1) [Source:ZFIN;Acc:ZDB-GENE-030131-5415]</t>
  </si>
  <si>
    <t>hnrnpaba</t>
  </si>
  <si>
    <t>ENSDARG00000007960</t>
  </si>
  <si>
    <t>heterogeneous nuclear ribonucleoprotein A/Ba [Source:ZFIN;Acc:ZDB-GENE-030131-185]</t>
  </si>
  <si>
    <t>serf2</t>
  </si>
  <si>
    <t>ENSDARG00000074340</t>
  </si>
  <si>
    <t>small EDRK-rich factor 2 [Source:ZFIN;Acc:ZDB-GENE-041108-1]</t>
  </si>
  <si>
    <t>naca</t>
  </si>
  <si>
    <t>ENSDARG00000005513</t>
  </si>
  <si>
    <t>nascent polypeptide-associated complex alpha subunit [Source:ZFIN;Acc:ZDB-GENE-020423-4]</t>
  </si>
  <si>
    <t>she</t>
  </si>
  <si>
    <t>ENSDARG00000087956</t>
  </si>
  <si>
    <t>Src homology 2 domain containing E [Source:ZFIN;Acc:ZDB-GENE-090915-6]</t>
  </si>
  <si>
    <t>her6</t>
  </si>
  <si>
    <t>ENSDARG00000006514</t>
  </si>
  <si>
    <t>hairy-related 6 [Source:ZFIN;Acc:ZDB-GENE-980526-144]</t>
  </si>
  <si>
    <t>ucp2</t>
  </si>
  <si>
    <t>ENSDARG00000043154</t>
  </si>
  <si>
    <t>uncoupling protein 2 [Source:ZFIN;Acc:ZDB-GENE-990708-8]</t>
  </si>
  <si>
    <t>plcd1b</t>
  </si>
  <si>
    <t>ENSDARG00000034080</t>
  </si>
  <si>
    <t>phospholipase C, delta 1b [Source:ZFIN;Acc:ZDB-GENE-030131-9435]</t>
  </si>
  <si>
    <t>hmgb2b</t>
  </si>
  <si>
    <t>ENSDARG00000053990</t>
  </si>
  <si>
    <t>high mobility group box 2b [Source:ZFIN;Acc:ZDB-GENE-040912-122]</t>
  </si>
  <si>
    <t>zgc:92313</t>
  </si>
  <si>
    <t>ENSDARG00000040513</t>
  </si>
  <si>
    <t>zgc:92313 [Source:ZFIN;Acc:ZDB-GENE-040718-339]</t>
  </si>
  <si>
    <t>rpl22</t>
  </si>
  <si>
    <t>ENSDARG00000070437</t>
  </si>
  <si>
    <t>ribosomal protein L22 [Source:ZFIN;Acc:ZDB-GENE-051113-276]</t>
  </si>
  <si>
    <t>wls</t>
  </si>
  <si>
    <t>ENSDARG00000009534</t>
  </si>
  <si>
    <t>wntless Wnt ligand secretion mediator [Source:ZFIN;Acc:ZDB-GENE-040426-2161]</t>
  </si>
  <si>
    <t>eef1b2</t>
  </si>
  <si>
    <t>ENSDARG00000044521</t>
  </si>
  <si>
    <t>eukaryotic translation elongation factor 1 beta 2 [Source:ZFIN;Acc:ZDB-GENE-030131-7310]</t>
  </si>
  <si>
    <t>abca12</t>
  </si>
  <si>
    <t>ENSDARG00000074749</t>
  </si>
  <si>
    <t>ATP-binding cassette, sub-family A (ABC1), member 12 [Source:ZFIN;Acc:ZDB-GENE-030131-9790]</t>
  </si>
  <si>
    <t>tubb4b</t>
  </si>
  <si>
    <t>ENSDARG00000002344</t>
  </si>
  <si>
    <t>tubulin, beta 4B class IVb [Source:ZFIN;Acc:ZDB-GENE-030131-8625]</t>
  </si>
  <si>
    <t>pfn1</t>
  </si>
  <si>
    <t>ENSDARG00000088091</t>
  </si>
  <si>
    <t>profilin 1 [Source:ZFIN;Acc:ZDB-GENE-031002-33]</t>
  </si>
  <si>
    <t>mydgf</t>
  </si>
  <si>
    <t>ENSDARG00000071679</t>
  </si>
  <si>
    <t>myeloid-derived growth factor [Source:ZFIN;Acc:ZDB-GENE-040718-183]</t>
  </si>
  <si>
    <t>zgc:56493</t>
  </si>
  <si>
    <t>ENSDARG00000031435</t>
  </si>
  <si>
    <t>zgc:56493 [Source:ZFIN;Acc:ZDB-GENE-030131-8581]</t>
  </si>
  <si>
    <t>h3f3d</t>
  </si>
  <si>
    <t>ENSDARG00000045248</t>
  </si>
  <si>
    <t>H3 histone, family 3D [Source:ZFIN;Acc:ZDB-GENE-040426-1023]</t>
  </si>
  <si>
    <t>tegt</t>
  </si>
  <si>
    <t>ENSDARG00000077934</t>
  </si>
  <si>
    <t>testis enhanced gene transcript (BAX inhibitor 1) [Source:ZFIN;Acc:ZDB-GENE-030826-10]</t>
  </si>
  <si>
    <t>nsa2</t>
  </si>
  <si>
    <t>ENSDARG00000007708</t>
  </si>
  <si>
    <t>NSA2 ribosome biogenesis homolog (S. cerevisiae) [Source:ZFIN;Acc:ZDB-GENE-030131-488]</t>
  </si>
  <si>
    <t>si:ch211-161h7.5</t>
  </si>
  <si>
    <t>ENSDARG00000093044</t>
  </si>
  <si>
    <t>si:ch211-161h7.5 [Source:ZFIN;Acc:ZDB-GENE-091204-265]</t>
  </si>
  <si>
    <t>gstm.1</t>
  </si>
  <si>
    <t>ENSDARG00000042533</t>
  </si>
  <si>
    <t>glutathione S-transferase mu, tandem duplicate 1 [Source:ZFIN;Acc:ZDB-GENE-030911-2]</t>
  </si>
  <si>
    <t>mgst1.1</t>
  </si>
  <si>
    <t>ENSDARG00000032618</t>
  </si>
  <si>
    <t>microsomal glutathione S-transferase 1.1 [Source:ZFIN;Acc:ZDB-GENE-041010-30]</t>
  </si>
  <si>
    <t>clic1</t>
  </si>
  <si>
    <t>ENSDARG00000103340</t>
  </si>
  <si>
    <t>chloride intracellular channel 1 [Source:ZFIN;Acc:ZDB-GENE-030131-3202]</t>
  </si>
  <si>
    <t>ier2</t>
  </si>
  <si>
    <t>ENSDARG00000099195</t>
  </si>
  <si>
    <t>immediate early response 2 [Source:ZFIN;Acc:ZDB-GENE-030131-9126]</t>
  </si>
  <si>
    <t>f11r.1</t>
  </si>
  <si>
    <t>ENSDARG00000017320</t>
  </si>
  <si>
    <t>F11 receptor, tandem duplicate 1 [Source:ZFIN;Acc:ZDB-GENE-030131-2416]</t>
  </si>
  <si>
    <t>hmgn2</t>
  </si>
  <si>
    <t>ENSDARG00000099572</t>
  </si>
  <si>
    <t>high mobility group nucleosomal binding domain 2 [Source:ZFIN;Acc:ZDB-GENE-051030-81]</t>
  </si>
  <si>
    <t>tpm3</t>
  </si>
  <si>
    <t>ENSDARG00000005162</t>
  </si>
  <si>
    <t>tropomyosin 3 [Source:ZFIN;Acc:ZDB-GENE-030826-16]</t>
  </si>
  <si>
    <t>ssr2</t>
  </si>
  <si>
    <t>ENSDARG00000005230</t>
  </si>
  <si>
    <t>signal sequence receptor, beta [Source:ZFIN;Acc:ZDB-GENE-010413-1]</t>
  </si>
  <si>
    <t>si:ch211-196l7.4</t>
  </si>
  <si>
    <t>ENSDARG00000095451</t>
  </si>
  <si>
    <t>si:ch211-196l7.4 [Source:ZFIN;Acc:ZDB-GENE-050419-122]</t>
  </si>
  <si>
    <t>tfap2a</t>
  </si>
  <si>
    <t>ENSDARG00000059279</t>
  </si>
  <si>
    <t>transcription factor AP-2 alpha [Source:ZFIN;Acc:ZDB-GENE-011212-6]</t>
  </si>
  <si>
    <t>tspan1</t>
  </si>
  <si>
    <t>ENSDARG00000052027</t>
  </si>
  <si>
    <t>tetraspanin 1 [Source:ZFIN;Acc:ZDB-GENE-070502-5]</t>
  </si>
  <si>
    <t>crip1</t>
  </si>
  <si>
    <t>ENSDARG00000053858</t>
  </si>
  <si>
    <t>cysteine-rich protein 1 [Source:ZFIN;Acc:ZDB-GENE-041111-1]</t>
  </si>
  <si>
    <t>pkhd1l1</t>
  </si>
  <si>
    <t>ENSDARG00000091116</t>
  </si>
  <si>
    <t>polycystic kidney and hepatic disease 1 (autosomal recessive)-like 1 [Source:ZFIN;Acc:ZDB-GENE-060503-475]</t>
  </si>
  <si>
    <t>cldne</t>
  </si>
  <si>
    <t>ENSDARG00000043128</t>
  </si>
  <si>
    <t>claudin e [Source:ZFIN;Acc:ZDB-GENE-010328-5]</t>
  </si>
  <si>
    <t>tnfsf10</t>
  </si>
  <si>
    <t>ENSDARG00000057241</t>
  </si>
  <si>
    <t>tumor necrosis factor (ligand) superfamily, member 10 [Source:ZFIN;Acc:ZDB-GENE-040718-335]</t>
  </si>
  <si>
    <t>s100a10b</t>
  </si>
  <si>
    <t>ENSDARG00000025254</t>
  </si>
  <si>
    <t>S100 calcium binding protein A10b [Source:ZFIN;Acc:ZDB-GENE-040426-1937]</t>
  </si>
  <si>
    <t>tmem119b</t>
  </si>
  <si>
    <t>ENSDARG00000068036</t>
  </si>
  <si>
    <t>transmembrane protein 119b [Source:ZFIN;Acc:ZDB-GENE-070410-49]</t>
  </si>
  <si>
    <t>ponzr6</t>
  </si>
  <si>
    <t>ENSDARG00000036382</t>
  </si>
  <si>
    <t>plac8 onzin related protein 6 [Source:ZFIN;Acc:ZDB-GENE-081104-326]</t>
  </si>
  <si>
    <t>igfbp5b</t>
  </si>
  <si>
    <t>ENSDARG00000025348</t>
  </si>
  <si>
    <t>insulin-like growth factor binding protein 5b [Source:ZFIN;Acc:ZDB-GENE-040319-2]</t>
  </si>
  <si>
    <t>map7d3</t>
  </si>
  <si>
    <t>ENSDARG00000060771</t>
  </si>
  <si>
    <t>MAP7 domain containing 3 [Source:ZFIN;Acc:ZDB-GENE-121129-3]</t>
  </si>
  <si>
    <t>si:ch211-266a5.12</t>
  </si>
  <si>
    <t>ENSDARG00000092714</t>
  </si>
  <si>
    <t>si:ch211-266a5.12 [Source:ZFIN;Acc:ZDB-GENE-081104-210]</t>
  </si>
  <si>
    <t>rgs4</t>
  </si>
  <si>
    <t>ENSDARG00000070047</t>
  </si>
  <si>
    <t>regulator of G-protein signaling 4 [Source:ZFIN;Acc:ZDB-GENE-030131-9839]</t>
  </si>
  <si>
    <t>zgc:154054</t>
  </si>
  <si>
    <t>ENSDARG00000099923</t>
  </si>
  <si>
    <t>zgc:154054 [Source:ZFIN;Acc:ZDB-GENE-061103-283]</t>
  </si>
  <si>
    <t>sfrp1a</t>
  </si>
  <si>
    <t>ENSDARG00000035521</t>
  </si>
  <si>
    <t>secreted frizzled-related protein 1a [Source:ZFIN;Acc:ZDB-GENE-040310-5]</t>
  </si>
  <si>
    <t>ponzr1</t>
  </si>
  <si>
    <t>ENSDARG00000090444</t>
  </si>
  <si>
    <t>plac8 onzin related protein 1 [Source:ZFIN;Acc:ZDB-GENE-070727-1]</t>
  </si>
  <si>
    <t>sepp1a</t>
  </si>
  <si>
    <t>ENSDARG00000093549</t>
  </si>
  <si>
    <t>selenoprotein P, plasma, 1a [Source:ZFIN;Acc:ZDB-GENE-030311-1]</t>
  </si>
  <si>
    <t>crb3b</t>
  </si>
  <si>
    <t>ENSDARG00000068182</t>
  </si>
  <si>
    <t>crumbs homolog 3b [Source:ZFIN;Acc:ZDB-GENE-060610-3]</t>
  </si>
  <si>
    <t>spock2</t>
  </si>
  <si>
    <t>ENSDARG00000075393</t>
  </si>
  <si>
    <t>sparc/osteonectin, cwcv and kazal-like domains proteoglycan (testican) 2 [Source:ZFIN;Acc:ZDB-GENE-090312-170]</t>
  </si>
  <si>
    <t>lye</t>
  </si>
  <si>
    <t>ENSDARG00000100630</t>
  </si>
  <si>
    <t>lymphocyte antigen-6, epidermis [Source:ZFIN;Acc:ZDB-GENE-120104-1]</t>
  </si>
  <si>
    <t>sulf1</t>
  </si>
  <si>
    <t>ENSDARG00000038428</t>
  </si>
  <si>
    <t>sulfatase 1 [Source:ZFIN;Acc:ZDB-GENE-030131-9242]</t>
  </si>
  <si>
    <t>si:dkey-33m11.8</t>
  </si>
  <si>
    <t>ENSDARG00000055014</t>
  </si>
  <si>
    <t>si:dkey-33m11.8 [Source:ZFIN;Acc:ZDB-GENE-141215-49]</t>
  </si>
  <si>
    <t>vsig8a</t>
  </si>
  <si>
    <t>ENSDARG00000054050</t>
  </si>
  <si>
    <t>V-set and immunoglobulin domain containing 8a [Source:ZFIN;Acc:ZDB-GENE-050417-338]</t>
  </si>
  <si>
    <t>mcama</t>
  </si>
  <si>
    <t>ENSDARG00000089643</t>
  </si>
  <si>
    <t>melanoma cell adhesion molecule a [Source:ZFIN;Acc:ZDB-GENE-090218-29]</t>
  </si>
  <si>
    <t>tmem176l.2</t>
  </si>
  <si>
    <t>ENSDARG00000089399</t>
  </si>
  <si>
    <t>transmembrane protein 176l.2 [Source:ZFIN;Acc:ZDB-GENE-080829-12]</t>
  </si>
  <si>
    <t>igsf9a</t>
  </si>
  <si>
    <t>ENSDARG00000075864</t>
  </si>
  <si>
    <t>immunoglobulin superfamily, member 9a [Source:ZFIN;Acc:ZDB-GENE-060503-288]</t>
  </si>
  <si>
    <t>ccl20b</t>
  </si>
  <si>
    <t>ENSDARG00000094511</t>
  </si>
  <si>
    <t>chemokine (C-C motif) ligand 20b [Source:ZFIN;Acc:ZDB-GENE-091204-95]</t>
  </si>
  <si>
    <t>ankrd1a</t>
  </si>
  <si>
    <t>ENSDARG00000075263</t>
  </si>
  <si>
    <t>ankyrin repeat domain 1a (cardiac muscle) [Source:ZFIN;Acc:ZDB-GENE-100405-1]</t>
  </si>
  <si>
    <t>epb41a</t>
  </si>
  <si>
    <t>ENSDARG00000099283</t>
  </si>
  <si>
    <t>erythrocyte membrane protein band 4.1a [Source:ZFIN;Acc:ZDB-GENE-070705-81]</t>
  </si>
  <si>
    <t>cdh1</t>
  </si>
  <si>
    <t>ENSDARG00000102750</t>
  </si>
  <si>
    <t>cadherin 1, type 1, E-cadherin (epithelial) [Source:ZFIN;Acc:ZDB-GENE-010606-1]</t>
  </si>
  <si>
    <t>pknox2</t>
  </si>
  <si>
    <t>ENSDARG00000055349</t>
  </si>
  <si>
    <t>pbx/knotted 1 homeobox 2 [Source:ZFIN;Acc:ZDB-GENE-031118-112]</t>
  </si>
  <si>
    <t>ackr3b</t>
  </si>
  <si>
    <t>ENSDARG00000058179</t>
  </si>
  <si>
    <t>atypical chemokine receptor 3b [Source:ZFIN;Acc:ZDB-GENE-031116-61]</t>
  </si>
  <si>
    <t>fermt1</t>
  </si>
  <si>
    <t>ENSDARG00000052652</t>
  </si>
  <si>
    <t>fermitin family member 1 [Source:ZFIN;Acc:ZDB-GENE-030131-3264]</t>
  </si>
  <si>
    <t>prrg2</t>
  </si>
  <si>
    <t>ENSDARG00000087193</t>
  </si>
  <si>
    <t>proline rich Gla (G-carboxyglutamic acid) 2 [Source:ZFIN;Acc:ZDB-GENE-130625-1]</t>
  </si>
  <si>
    <t>tnnt2b</t>
  </si>
  <si>
    <t>ENSDARG00000100694</t>
  </si>
  <si>
    <t>troponin T type 2b (cardiac) [Source:ZFIN;Acc:ZDB-GENE-091106-2]</t>
  </si>
  <si>
    <t>zgc:123068</t>
  </si>
  <si>
    <t>ENSDARG00000017489</t>
  </si>
  <si>
    <t>zgc:123068 [Source:ZFIN;Acc:ZDB-GENE-051030-98]</t>
  </si>
  <si>
    <t>si:dkey-103g5.3</t>
  </si>
  <si>
    <t>ENSDARG00000062319</t>
  </si>
  <si>
    <t>si:dkey-103g5.3 [Source:ZFIN;Acc:ZDB-GENE-131127-337]</t>
  </si>
  <si>
    <t>cpm</t>
  </si>
  <si>
    <t>ENSDARG00000011769</t>
  </si>
  <si>
    <t>carboxypeptidase M [Source:ZFIN;Acc:ZDB-GENE-041210-191]</t>
  </si>
  <si>
    <t>mb</t>
  </si>
  <si>
    <t>ENSDARG00000031952</t>
  </si>
  <si>
    <t>myoglobin [Source:ZFIN;Acc:ZDB-GENE-040426-1430]</t>
  </si>
  <si>
    <t>lfng</t>
  </si>
  <si>
    <t>ENSDARG00000037879</t>
  </si>
  <si>
    <t>LFNG O-fucosylpeptide 3-beta-N-acetylglucosaminyltransferase [Source:ZFIN;Acc:ZDB-GENE-980605-16]</t>
  </si>
  <si>
    <t>si:ch73-95l15.5</t>
  </si>
  <si>
    <t>ENSDARG00000087596</t>
  </si>
  <si>
    <t>si:ch73-95l15.5 [Source:ZFIN;Acc:ZDB-GENE-030131-3481]</t>
  </si>
  <si>
    <t>cts12</t>
  </si>
  <si>
    <t>ENSDARG00000042753</t>
  </si>
  <si>
    <t>cathepsin 12 [Source:ZFIN;Acc:ZDB-GENE-050208-336]</t>
  </si>
  <si>
    <t>eif4ebp3</t>
  </si>
  <si>
    <t>ENSDARG00000054916</t>
  </si>
  <si>
    <t>eukaryotic translation initiation factor 4E binding protein 3 [Source:ZFIN;Acc:ZDB-GENE-041114-44]</t>
  </si>
  <si>
    <t>AL954146.1</t>
  </si>
  <si>
    <t>ENSDARG00000038891</t>
  </si>
  <si>
    <t>zgc:101744</t>
  </si>
  <si>
    <t>ENSDARG00000038694</t>
  </si>
  <si>
    <t>zgc:101744 [Source:ZFIN;Acc:ZDB-GENE-050320-111]</t>
  </si>
  <si>
    <t>atpif1a</t>
  </si>
  <si>
    <t>ENSDARG00000067975</t>
  </si>
  <si>
    <t>ATPase inhibitory factor 1a [Source:ZFIN;Acc:ZDB-GENE-070410-36]</t>
  </si>
  <si>
    <t>rhbg</t>
  </si>
  <si>
    <t>ENSDARG00000009018</t>
  </si>
  <si>
    <t>Rh family, B glycoprotein (gene/pseudogene) [Source:ZFIN;Acc:ZDB-GENE-030131-9542]</t>
  </si>
  <si>
    <t>anxa2a</t>
  </si>
  <si>
    <t>ENSDARG00000003216</t>
  </si>
  <si>
    <t>annexin A2a [Source:ZFIN;Acc:ZDB-GENE-030131-4282]</t>
  </si>
  <si>
    <t>sepw2b</t>
  </si>
  <si>
    <t>ENSDARG00000089936</t>
  </si>
  <si>
    <t>selenoprotein W, 2b [Source:ZFIN;Acc:ZDB-GENE-030428-2]</t>
  </si>
  <si>
    <t>degs1</t>
  </si>
  <si>
    <t>ENSDARG00000007347</t>
  </si>
  <si>
    <t>delta(4)-desaturase, sphingolipid 1 [Source:ZFIN;Acc:ZDB-GENE-030131-5283]</t>
  </si>
  <si>
    <t>zgc:165423</t>
  </si>
  <si>
    <t>ENSDARG00000052905</t>
  </si>
  <si>
    <t>zgc:165423 [Source:ZFIN;Acc:ZDB-GENE-070720-11]</t>
  </si>
  <si>
    <t>cirbpa</t>
  </si>
  <si>
    <t>ENSDARG00000103672</t>
  </si>
  <si>
    <t>cold inducible RNA binding protein a [Source:ZFIN;Acc:ZDB-GENE-050417-329]</t>
  </si>
  <si>
    <t>si:ch211-71m22.1</t>
  </si>
  <si>
    <t>ENSDARG00000058638</t>
  </si>
  <si>
    <t>si:ch211-71m22.1 [Source:ZFIN;Acc:ZDB-GENE-070705-193]</t>
  </si>
  <si>
    <t>prss23</t>
  </si>
  <si>
    <t>ENSDARG00000055786</t>
  </si>
  <si>
    <t>protease, serine, 23 [Source:ZFIN;Acc:ZDB-GENE-030131-9149]</t>
  </si>
  <si>
    <t>kctd1</t>
  </si>
  <si>
    <t>ENSDARG00000074056</t>
  </si>
  <si>
    <t>potassium channel tetramerization domain containing 1 [Source:ZFIN;Acc:ZDB-GENE-040724-194]</t>
  </si>
  <si>
    <t>zgc:153317</t>
  </si>
  <si>
    <t>ENSDARG00000092903</t>
  </si>
  <si>
    <t>zgc:153317 [Source:ZFIN;Acc:ZDB-GENE-060825-309]</t>
  </si>
  <si>
    <t>isl1</t>
  </si>
  <si>
    <t>ENSDARG00000004023</t>
  </si>
  <si>
    <t>ISL LIM homeobox 1 [Source:ZFIN;Acc:ZDB-GENE-980526-112]</t>
  </si>
  <si>
    <t>copz2</t>
  </si>
  <si>
    <t>ENSDARG00000006786</t>
  </si>
  <si>
    <t>coatomer protein complex, subunit zeta 2 [Source:ZFIN;Acc:ZDB-GENE-000406-5]</t>
  </si>
  <si>
    <t>ebf3a</t>
  </si>
  <si>
    <t>ENSDARG00000100244</t>
  </si>
  <si>
    <t>early B-cell factor 3a [Source:ZFIN;Acc:ZDB-GENE-070112-292]</t>
  </si>
  <si>
    <t>tnfb</t>
  </si>
  <si>
    <t>ENSDARG00000013598</t>
  </si>
  <si>
    <t>tumor necrosis factor b (TNF superfamily, member 2) [Source:ZFIN;Acc:ZDB-GENE-050601-2]</t>
  </si>
  <si>
    <t>snrpe</t>
  </si>
  <si>
    <t>ENSDARG00000033175</t>
  </si>
  <si>
    <t>small nuclear ribonucleoprotein polypeptide E [Source:ZFIN;Acc:ZDB-GENE-040426-1112]</t>
  </si>
  <si>
    <t>rpl22l1</t>
  </si>
  <si>
    <t>ENSDARG00000010244</t>
  </si>
  <si>
    <t>ribosomal protein L22-like 1 [Source:ZFIN;Acc:ZDB-GENE-060804-3]</t>
  </si>
  <si>
    <t>mibp2</t>
  </si>
  <si>
    <t>ENSDARG00000101844</t>
  </si>
  <si>
    <t>muscle-specific beta 1 integrin binding protein 2 [Source:ZFIN;Acc:ZDB-GENE-031113-14]</t>
  </si>
  <si>
    <t>fut8a</t>
  </si>
  <si>
    <t>ENSDARG00000015449</t>
  </si>
  <si>
    <t>fucosyltransferase 8a (alpha (1,6) fucosyltransferase) [Source:ZFIN;Acc:ZDB-GENE-031118-20]</t>
  </si>
  <si>
    <t>btbd6b</t>
  </si>
  <si>
    <t>ENSDARG00000032369</t>
  </si>
  <si>
    <t>BTB (POZ) domain containing 6b [Source:ZFIN;Acc:ZDB-GENE-030829-65]</t>
  </si>
  <si>
    <t>gsnb</t>
  </si>
  <si>
    <t>ENSDARG00000045262</t>
  </si>
  <si>
    <t>gelsolin b [Source:ZFIN;Acc:ZDB-GENE-030131-8567]</t>
  </si>
  <si>
    <t>ybx1</t>
  </si>
  <si>
    <t>ENSDARG00000004757</t>
  </si>
  <si>
    <t>Y box binding protein 1 [Source:ZFIN;Acc:ZDB-GENE-000629-3]</t>
  </si>
  <si>
    <t>zgc:112437</t>
  </si>
  <si>
    <t>ENSDARG00000009215</t>
  </si>
  <si>
    <t>zgc:112437 [Source:ZFIN;Acc:ZDB-GENE-050417-293]</t>
  </si>
  <si>
    <t>ppiab</t>
  </si>
  <si>
    <t>ENSDARG00000103994</t>
  </si>
  <si>
    <t>peptidylprolyl isomerase Ab (cyclophilin A) [Source:ZFIN;Acc:ZDB-GENE-030131-7459]</t>
  </si>
  <si>
    <t>ahnak</t>
  </si>
  <si>
    <t>ENSDARG00000061764</t>
  </si>
  <si>
    <t>AHNAK nucleoprotein [Source:ZFIN;Acc:ZDB-GENE-030131-8719]</t>
  </si>
  <si>
    <t>zgc:113162</t>
  </si>
  <si>
    <t>ENSDARG00000052923</t>
  </si>
  <si>
    <t>zgc:113162 [Source:ZFIN;Acc:ZDB-GENE-050522-530]</t>
  </si>
  <si>
    <t>inhbaa</t>
  </si>
  <si>
    <t>ENSDARG00000012671</t>
  </si>
  <si>
    <t>inhibin, beta Aa [Source:ZFIN;Acc:ZDB-GENE-000210-21]</t>
  </si>
  <si>
    <t>atp1a1b</t>
  </si>
  <si>
    <t>ENSDARG00000019856</t>
  </si>
  <si>
    <t>ATPase, Na+/K+ transporting, alpha 1b polypeptide [Source:ZFIN;Acc:ZDB-GENE-001212-5]</t>
  </si>
  <si>
    <t>mfng</t>
  </si>
  <si>
    <t>ENSDARG00000042925</t>
  </si>
  <si>
    <t>MFNG O-fucosylpeptide 3-beta-N-acetylglucosaminyltransferase [Source:ZFIN;Acc:ZDB-GENE-041130-1]</t>
  </si>
  <si>
    <t>tma7</t>
  </si>
  <si>
    <t>ENSDARG00000071670</t>
  </si>
  <si>
    <t>translation machinery associated 7 homolog [Source:ZFIN;Acc:ZDB-GENE-061027-176]</t>
  </si>
  <si>
    <t>krt5</t>
  </si>
  <si>
    <t>ENSDARG00000058371</t>
  </si>
  <si>
    <t>keratin 5 [Source:ZFIN;Acc:ZDB-GENE-991110-23]</t>
  </si>
  <si>
    <t>pdia6</t>
  </si>
  <si>
    <t>ENSDARG00000009001</t>
  </si>
  <si>
    <t>protein disulfide isomerase family A, member 6 [Source:ZFIN;Acc:ZDB-GENE-030131-879]</t>
  </si>
  <si>
    <t>sost</t>
  </si>
  <si>
    <t>ENSDARG00000061259</t>
  </si>
  <si>
    <t>sclerostin [Source:ZFIN;Acc:ZDB-GENE-110411-139]</t>
  </si>
  <si>
    <t>si:ch73-261i21.5</t>
  </si>
  <si>
    <t>ENSDARG00000105061</t>
  </si>
  <si>
    <t>si:ch73-261i21.5 [Source:ZFIN;Acc:ZDB-GENE-110411-258]</t>
  </si>
  <si>
    <t>col17a1b</t>
  </si>
  <si>
    <t>ENSDARG00000079011</t>
  </si>
  <si>
    <t>collagen, type XVII, alpha 1b [Source:ZFIN;Acc:ZDB-GENE-030131-7145]</t>
  </si>
  <si>
    <t>h2afvb</t>
  </si>
  <si>
    <t>ENSDARG00000099214</t>
  </si>
  <si>
    <t>H2A histone family, member Vb [Source:ZFIN;Acc:ZDB-GENE-050506-24]</t>
  </si>
  <si>
    <t>si:dkey-238c7.12</t>
  </si>
  <si>
    <t>ENSDARG00000095556</t>
  </si>
  <si>
    <t>si:dkey-238c7.12 [Source:ZFIN;Acc:ZDB-GENE-030131-8330]</t>
  </si>
  <si>
    <t>her9</t>
  </si>
  <si>
    <t>ENSDARG00000056438</t>
  </si>
  <si>
    <t>hairy-related 9 [Source:ZFIN;Acc:ZDB-GENE-011213-1]</t>
  </si>
  <si>
    <t>phf5a</t>
  </si>
  <si>
    <t>ENSDARG00000045155</t>
  </si>
  <si>
    <t>PHD finger protein 5A [Source:ZFIN;Acc:ZDB-GENE-021219-3]</t>
  </si>
  <si>
    <t>rplp0</t>
  </si>
  <si>
    <t>ENSDARG00000051783</t>
  </si>
  <si>
    <t>ribosomal protein, large, P0 [Source:ZFIN;Acc:ZDB-GENE-000629-1]</t>
  </si>
  <si>
    <t>hvcn1</t>
  </si>
  <si>
    <t>ENSDARG00000040338</t>
  </si>
  <si>
    <t>hydrogen voltage-gated channel 1 [Source:ZFIN;Acc:ZDB-GENE-040718-36]</t>
  </si>
  <si>
    <t>fzd8a</t>
  </si>
  <si>
    <t>ENSDARG00000045444</t>
  </si>
  <si>
    <t>frizzled class receptor 8a [Source:ZFIN;Acc:ZDB-GENE-000328-3]</t>
  </si>
  <si>
    <t>si:ch211-127l15.5</t>
  </si>
  <si>
    <t>ENSDARG00000034943</t>
  </si>
  <si>
    <t>si:ch211-127l15.5 [Source:ZFIN;Acc:ZDB-GENE-030131-1459]</t>
  </si>
  <si>
    <t>hspe1</t>
  </si>
  <si>
    <t>ENSDARG00000056167</t>
  </si>
  <si>
    <t>heat shock 10 protein 1 [Source:ZFIN;Acc:ZDB-GENE-000906-2]</t>
  </si>
  <si>
    <t>fndc7rs4</t>
  </si>
  <si>
    <t>ENSDARG00000092813</t>
  </si>
  <si>
    <t>fibronectin type III domain containing 7, related sequence 4 [Source:ZFIN;Acc:ZDB-GENE-070912-648]</t>
  </si>
  <si>
    <t>bik</t>
  </si>
  <si>
    <t>ENSDARG00000045549</t>
  </si>
  <si>
    <t>BCL2-interacting killer (apoptosis-inducing) [Source:ZFIN;Acc:ZDB-GENE-041210-181]</t>
  </si>
  <si>
    <t>wnt11r</t>
  </si>
  <si>
    <t>ENSDARG00000014796</t>
  </si>
  <si>
    <t>wingless-type MMTV integration site family, member 11, related [Source:ZFIN;Acc:ZDB-GENE-980526-249]</t>
  </si>
  <si>
    <t>hnrnpabb</t>
  </si>
  <si>
    <t>ENSDARG00000099865</t>
  </si>
  <si>
    <t>heterogeneous nuclear ribonucleoprotein A/Bb [Source:ZFIN;Acc:ZDB-GENE-040426-2516]</t>
  </si>
  <si>
    <t>si:dkey-68o6.5</t>
  </si>
  <si>
    <t>ENSDARG00000099247</t>
  </si>
  <si>
    <t>si:dkey-68o6.5 [Source:ZFIN;Acc:ZDB-GENE-030131-5416]</t>
  </si>
  <si>
    <t>stard13b</t>
  </si>
  <si>
    <t>ENSDARG00000098954</t>
  </si>
  <si>
    <t>StAR-related lipid transfer (START) domain containing 13b [Source:ZFIN;Acc:ZDB-GENE-050506-146]</t>
  </si>
  <si>
    <t>gata2b</t>
  </si>
  <si>
    <t>ENSDARG00000009094</t>
  </si>
  <si>
    <t>GATA binding protein 2b [Source:ZFIN;Acc:ZDB-GENE-040718-440]</t>
  </si>
  <si>
    <t>znf185</t>
  </si>
  <si>
    <t>ENSDARG00000103917</t>
  </si>
  <si>
    <t>zinc finger protein 185 (LIM domain) [Source:ZFIN;Acc:ZDB-GENE-061103-355]</t>
  </si>
  <si>
    <t>ddost</t>
  </si>
  <si>
    <t>ENSDARG00000037318</t>
  </si>
  <si>
    <t>dolichyl-diphosphooligosaccharide--protein glycosyltransferase subunit (non-catalytic) [Source:ZFIN;Acc:ZDB-GENE-040426-2147]</t>
  </si>
  <si>
    <t>glod5</t>
  </si>
  <si>
    <t>ENSDARG00000071871</t>
  </si>
  <si>
    <t>glyoxalase domain containing 5 [Source:ZFIN;Acc:ZDB-GENE-050522-174]</t>
  </si>
  <si>
    <t>si:ch211-137a8.4</t>
  </si>
  <si>
    <t>ENSDARG00000078748</t>
  </si>
  <si>
    <t>si:ch211-137a8.4 [Source:ZFIN;Acc:ZDB-GENE-030131-3742]</t>
  </si>
  <si>
    <t>lad1</t>
  </si>
  <si>
    <t>ENSDARG00000022698</t>
  </si>
  <si>
    <t>ladinin [Source:ZFIN;Acc:ZDB-GENE-030616-268]</t>
  </si>
  <si>
    <t>si:dkey-248g15.3</t>
  </si>
  <si>
    <t>ENSDARG00000097959</t>
  </si>
  <si>
    <t>si:dkey-248g15.3 [Source:ZFIN;Acc:ZDB-GENE-131127-95]</t>
  </si>
  <si>
    <t>lsm5</t>
  </si>
  <si>
    <t>ENSDARG00000071573</t>
  </si>
  <si>
    <t>LSM5 homolog, U6 small nuclear RNA and mRNA degradation associated [Source:ZFIN;Acc:ZDB-GENE-070822-23]</t>
  </si>
  <si>
    <t>hnrnpa0b</t>
  </si>
  <si>
    <t>ENSDARG00000036162</t>
  </si>
  <si>
    <t>heterogeneous nuclear ribonucleoprotein A0b [Source:ZFIN;Acc:ZDB-GENE-030131-6154]</t>
  </si>
  <si>
    <t>rgs12a</t>
  </si>
  <si>
    <t>ENSDARG00000009610</t>
  </si>
  <si>
    <t>regulator of G-protein signaling 12a [Source:ZFIN;Acc:ZDB-GENE-030131-2614]</t>
  </si>
  <si>
    <t>stmn1a</t>
  </si>
  <si>
    <t>ENSDARG00000004169</t>
  </si>
  <si>
    <t>stathmin 1a [Source:ZFIN;Acc:ZDB-GENE-031006-14]</t>
  </si>
  <si>
    <t>gmfb</t>
  </si>
  <si>
    <t>ENSDARG00000028327</t>
  </si>
  <si>
    <t>glia maturation factor, beta [Source:ZFIN;Acc:ZDB-GENE-040426-2114]</t>
  </si>
  <si>
    <t>mid1ip1a</t>
  </si>
  <si>
    <t>ENSDARG00000041051</t>
  </si>
  <si>
    <t>MID1 interacting protein 1a [Source:ZFIN;Acc:ZDB-GENE-990415-81]</t>
  </si>
  <si>
    <t>si:ch211-156b7.4</t>
  </si>
  <si>
    <t>ENSDARG00000101707</t>
  </si>
  <si>
    <t>si:ch211-156b7.4 [Source:ZFIN;Acc:ZDB-GENE-141212-376]</t>
  </si>
  <si>
    <t>cx35.4</t>
  </si>
  <si>
    <t>ENSDARG00000042866</t>
  </si>
  <si>
    <t>connexin 35.4 [Source:ZFIN;Acc:ZDB-GENE-050417-174]</t>
  </si>
  <si>
    <t>her4.1</t>
  </si>
  <si>
    <t>ENSDARG00000056732</t>
  </si>
  <si>
    <t>hairy-related 4, tandem duplicate 1 [Source:ZFIN;Acc:ZDB-GENE-980526-521]</t>
  </si>
  <si>
    <t>zgc:92630</t>
  </si>
  <si>
    <t>ENSDARG00000004141</t>
  </si>
  <si>
    <t>zgc:92630 [Source:ZFIN;Acc:ZDB-GENE-040718-449]</t>
  </si>
  <si>
    <t>sepw1</t>
  </si>
  <si>
    <t>ENSDARG00000035136</t>
  </si>
  <si>
    <t>selenoprotein W, 1 [Source:ZFIN;Acc:ZDB-GENE-030410-5]</t>
  </si>
  <si>
    <t>dla</t>
  </si>
  <si>
    <t>ENSDARG00000010791</t>
  </si>
  <si>
    <t>deltaA [Source:ZFIN;Acc:ZDB-GENE-980526-29]</t>
  </si>
  <si>
    <t>hmgb3a</t>
  </si>
  <si>
    <t>ENSDARG00000056725</t>
  </si>
  <si>
    <t>high mobility group box 3a [Source:ZFIN;Acc:ZDB-GENE-050428-1]</t>
  </si>
  <si>
    <t>bmp5</t>
  </si>
  <si>
    <t>ENSDARG00000101701</t>
  </si>
  <si>
    <t>bone morphogenetic protein 5 [Source:ZFIN;Acc:ZDB-GENE-040426-1413]</t>
  </si>
  <si>
    <t>si:rp71-77l1.1</t>
  </si>
  <si>
    <t>ENSDARG00000097746</t>
  </si>
  <si>
    <t>si:rp71-77l1.1 [Source:ZFIN;Acc:ZDB-GENE-131121-141]</t>
  </si>
  <si>
    <t>dad1</t>
  </si>
  <si>
    <t>ENSDARG00000102105</t>
  </si>
  <si>
    <t>defender against cell death 1 [Source:ZFIN;Acc:ZDB-GENE-060503-233]</t>
  </si>
  <si>
    <t>fabp3</t>
  </si>
  <si>
    <t>ENSDARG00000023290</t>
  </si>
  <si>
    <t>fatty acid binding protein 3, muscle and heart [Source:ZFIN;Acc:ZDB-GENE-020318-2]</t>
  </si>
  <si>
    <t>s100v1</t>
  </si>
  <si>
    <t>ENSDARG00000070427</t>
  </si>
  <si>
    <t>S100 calcium binding protein V1 [Source:ZFIN;Acc:ZDB-GENE-080407-1]</t>
  </si>
  <si>
    <t>myo18aa</t>
  </si>
  <si>
    <t>ENSDARG00000075752</t>
  </si>
  <si>
    <t>myosin XVIIIAa [Source:ZFIN;Acc:ZDB-GENE-080425-5]</t>
  </si>
  <si>
    <t>amer2</t>
  </si>
  <si>
    <t>ENSDARG00000075222</t>
  </si>
  <si>
    <t>APC membrane recruitment protein 2 [Source:ZFIN;Acc:ZDB-GENE-070719-5]</t>
  </si>
  <si>
    <t>ndrg2</t>
  </si>
  <si>
    <t>ENSDARG00000011170</t>
  </si>
  <si>
    <t>NDRG family member 2 [Source:ZFIN;Acc:ZDB-GENE-041212-15]</t>
  </si>
  <si>
    <t>sostdc1b</t>
  </si>
  <si>
    <t>ENSDARG00000056021</t>
  </si>
  <si>
    <t>sclerostin domain containing 1b [Source:ZFIN;Acc:ZDB-GENE-060503-653]</t>
  </si>
  <si>
    <t>agrn</t>
  </si>
  <si>
    <t>ENSDARG00000079388</t>
  </si>
  <si>
    <t>agrin [Source:ZFIN;Acc:ZDB-GENE-030131-1033]</t>
  </si>
  <si>
    <t>fam169aa</t>
  </si>
  <si>
    <t>ENSDARG00000059719</t>
  </si>
  <si>
    <t>family with sequence similarity 169, member Aa [Source:ZFIN;Acc:ZDB-GENE-060825-117]</t>
  </si>
  <si>
    <t>zgc:64106</t>
  </si>
  <si>
    <t>ENSDARG00000011371</t>
  </si>
  <si>
    <t>zgc:64106 [Source:ZFIN;Acc:ZDB-GENE-040426-1370]</t>
  </si>
  <si>
    <t>gbgt1l3</t>
  </si>
  <si>
    <t>ENSDARG00000035555</t>
  </si>
  <si>
    <t>globoside alpha-1,3-N-acetylgalactosaminyltransferase 1, like 3 [Source:ZFIN;Acc:ZDB-GENE-040912-46]</t>
  </si>
  <si>
    <t>rbm4.3</t>
  </si>
  <si>
    <t>ENSDARG00000022129</t>
  </si>
  <si>
    <t>RNA binding motif protein 4.3 [Source:ZFIN;Acc:ZDB-GENE-040426-1938]</t>
  </si>
  <si>
    <t>pgam1a</t>
  </si>
  <si>
    <t>ENSDARG00000005423</t>
  </si>
  <si>
    <t>phosphoglycerate mutase 1a [Source:ZFIN;Acc:ZDB-GENE-030131-1827]</t>
  </si>
  <si>
    <t>lnx2b</t>
  </si>
  <si>
    <t>ENSDARG00000071478</t>
  </si>
  <si>
    <t>ligand of numb-protein X 2b [Source:ZFIN;Acc:ZDB-GENE-040426-2500]</t>
  </si>
  <si>
    <t>her4.2.1</t>
  </si>
  <si>
    <t>ENSDARG00000094426</t>
  </si>
  <si>
    <t>hairy-related 4, tandem duplicate 2 [Source:ZFIN;Acc:ZDB-GENE-060815-1]</t>
  </si>
  <si>
    <t>rgcc</t>
  </si>
  <si>
    <t>ENSDARG00000035810</t>
  </si>
  <si>
    <t>regulator of cell cycle [Source:ZFIN;Acc:ZDB-GENE-040704-31]</t>
  </si>
  <si>
    <t>adcyap1b</t>
  </si>
  <si>
    <t>ENSDARG00000027740</t>
  </si>
  <si>
    <t>adenylate cyclase activating polypeptide 1b [Source:ZFIN;Acc:ZDB-GENE-041010-89]</t>
  </si>
  <si>
    <t>sdf2l1</t>
  </si>
  <si>
    <t>ENSDARG00000035631</t>
  </si>
  <si>
    <t>stromal cell-derived factor 2-like 1 [Source:ZFIN;Acc:ZDB-GENE-040808-46]</t>
  </si>
  <si>
    <t>bcl11ba</t>
  </si>
  <si>
    <t>ENSDARG00000062510</t>
  </si>
  <si>
    <t>B-cell CLL/lymphoma 11Ba (zinc finger protein) [Source:ZFIN;Acc:ZDB-GENE-061207-62]</t>
  </si>
  <si>
    <t>nop58</t>
  </si>
  <si>
    <t>ENSDARG00000104353</t>
  </si>
  <si>
    <t>NOP58 ribonucleoprotein homolog (yeast) [Source:ZFIN;Acc:ZDB-GENE-040426-2140]</t>
  </si>
  <si>
    <t>snrpb</t>
  </si>
  <si>
    <t>ENSDARG00000011125</t>
  </si>
  <si>
    <t>small nuclear ribonucleoprotein polypeptides B and B1 [Source:ZFIN;Acc:ZDB-GENE-040426-1819]</t>
  </si>
  <si>
    <t>glula</t>
  </si>
  <si>
    <t>ENSDARG00000099776</t>
  </si>
  <si>
    <t>glutamate-ammonia ligase (glutamine synthase) a [Source:ZFIN;Acc:ZDB-GENE-030131-688]</t>
  </si>
  <si>
    <t>ptger4a</t>
  </si>
  <si>
    <t>ENSDARG00000059236</t>
  </si>
  <si>
    <t>prostaglandin E receptor 4 (subtype EP4) a [Source:ZFIN;Acc:ZDB-GENE-060222-1]</t>
  </si>
  <si>
    <t>snrpd2</t>
  </si>
  <si>
    <t>ENSDARG00000040440</t>
  </si>
  <si>
    <t>small nuclear ribonucleoprotein D2 polypeptide [Source:ZFIN;Acc:ZDB-GENE-040914-10]</t>
  </si>
  <si>
    <t>npm1a</t>
  </si>
  <si>
    <t>ENSDARG00000014329</t>
  </si>
  <si>
    <t>nucleophosmin 1a (nucleolar phosphoprotein B23, numatrin) [Source:ZFIN;Acc:ZDB-GENE-021028-1]</t>
  </si>
  <si>
    <t>snrpf</t>
  </si>
  <si>
    <t>ENSDARG00000105037</t>
  </si>
  <si>
    <t>small nuclear ribonucleoprotein polypeptide F [Source:ZFIN;Acc:ZDB-GENE-040930-9]</t>
  </si>
  <si>
    <t>hmga1a</t>
  </si>
  <si>
    <t>ENSDARG00000028335</t>
  </si>
  <si>
    <t>high mobility group AT-hook 1a [Source:ZFIN;Acc:ZDB-GENE-010502-1]</t>
  </si>
  <si>
    <t>cfl1</t>
  </si>
  <si>
    <t>ENSDARG00000021124</t>
  </si>
  <si>
    <t>cofilin 1 [Source:ZFIN;Acc:ZDB-GENE-030131-215]</t>
  </si>
  <si>
    <t>her4.2</t>
  </si>
  <si>
    <t>ENSDARG00000056729</t>
  </si>
  <si>
    <t>atp5a1</t>
  </si>
  <si>
    <t>ENSDARG00000010149</t>
  </si>
  <si>
    <t>ATP synthase, H+ transporting, mitochondrial F1 complex, alpha subunit 1, cardiac muscle [Source:ZFIN;Acc:ZDB-GENE-060201-1]</t>
  </si>
  <si>
    <t>marcksb</t>
  </si>
  <si>
    <t>ENSDARG00000008803</t>
  </si>
  <si>
    <t>myristoylated alanine-rich protein kinase C substrate b [Source:ZFIN;Acc:ZDB-GENE-030131-1921]</t>
  </si>
  <si>
    <t>lsm7</t>
  </si>
  <si>
    <t>ENSDARG00000058328</t>
  </si>
  <si>
    <t>LSM7 homolog, U6 small nuclear RNA and mRNA degradation associated [Source:ZFIN;Acc:ZDB-GENE-030131-8284]</t>
  </si>
  <si>
    <t>eef1db</t>
  </si>
  <si>
    <t>ENSDARG00000030053</t>
  </si>
  <si>
    <t>eukaryotic translation elongation factor 1 delta b (guanine nucleotide exchange protein) [Source:ZFIN;Acc:ZDB-GENE-030131-6544]</t>
  </si>
  <si>
    <t>cct4</t>
  </si>
  <si>
    <t>ENSDARG00000013475</t>
  </si>
  <si>
    <t>chaperonin containing TCP1, subunit 4 (delta) [Source:ZFIN;Acc:ZDB-GENE-040426-1421]</t>
  </si>
  <si>
    <t>actb1</t>
  </si>
  <si>
    <t>ENSDARG00000037746</t>
  </si>
  <si>
    <t>actin, beta 1 [Source:ZFIN;Acc:ZDB-GENE-000329-1]</t>
  </si>
  <si>
    <t>si:dkey-16m19.4</t>
  </si>
  <si>
    <t>ENSDARG00000091937</t>
  </si>
  <si>
    <t>si:dkey-16m19.4 [Source:ZFIN;Acc:ZDB-GENE-060503-618]</t>
  </si>
  <si>
    <t>h2afva</t>
  </si>
  <si>
    <t>ENSDARG00000068820</t>
  </si>
  <si>
    <t>H2A histone family, member Va [Source:ZFIN;Acc:ZDB-GENE-020717-1]</t>
  </si>
  <si>
    <t>slc35b1</t>
  </si>
  <si>
    <t>ENSDARG00000038213</t>
  </si>
  <si>
    <t>solute carrier family 35, member B1 [Source:ZFIN;Acc:ZDB-GENE-040912-148]</t>
  </si>
  <si>
    <t>mt-nd1</t>
  </si>
  <si>
    <t>ENSDARG00000063895</t>
  </si>
  <si>
    <t>NADH dehydrogenase 1, mitochondrial [Source:ZFIN;Acc:ZDB-GENE-011205-7]</t>
  </si>
  <si>
    <t>rps17</t>
  </si>
  <si>
    <t>ENSDARG00000104011</t>
  </si>
  <si>
    <t>ribosomal protein S17 [Source:ZFIN;Acc:ZDB-GENE-040426-1852]</t>
  </si>
  <si>
    <t>bcl2a</t>
  </si>
  <si>
    <t>ENSDARG00000094704</t>
  </si>
  <si>
    <t>B-cell CLL/lymphoma 2a [Source:ZFIN;Acc:ZDB-GENE-051012-1]</t>
  </si>
  <si>
    <t>ranbp1</t>
  </si>
  <si>
    <t>ENSDARG00000014817</t>
  </si>
  <si>
    <t>RAN binding protein 1 [Source:ZFIN;Acc:ZDB-GENE-040426-2548]</t>
  </si>
  <si>
    <t>anp32b</t>
  </si>
  <si>
    <t>ENSDARG00000023330</t>
  </si>
  <si>
    <t>acidic (leucine-rich) nuclear phosphoprotein 32 family, member B [Source:ZFIN;Acc:ZDB-GENE-030131-719]</t>
  </si>
  <si>
    <t>tuba8l</t>
  </si>
  <si>
    <t>ENSDARG00000042708</t>
  </si>
  <si>
    <t>tubulin, alpha 8 like [Source:ZFIN;Acc:ZDB-GENE-030131-9167]</t>
  </si>
  <si>
    <t>cyp2ad3</t>
  </si>
  <si>
    <t>ENSDARG00000022650</t>
  </si>
  <si>
    <t>cytochrome P450, family 2, subfamily AD, polypeptide 3 [Source:ZFIN;Acc:ZDB-GENE-041001-156]</t>
  </si>
  <si>
    <t>si:ch73-199e17.1</t>
  </si>
  <si>
    <t>ENSDARG00000094466</t>
  </si>
  <si>
    <t>si:ch73-199e17.1 [Source:ZFIN;Acc:ZDB-GENE-100921-8]</t>
  </si>
  <si>
    <t>si:dkey-225d17.2</t>
  </si>
  <si>
    <t>ENSDARG00000091889</t>
  </si>
  <si>
    <t>si:dkey-225d17.2 [Source:ZFIN;Acc:ZDB-GENE-081105-74]</t>
  </si>
  <si>
    <t>sox1b</t>
  </si>
  <si>
    <t>ENSDARG00000008131</t>
  </si>
  <si>
    <t>SRY (sex determining region Y)-box 1b [Source:ZFIN;Acc:ZDB-GENE-060322-5]</t>
  </si>
  <si>
    <t>cd44a</t>
  </si>
  <si>
    <t>ENSDARG00000087863</t>
  </si>
  <si>
    <t>CD44 molecule (Indian blood group) a [Source:ZFIN;Acc:ZDB-GENE-110429-1]</t>
  </si>
  <si>
    <t>nop10</t>
  </si>
  <si>
    <t>ENSDARG00000104227</t>
  </si>
  <si>
    <t>NOP10 ribonucleoprotein homolog (yeast) [Source:ZFIN;Acc:ZDB-GENE-041007-4]</t>
  </si>
  <si>
    <t>map2k6</t>
  </si>
  <si>
    <t>ENSDARG00000099184</t>
  </si>
  <si>
    <t>mitogen-activated protein kinase kinase 6 [Source:ZFIN;Acc:ZDB-GENE-010202-3]</t>
  </si>
  <si>
    <t>nutf2l</t>
  </si>
  <si>
    <t>ENSDARG00000014499</t>
  </si>
  <si>
    <t>nuclear transport factor 2, like [Source:ZFIN;Acc:ZDB-GENE-020416-1]</t>
  </si>
  <si>
    <t>eif3f</t>
  </si>
  <si>
    <t>ENSDARG00000077533</t>
  </si>
  <si>
    <t>eukaryotic translation initiation factor 3, subunit F [Source:ZFIN;Acc:ZDB-GENE-100215-2]</t>
  </si>
  <si>
    <t>pa2g4a</t>
  </si>
  <si>
    <t>ENSDARG00000039578</t>
  </si>
  <si>
    <t>proliferation-associated 2G4, a [Source:ZFIN;Acc:ZDB-GENE-030616-161]</t>
  </si>
  <si>
    <t>si:ch211-284f22.3</t>
  </si>
  <si>
    <t>ENSDARG00000097055</t>
  </si>
  <si>
    <t>si:ch211-284f22.3 [Source:ZFIN;Acc:ZDB-GENE-060526-166]</t>
  </si>
  <si>
    <t>si:dkey-11f4.14</t>
  </si>
  <si>
    <t>ENSDARG00000098461</t>
  </si>
  <si>
    <t>si:dkey-11f4.14 [Source:ZFIN;Acc:ZDB-GENE-070912-355]</t>
  </si>
  <si>
    <t>si:ch211-141e20.2</t>
  </si>
  <si>
    <t>ENSDARG00000093349</t>
  </si>
  <si>
    <t>si:ch211-141e20.2 [Source:ZFIN;Acc:ZDB-GENE-070912-75]</t>
  </si>
  <si>
    <t>psma2</t>
  </si>
  <si>
    <t>ENSDARG00000040121</t>
  </si>
  <si>
    <t>proteasome subunit alpha 2 [Source:ZFIN;Acc:ZDB-GENE-050522-479]</t>
  </si>
  <si>
    <t>eif4a1a</t>
  </si>
  <si>
    <t>ENSDARG00000092115</t>
  </si>
  <si>
    <t>eukaryotic translation initiation factor 4A1A [Source:ZFIN;Acc:ZDB-GENE-031030-2]</t>
  </si>
  <si>
    <t>si:dkey-247k7.2</t>
  </si>
  <si>
    <t>ENSDARG00000103199</t>
  </si>
  <si>
    <t>si:dkey-247k7.2 [Source:ZFIN;Acc:ZDB-GENE-031118-45]</t>
  </si>
  <si>
    <t>si:ch73-347e22.8</t>
  </si>
  <si>
    <t>ENSDARG00000103322</t>
  </si>
  <si>
    <t>si:ch73-347e22.8 [Source:ZFIN;Acc:ZDB-GENE-030131-8455]</t>
  </si>
  <si>
    <t>pole4</t>
  </si>
  <si>
    <t>ENSDARG00000013016</t>
  </si>
  <si>
    <t>polymerase (DNA-directed), epsilon 4, accessory subunit [Source:ZFIN;Acc:ZDB-GENE-050522-309]</t>
  </si>
  <si>
    <t>fgf10a</t>
  </si>
  <si>
    <t>ENSDARG00000030932</t>
  </si>
  <si>
    <t>fibroblast growth factor 10a [Source:ZFIN;Acc:ZDB-GENE-030715-1]</t>
  </si>
  <si>
    <t>CABZ01075268.2</t>
  </si>
  <si>
    <t>ENSDARG00000104674</t>
  </si>
  <si>
    <t>il15</t>
  </si>
  <si>
    <t>ENSDARG00000052361</t>
  </si>
  <si>
    <t>interleukin 15 [Source:ZFIN;Acc:ZDB-GENE-060213-2]</t>
  </si>
  <si>
    <t>anxa13l</t>
  </si>
  <si>
    <t>ENSDARG00000013613</t>
  </si>
  <si>
    <t>annexin A13, like [Source:ZFIN;Acc:ZDB-GENE-050522-310]</t>
  </si>
  <si>
    <t>abce1</t>
  </si>
  <si>
    <t>ENSDARG00000007216</t>
  </si>
  <si>
    <t>ATP-binding cassette, sub-family E (OABP), member 1 [Source:ZFIN;Acc:ZDB-GENE-040426-1995]</t>
  </si>
  <si>
    <t>psmc5</t>
  </si>
  <si>
    <t>ENSDARG00000015315</t>
  </si>
  <si>
    <t>proteasome 26S subunit, ATPase 5 [Source:ZFIN;Acc:ZDB-GENE-030131-6547]</t>
  </si>
  <si>
    <t>gadd45gb.1</t>
  </si>
  <si>
    <t>ENSDARG00000016725</t>
  </si>
  <si>
    <t>growth arrest and DNA-damage-inducible, gamma b, tandem duplicate 1 [Source:ZFIN;Acc:ZDB-GENE-040426-2321]</t>
  </si>
  <si>
    <t>hells</t>
  </si>
  <si>
    <t>ENSDARG00000057738</t>
  </si>
  <si>
    <t>helicase, lymphoid-specific [Source:ZFIN;Acc:ZDB-GENE-030131-9923]</t>
  </si>
  <si>
    <t>fkbp2</t>
  </si>
  <si>
    <t>ENSDARG00000044540</t>
  </si>
  <si>
    <t>FK506 binding protein 2 [Source:ZFIN;Acc:ZDB-GENE-040912-126]</t>
  </si>
  <si>
    <t>ccl19b</t>
  </si>
  <si>
    <t>ENSDARG00000039351</t>
  </si>
  <si>
    <t>chemokine (C-C motif) ligand 19b [Source:ZFIN;Acc:ZDB-GENE-091204-19]</t>
  </si>
  <si>
    <t>tomm6</t>
  </si>
  <si>
    <t>ENSDARG00000097797</t>
  </si>
  <si>
    <t>translocase of outer mitochondrial membrane 6 homolog (yeast) [Source:ZFIN;Acc:ZDB-GENE-131121-445]</t>
  </si>
  <si>
    <t>bzw1b</t>
  </si>
  <si>
    <t>ENSDARG00000099148</t>
  </si>
  <si>
    <t>basic leucine zipper and W2 domains 1b [Source:ZFIN;Acc:ZDB-GENE-040426-2881]</t>
  </si>
  <si>
    <t>snrpd1</t>
  </si>
  <si>
    <t>ENSDARG00000011648</t>
  </si>
  <si>
    <t>small nuclear ribonucleoprotein D1 polypeptide [Source:ZFIN;Acc:ZDB-GENE-020419-14]</t>
  </si>
  <si>
    <t>ywhaqa</t>
  </si>
  <si>
    <t>ENSDARG00000042539</t>
  </si>
  <si>
    <t>tyrosine 3-monooxygenase/tryptophan 5-monooxygenase activation protein, theta polypeptide a [Source:ZFIN;Acc:ZDB-GENE-040122-5]</t>
  </si>
  <si>
    <t>krt92</t>
  </si>
  <si>
    <t>ENSDARG00000036834</t>
  </si>
  <si>
    <t>keratin 92 [Source:ZFIN;Acc:ZDB-GENE-050417-363]</t>
  </si>
  <si>
    <t>agr2</t>
  </si>
  <si>
    <t>ENSDARG00000070480</t>
  </si>
  <si>
    <t>anterior gradient 2 [Source:ZFIN;Acc:ZDB-GENE-050417-214]</t>
  </si>
  <si>
    <t>ptprfa</t>
  </si>
  <si>
    <t>ENSDARG00000103479</t>
  </si>
  <si>
    <t>protein tyrosine phosphatase, receptor type, f, a [Source:ZFIN;Acc:ZDB-GENE-020107-2]</t>
  </si>
  <si>
    <t>pfdn1</t>
  </si>
  <si>
    <t>ENSDARG00000014536</t>
  </si>
  <si>
    <t>prefoldin subunit 1 [Source:ZFIN;Acc:ZDB-GENE-050306-50]</t>
  </si>
  <si>
    <t>fabp7a</t>
  </si>
  <si>
    <t>ENSDARG00000007697</t>
  </si>
  <si>
    <t>fatty acid binding protein 7, brain, a [Source:ZFIN;Acc:ZDB-GENE-000627-1]</t>
  </si>
  <si>
    <t>smarce1</t>
  </si>
  <si>
    <t>ENSDARG00000016871</t>
  </si>
  <si>
    <t>SWI/SNF related, matrix associated, actin dependent regulator of chromatin, subfamily e, member 1 [Source:ZFIN;Acc:ZDB-GENE-030131-967]</t>
  </si>
  <si>
    <t>acp1</t>
  </si>
  <si>
    <t>ENSDARG00000076486</t>
  </si>
  <si>
    <t>acid phosphatase 1, soluble [Source:ZFIN;Acc:ZDB-GENE-050327-12]</t>
  </si>
  <si>
    <t>snrpd3l</t>
  </si>
  <si>
    <t>ENSDARG00000076283</t>
  </si>
  <si>
    <t>small nuclear ribonucleoprotein D3 polypeptide, like [Source:ZFIN;Acc:ZDB-GENE-030131-5219]</t>
  </si>
  <si>
    <t>cxcr4a</t>
  </si>
  <si>
    <t>ENSDARG00000057633</t>
  </si>
  <si>
    <t>chemokine (C-X-C motif) receptor 4a [Source:ZFIN;Acc:ZDB-GENE-020102-1]</t>
  </si>
  <si>
    <t>sf3b4</t>
  </si>
  <si>
    <t>ENSDARG00000018574</t>
  </si>
  <si>
    <t>splicing factor 3b, subunit 4 [Source:ZFIN;Acc:ZDB-GENE-020419-22]</t>
  </si>
  <si>
    <t>si:zfos-1011f11.1</t>
  </si>
  <si>
    <t>ENSDARG00000100223</t>
  </si>
  <si>
    <t>si:zfos-1011f11.1 [Source:ZFIN;Acc:ZDB-GENE-080229-4]</t>
  </si>
  <si>
    <t>serpinb1</t>
  </si>
  <si>
    <t>ENSDARG00000055416</t>
  </si>
  <si>
    <t>serpin peptidase inhibitor, clade B (ovalbumin), member 1 [Source:ZFIN;Acc:ZDB-GENE-040718-400]</t>
  </si>
  <si>
    <t>cdkl5</t>
  </si>
  <si>
    <t>ENSDARG00000015240</t>
  </si>
  <si>
    <t>cyclin-dependent kinase-like 5 [Source:ZFIN;Acc:ZDB-GENE-081022-110]</t>
  </si>
  <si>
    <t>psmb1</t>
  </si>
  <si>
    <t>ENSDARG00000009640</t>
  </si>
  <si>
    <t>proteasome subunit beta 1 [Source:ZFIN;Acc:ZDB-GENE-040618-2]</t>
  </si>
  <si>
    <t>si:ch211-266g18.6</t>
  </si>
  <si>
    <t>ENSDARG00000003381</t>
  </si>
  <si>
    <t>si:ch211-266g18.6 [Source:ZFIN;Acc:ZDB-GENE-131121-599]</t>
  </si>
  <si>
    <t>pcna</t>
  </si>
  <si>
    <t>ENSDARG00000054155</t>
  </si>
  <si>
    <t>proliferating cell nuclear antigen [Source:ZFIN;Acc:ZDB-GENE-000210-8]</t>
  </si>
  <si>
    <t>mpped2a</t>
  </si>
  <si>
    <t>ENSDARG00000006889</t>
  </si>
  <si>
    <t>metallophosphoesterase domain containing 2a [Source:ZFIN;Acc:ZDB-GENE-050417-241]</t>
  </si>
  <si>
    <t>dkc1</t>
  </si>
  <si>
    <t>ENSDARG00000016484</t>
  </si>
  <si>
    <t>dyskeratosis congenita 1, dyskerin [Source:ZFIN;Acc:ZDB-GENE-031118-120]</t>
  </si>
  <si>
    <t>soul5</t>
  </si>
  <si>
    <t>ENSDARG00000075015</t>
  </si>
  <si>
    <t>heme-binding protein soul5 [Source:ZFIN;Acc:ZDB-GENE-110718-2]</t>
  </si>
  <si>
    <t>si:dkey-225k4.1</t>
  </si>
  <si>
    <t>ENSDARG00000092045</t>
  </si>
  <si>
    <t>si:dkey-225k4.1 [Source:ZFIN;Acc:ZDB-GENE-091204-219]</t>
  </si>
  <si>
    <t>sub1b</t>
  </si>
  <si>
    <t>ENSDARG00000007720</t>
  </si>
  <si>
    <t>SUB1 homolog, transcriptional regulator b [Source:ZFIN;Acc:ZDB-GENE-040718-209]</t>
  </si>
  <si>
    <t>psmc4</t>
  </si>
  <si>
    <t>ENSDARG00000027099</t>
  </si>
  <si>
    <t>proteasome 26S subunit, ATPase 4 [Source:ZFIN;Acc:ZDB-GENE-030131-5083]</t>
  </si>
  <si>
    <t>ran</t>
  </si>
  <si>
    <t>ENSDARG00000057026</t>
  </si>
  <si>
    <t>RAN, member RAS oncogene family [Source:ZFIN;Acc:ZDB-GENE-990415-88]</t>
  </si>
  <si>
    <t>tmem165</t>
  </si>
  <si>
    <t>ENSDARG00000034600</t>
  </si>
  <si>
    <t>transmembrane protein 165 [Source:ZFIN;Acc:ZDB-GENE-030131-3222]</t>
  </si>
  <si>
    <t>sumo3a</t>
  </si>
  <si>
    <t>ENSDARG00000028119</t>
  </si>
  <si>
    <t>small ubiquitin-like modifier 3a [Source:ZFIN;Acc:ZDB-GENE-040426-2133]</t>
  </si>
  <si>
    <t>rrs1</t>
  </si>
  <si>
    <t>ENSDARG00000003941</t>
  </si>
  <si>
    <t>RRS1 ribosome biogenesis regulator homolog (S. cerevisiae) [Source:ZFIN;Acc:ZDB-GENE-030131-9345]</t>
  </si>
  <si>
    <t>g3bp1</t>
  </si>
  <si>
    <t>ENSDARG00000017741</t>
  </si>
  <si>
    <t>GTPase activating protein (SH3 domain) binding protein 1 [Source:ZFIN;Acc:ZDB-GENE-030131-7452]</t>
  </si>
  <si>
    <t>trmt112</t>
  </si>
  <si>
    <t>ENSDARG00000071878</t>
  </si>
  <si>
    <t>tRNA methyltransferase 11-2 homolog (S. cerevisiae) [Source:ZFIN;Acc:ZDB-GENE-050522-30]</t>
  </si>
  <si>
    <t>cd63</t>
  </si>
  <si>
    <t>ENSDARG00000025147</t>
  </si>
  <si>
    <t>CD63 molecule [Source:ZFIN;Acc:ZDB-GENE-030131-180]</t>
  </si>
  <si>
    <t>seta</t>
  </si>
  <si>
    <t>ENSDARG00000031495</t>
  </si>
  <si>
    <t>SET translocation (myeloid leukemia-associated) A [Source:ZFIN;Acc:ZDB-GENE-030131-2221]</t>
  </si>
  <si>
    <t>hypk</t>
  </si>
  <si>
    <t>ENSDARG00000059725</t>
  </si>
  <si>
    <t>huntingtin interacting protein K [Source:ZFIN;Acc:ZDB-GENE-080515-6]</t>
  </si>
  <si>
    <t>susd6</t>
  </si>
  <si>
    <t>ENSDARG00000030116</t>
  </si>
  <si>
    <t>sushi domain containing 6 [Source:ZFIN;Acc:ZDB-GENE-030131-8832]</t>
  </si>
  <si>
    <t>stox1</t>
  </si>
  <si>
    <t>ENSDARG00000062593</t>
  </si>
  <si>
    <t>storkhead box 1 [Source:ZFIN;Acc:ZDB-GENE-030925-2]</t>
  </si>
  <si>
    <t>sox11b</t>
  </si>
  <si>
    <t>ENSDARG00000095743</t>
  </si>
  <si>
    <t>SRY (sex determining region Y)-box 11b [Source:ZFIN;Acc:ZDB-GENE-980526-466]</t>
  </si>
  <si>
    <t>ap2m1a</t>
  </si>
  <si>
    <t>ENSDARG00000002790</t>
  </si>
  <si>
    <t>adaptor-related protein complex 2, mu 1 subunit, a [Source:ZFIN;Acc:ZDB-GENE-030131-9784]</t>
  </si>
  <si>
    <t>hnrnph1l</t>
  </si>
  <si>
    <t>ENSDARG00000005551</t>
  </si>
  <si>
    <t>heterogeneous nuclear ribonucleoprotein H1, like [Source:ZFIN;Acc:ZDB-GENE-030131-275]</t>
  </si>
  <si>
    <t>psmd14</t>
  </si>
  <si>
    <t>ENSDARG00000063100</t>
  </si>
  <si>
    <t>proteasome 26S subunit, non-ATPase 14 [Source:ZFIN;Acc:ZDB-GENE-070410-56]</t>
  </si>
  <si>
    <t>wnt11</t>
  </si>
  <si>
    <t>ENSDARG00000004256</t>
  </si>
  <si>
    <t>wingless-type MMTV integration site family, member 11 [Source:ZFIN;Acc:ZDB-GENE-990603-12]</t>
  </si>
  <si>
    <t>slirp</t>
  </si>
  <si>
    <t>ENSDARG00000097753</t>
  </si>
  <si>
    <t>SRA stem-loop interacting RNA binding protein [Source:ZFIN;Acc:ZDB-GENE-030729-30]</t>
  </si>
  <si>
    <t>adh5</t>
  </si>
  <si>
    <t>ENSDARG00000080010</t>
  </si>
  <si>
    <t>alcohol dehydrogenase 5 [Source:ZFIN;Acc:ZDB-GENE-011003-1]</t>
  </si>
  <si>
    <t>shisa3</t>
  </si>
  <si>
    <t>ENSDARG00000075467</t>
  </si>
  <si>
    <t>shisa family member 3 [Source:ZFIN;Acc:ZDB-GENE-070112-2022]</t>
  </si>
  <si>
    <t>sf3b5</t>
  </si>
  <si>
    <t>ENSDARG00000016855</t>
  </si>
  <si>
    <t>splicing factor 3b, subunit 5 [Source:ZFIN;Acc:ZDB-GENE-040718-181]</t>
  </si>
  <si>
    <t>tomm20a</t>
  </si>
  <si>
    <t>ENSDARG00000090656</t>
  </si>
  <si>
    <t>translocase of outer mitochondrial membrane 20 [Source:ZFIN;Acc:ZDB-GENE-040426-1976]</t>
  </si>
  <si>
    <t>aimp1</t>
  </si>
  <si>
    <t>ENSDARG00000060036</t>
  </si>
  <si>
    <t>aminoacyl tRNA synthetase complex-interacting multifunctional protein 1 [Source:ZFIN;Acc:ZDB-GENE-060825-144]</t>
  </si>
  <si>
    <t>soga1</t>
  </si>
  <si>
    <t>ENSDARG00000063075</t>
  </si>
  <si>
    <t>suppressor of glucose, autophagy associated 1 [Source:ZFIN;Acc:ZDB-GENE-090313-188]</t>
  </si>
  <si>
    <t>rpa3</t>
  </si>
  <si>
    <t>ENSDARG00000002613</t>
  </si>
  <si>
    <t>replication protein A3 [Source:ZFIN;Acc:ZDB-GENE-040426-977]</t>
  </si>
  <si>
    <t>cd109</t>
  </si>
  <si>
    <t>ENSDARG00000060609</t>
  </si>
  <si>
    <t>CD109 molecule [Source:ZFIN;Acc:ZDB-GENE-120215-253]</t>
  </si>
  <si>
    <t>sh3d21</t>
  </si>
  <si>
    <t>ENSDARG00000099448</t>
  </si>
  <si>
    <t>SH3 domain containing 21 [Source:ZFIN;Acc:ZDB-GENE-051120-57]</t>
  </si>
  <si>
    <t>hpca</t>
  </si>
  <si>
    <t>ENSDARG00000018397</t>
  </si>
  <si>
    <t>hippocalcin [Source:ZFIN;Acc:ZDB-GENE-040426-1683]</t>
  </si>
  <si>
    <t>prmt1</t>
  </si>
  <si>
    <t>ENSDARG00000010246</t>
  </si>
  <si>
    <t>protein arginine methyltransferase 1 [Source:ZFIN;Acc:ZDB-GENE-030131-693]</t>
  </si>
  <si>
    <t>krt18</t>
  </si>
  <si>
    <t>ENSDARG00000018404</t>
  </si>
  <si>
    <t>keratin 18 [Source:ZFIN;Acc:ZDB-GENE-030411-6]</t>
  </si>
  <si>
    <t>zdhhc16b</t>
  </si>
  <si>
    <t>ENSDARG00000015989</t>
  </si>
  <si>
    <t>zinc finger, DHHC-type containing 16b [Source:ZFIN;Acc:ZDB-GENE-040426-1301]</t>
  </si>
  <si>
    <t>psma3</t>
  </si>
  <si>
    <t>ENSDARG00000086618</t>
  </si>
  <si>
    <t>proteasome subunit alpha 3 [Source:ZFIN;Acc:ZDB-GENE-050913-120]</t>
  </si>
  <si>
    <t>dhx32b</t>
  </si>
  <si>
    <t>ENSDARG00000079029</t>
  </si>
  <si>
    <t>DEAH (Asp-Glu-Ala-His) box polypeptide 32b [Source:ZFIN;Acc:ZDB-GENE-130613-5]</t>
  </si>
  <si>
    <t>tmem45a</t>
  </si>
  <si>
    <t>ENSDARG00000070743</t>
  </si>
  <si>
    <t>transmembrane protein 45a [Source:ZFIN;Acc:ZDB-GENE-050522-34]</t>
  </si>
  <si>
    <t>dachb</t>
  </si>
  <si>
    <t>ENSDARG00000034785</t>
  </si>
  <si>
    <t>dachshund b [Source:ZFIN;Acc:ZDB-GENE-020402-4]</t>
  </si>
  <si>
    <t>setb</t>
  </si>
  <si>
    <t>ENSDARG00000003920</t>
  </si>
  <si>
    <t>SET translocation (myeloid leukemia-associated) B [Source:ZFIN;Acc:ZDB-GENE-030131-433]</t>
  </si>
  <si>
    <t>si:ch211-217k17.7</t>
  </si>
  <si>
    <t>ENSDARG00000059908</t>
  </si>
  <si>
    <t>si:ch211-217k17.7 [Source:ZFIN;Acc:ZDB-GENE-061009-11]</t>
  </si>
  <si>
    <t>prr15lb</t>
  </si>
  <si>
    <t>ENSDARG00000029308</t>
  </si>
  <si>
    <t>proline rich 15-like b [Source:ZFIN;Acc:ZDB-GENE-050417-201]</t>
  </si>
  <si>
    <t>polr2l</t>
  </si>
  <si>
    <t>ENSDARG00000058349</t>
  </si>
  <si>
    <t>polymerase (RNA) II (DNA directed) polypeptide L [Source:ZFIN;Acc:ZDB-GENE-050522-181]</t>
  </si>
  <si>
    <t>pycard</t>
  </si>
  <si>
    <t>ENSDARG00000040076</t>
  </si>
  <si>
    <t>PYD and CARD domain containing [Source:ZFIN;Acc:ZDB-GENE-000511-2]</t>
  </si>
  <si>
    <t>itpa</t>
  </si>
  <si>
    <t>ENSDARG00000057529</t>
  </si>
  <si>
    <t>inosine triphosphatase (nucleoside triphosphate pyrophosphatase) [Source:ZFIN;Acc:ZDB-GENE-070705-218]</t>
  </si>
  <si>
    <t>si:dkey-192g7.3</t>
  </si>
  <si>
    <t>ENSDARG00000094012</t>
  </si>
  <si>
    <t>si:dkey-192g7.3 [Source:ZFIN;Acc:ZDB-GENE-070912-411]</t>
  </si>
  <si>
    <t>capns1a</t>
  </si>
  <si>
    <t>ENSDARG00000035329</t>
  </si>
  <si>
    <t>calpain, small subunit 1 a [Source:ZFIN;Acc:ZDB-GENE-030113-3]</t>
  </si>
  <si>
    <t>si:cabz01007794.1</t>
  </si>
  <si>
    <t>ENSDARG00000105590</t>
  </si>
  <si>
    <t>si:cabz01007794.1 [Source:ZFIN;Acc:ZDB-GENE-160728-147]</t>
  </si>
  <si>
    <t>si:dkey-23i12.5</t>
  </si>
  <si>
    <t>ENSDARG00000103682</t>
  </si>
  <si>
    <t>si:dkey-23i12.5 [Source:ZFIN;Acc:ZDB-GENE-141222-32]</t>
  </si>
  <si>
    <t>hyou1</t>
  </si>
  <si>
    <t>ENSDARG00000013670</t>
  </si>
  <si>
    <t>hypoxia up-regulated 1 [Source:ZFIN;Acc:ZDB-GENE-030131-5344]</t>
  </si>
  <si>
    <t>gyg1a</t>
  </si>
  <si>
    <t>ENSDARG00000011934</t>
  </si>
  <si>
    <t>glycogenin 1a [Source:ZFIN;Acc:ZDB-GENE-040426-2910]</t>
  </si>
  <si>
    <t>oclna</t>
  </si>
  <si>
    <t>ENSDARG00000005108</t>
  </si>
  <si>
    <t>occludin a [Source:ZFIN;Acc:ZDB-GENE-040426-2685]</t>
  </si>
  <si>
    <t>tuba8l4</t>
  </si>
  <si>
    <t>ENSDARG00000006260</t>
  </si>
  <si>
    <t>tubulin, alpha 8 like 4 [Source:ZFIN;Acc:ZDB-GENE-040426-860]</t>
  </si>
  <si>
    <t>bzw2</t>
  </si>
  <si>
    <t>ENSDARG00000035918</t>
  </si>
  <si>
    <t>basic leucine zipper and W2 domains 2 [Source:ZFIN;Acc:ZDB-GENE-040426-746]</t>
  </si>
  <si>
    <t>si:dkey-16l2.17</t>
  </si>
  <si>
    <t>ENSDARG00000027196</t>
  </si>
  <si>
    <t>si:dkey-16l2.17 [Source:ZFIN;Acc:ZDB-GENE-141212-262]</t>
  </si>
  <si>
    <t>si:ch211-153b23.4</t>
  </si>
  <si>
    <t>ENSDARG00000077169</t>
  </si>
  <si>
    <t>si:ch211-153b23.4 [Source:ZFIN;Acc:ZDB-GENE-030131-7332]</t>
  </si>
  <si>
    <t>taf15</t>
  </si>
  <si>
    <t>ENSDARG00000070019</t>
  </si>
  <si>
    <t>TAF15 RNA polymerase II, TATA box binding protein (TBP)-associated factor [Source:ZFIN;Acc:ZDB-GENE-061215-102]</t>
  </si>
  <si>
    <t>si:ch211-51e12.7</t>
  </si>
  <si>
    <t>ENSDARG00000045914</t>
  </si>
  <si>
    <t>si:ch211-51e12.7 [Source:ZFIN;Acc:ZDB-GENE-030131-8279]</t>
  </si>
  <si>
    <t>psmd8</t>
  </si>
  <si>
    <t>ENSDARG00000020454</t>
  </si>
  <si>
    <t>proteasome 26S subunit, non-ATPase 8 [Source:ZFIN;Acc:ZDB-GENE-040625-136]</t>
  </si>
  <si>
    <t>insm1b</t>
  </si>
  <si>
    <t>ENSDARG00000053301</t>
  </si>
  <si>
    <t>insulinoma-associated 1b [Source:ZFIN;Acc:ZDB-GENE-030131-2602]</t>
  </si>
  <si>
    <t>si:ch211-139d20.3</t>
  </si>
  <si>
    <t>ENSDARG00000097372</t>
  </si>
  <si>
    <t>si:ch211-139d20.3 [Source:ZFIN;Acc:ZDB-GENE-131127-287]</t>
  </si>
  <si>
    <t>dld</t>
  </si>
  <si>
    <t>ENSDARG00000020219</t>
  </si>
  <si>
    <t>deltaD [Source:ZFIN;Acc:ZDB-GENE-990415-47]</t>
  </si>
  <si>
    <t>tnnc1b</t>
  </si>
  <si>
    <t>ENSDARG00000037539</t>
  </si>
  <si>
    <t>troponin C type 1b (slow) [Source:ZFIN;Acc:ZDB-GENE-040625-62]</t>
  </si>
  <si>
    <t>atoh1b</t>
  </si>
  <si>
    <t>ENSDARG00000099564</t>
  </si>
  <si>
    <t>atonal bHLH transcription factor 1b [Source:ZFIN;Acc:ZDB-GENE-041201-1]</t>
  </si>
  <si>
    <t>myt1a</t>
  </si>
  <si>
    <t>ENSDARG00000074030</t>
  </si>
  <si>
    <t>myelin transcription factor 1a [Source:ZFIN;Acc:ZDB-GENE-030131-3885]</t>
  </si>
  <si>
    <t>sall1a</t>
  </si>
  <si>
    <t>ENSDARG00000074319</t>
  </si>
  <si>
    <t>spalt-like transcription factor 1a [Source:ZFIN;Acc:ZDB-GENE-020228-2]</t>
  </si>
  <si>
    <t>cd99l2</t>
  </si>
  <si>
    <t>ENSDARG00000056722</t>
  </si>
  <si>
    <t>CD99 molecule-like 2 [Source:ZFIN;Acc:ZDB-GENE-030131-1986]</t>
  </si>
  <si>
    <t>srrm4</t>
  </si>
  <si>
    <t>ENSDARG00000086327</t>
  </si>
  <si>
    <t>serine/arginine repetitive matrix 4 [Source:ZFIN;Acc:ZDB-GENE-050208-34]</t>
  </si>
  <si>
    <t>pcdh10b</t>
  </si>
  <si>
    <t>ENSDARG00000102824</t>
  </si>
  <si>
    <t>protocadherin 10b [Source:ZFIN;Acc:ZDB-GENE-030721-4]</t>
  </si>
  <si>
    <t>si:ch211-163l21.4</t>
  </si>
  <si>
    <t>ENSDARG00000078155</t>
  </si>
  <si>
    <t>si:ch211-163l21.4 [Source:ZFIN;Acc:ZDB-GENE-081105-161]</t>
  </si>
  <si>
    <t>sept5a</t>
  </si>
  <si>
    <t>ENSDARG00000013843</t>
  </si>
  <si>
    <t>septin 5a [Source:ZFIN;Acc:ZDB-GENE-030131-7868]</t>
  </si>
  <si>
    <t>rasgef1ba</t>
  </si>
  <si>
    <t>ENSDARG00000033614</t>
  </si>
  <si>
    <t>RasGEF domain family, member 1Ba [Source:ZFIN;Acc:ZDB-GENE-030131-5783]</t>
  </si>
  <si>
    <t>prickle2b</t>
  </si>
  <si>
    <t>ENSDARG00000037593</t>
  </si>
  <si>
    <t>prickle homolog 2b [Source:ZFIN;Acc:ZDB-GENE-030724-6]</t>
  </si>
  <si>
    <t>zgc:158291</t>
  </si>
  <si>
    <t>ENSDARG00000044375</t>
  </si>
  <si>
    <t>zgc:158291 [Source:ZFIN;Acc:ZDB-GENE-061215-70]</t>
  </si>
  <si>
    <t>drgx</t>
  </si>
  <si>
    <t>ENSDARG00000069329</t>
  </si>
  <si>
    <t>dorsal root ganglia homeobox [Source:ZFIN;Acc:ZDB-GENE-070330-1]</t>
  </si>
  <si>
    <t>im:7152348</t>
  </si>
  <si>
    <t>ENSDARG00000097082</t>
  </si>
  <si>
    <t>im:7152348 [Source:ZFIN;Acc:ZDB-GENE-041111-308]</t>
  </si>
  <si>
    <t>dlb</t>
  </si>
  <si>
    <t>ENSDARG00000004232</t>
  </si>
  <si>
    <t>deltaB [Source:ZFIN;Acc:ZDB-GENE-980526-114]</t>
  </si>
  <si>
    <t>foxj1b</t>
  </si>
  <si>
    <t>ENSDARG00000088290</t>
  </si>
  <si>
    <t>forkhead box J1b [Source:ZFIN;Acc:ZDB-GENE-041212-76]</t>
  </si>
  <si>
    <t>rfx2</t>
  </si>
  <si>
    <t>ENSDARG00000013575</t>
  </si>
  <si>
    <t>regulatory factor X, 2 (influences HLA class II expression) [Source:ZFIN;Acc:ZDB-GENE-050227-4]</t>
  </si>
  <si>
    <t>ptmab</t>
  </si>
  <si>
    <t>ENSDARG00000101766</t>
  </si>
  <si>
    <t>prothymosin, alpha b [Source:ZFIN;Acc:ZDB-GENE-030131-8681]</t>
  </si>
  <si>
    <t>myclb</t>
  </si>
  <si>
    <t>ENSDARG00000034956</t>
  </si>
  <si>
    <t>v-myc avian myelocytomatosis viral oncogene lung carcinoma derived homolog b [Source:ZFIN;Acc:ZDB-GENE-030131-5561]</t>
  </si>
  <si>
    <t>cdc20</t>
  </si>
  <si>
    <t>ENSDARG00000100741</t>
  </si>
  <si>
    <t>cell division cycle 20 homolog [Source:ZFIN;Acc:ZDB-GENE-040426-2044]</t>
  </si>
  <si>
    <t>ccdc30</t>
  </si>
  <si>
    <t>ENSDARG00000056961</t>
  </si>
  <si>
    <t>coiled-coil domain containing 30 [Source:ZFIN;Acc:ZDB-GENE-130530-667]</t>
  </si>
  <si>
    <t>si:ch73-21g5.7</t>
  </si>
  <si>
    <t>ENSDARG00000093156</t>
  </si>
  <si>
    <t>si:ch73-21g5.7 [Source:ZFIN;Acc:ZDB-GENE-081104-260]</t>
  </si>
  <si>
    <t>tmed4</t>
  </si>
  <si>
    <t>ENSDARG00000024954</t>
  </si>
  <si>
    <t>transmembrane p24 trafficking protein 4 [Source:ZFIN;Acc:ZDB-GENE-040625-140]</t>
  </si>
  <si>
    <t>zgc:101731</t>
  </si>
  <si>
    <t>ENSDARG00000040965</t>
  </si>
  <si>
    <t>zgc:101731 [Source:ZFIN;Acc:ZDB-GENE-040912-57]</t>
  </si>
  <si>
    <t>kitb</t>
  </si>
  <si>
    <t>ENSDARG00000056133</t>
  </si>
  <si>
    <t>v-kit Hardy-Zuckerman 4 feline sarcoma viral oncogene homolog b [Source:ZFIN;Acc:ZDB-GENE-050916-2]</t>
  </si>
  <si>
    <t>tp53inp2</t>
  </si>
  <si>
    <t>ENSDARG00000088178</t>
  </si>
  <si>
    <t>tumor protein p53 inducible nuclear protein 2 [Source:ZFIN;Acc:ZDB-GENE-120420-1]</t>
  </si>
  <si>
    <t>insm1a</t>
  </si>
  <si>
    <t>ENSDARG00000091756</t>
  </si>
  <si>
    <t>insulinoma-associated 1a [Source:ZFIN;Acc:ZDB-GENE-040426-1810]</t>
  </si>
  <si>
    <t>smad7</t>
  </si>
  <si>
    <t>ENSDARG00000016858</t>
  </si>
  <si>
    <t>SMAD family member 7 [Source:ZFIN;Acc:ZDB-GENE-030128-3]</t>
  </si>
  <si>
    <t>si:ch211-193l2.6</t>
  </si>
  <si>
    <t>ENSDARG00000103982</t>
  </si>
  <si>
    <t>si:ch211-193l2.6 [Source:ZFIN;Acc:ZDB-GENE-141216-353]</t>
  </si>
  <si>
    <t>si:ch211-222l21.1</t>
  </si>
  <si>
    <t>ENSDARG00000076532</t>
  </si>
  <si>
    <t>si:ch211-222l21.1 [Source:ZFIN;Acc:ZDB-GENE-030131-247]</t>
  </si>
  <si>
    <t>stk25a</t>
  </si>
  <si>
    <t>ENSDARG00000002210</t>
  </si>
  <si>
    <t>serine/threonine kinase 25a [Source:ZFIN;Acc:ZDB-GENE-041010-92]</t>
  </si>
  <si>
    <t>gfi1ab</t>
  </si>
  <si>
    <t>ENSDARG00000044457</t>
  </si>
  <si>
    <t>growth factor independent 1A transcription repressor b [Source:ZFIN;Acc:ZDB-GENE-040116-8]</t>
  </si>
  <si>
    <t>sox4a.1</t>
  </si>
  <si>
    <t>ENSDARG00000004588</t>
  </si>
  <si>
    <t>SRY (sex determining region Y)-box 4a [Source:ZFIN;Acc:ZDB-GENE-030131-8290]</t>
  </si>
  <si>
    <t>sid1</t>
  </si>
  <si>
    <t>ENSDARG00000095540</t>
  </si>
  <si>
    <t>secreted immunoglobulin domain 1 [Source:ZFIN;Acc:ZDB-GENE-020620-1]</t>
  </si>
  <si>
    <t>ide</t>
  </si>
  <si>
    <t>ENSDARG00000075570</t>
  </si>
  <si>
    <t>insulin-degrading enzyme [Source:ZFIN;Acc:ZDB-GENE-070410-85]</t>
  </si>
  <si>
    <t>tox</t>
  </si>
  <si>
    <t>ENSDARG00000032317</t>
  </si>
  <si>
    <t>thymocyte selection-associated high mobility group box [Source:ZFIN;Acc:ZDB-GENE-070912-181]</t>
  </si>
  <si>
    <t>dlc</t>
  </si>
  <si>
    <t>ENSDARG00000002336</t>
  </si>
  <si>
    <t>deltaC [Source:ZFIN;Acc:ZDB-GENE-000125-4]</t>
  </si>
  <si>
    <t>shisa2</t>
  </si>
  <si>
    <t>ENSDARG00000034138</t>
  </si>
  <si>
    <t>shisa family member 2 [Source:ZFIN;Acc:ZDB-GENE-030925-31]</t>
  </si>
  <si>
    <t>zgc:195245</t>
  </si>
  <si>
    <t>ENSDARG00000078917</t>
  </si>
  <si>
    <t>zgc:195245 [Source:ZFIN;Acc:ZDB-GENE-081022-200]</t>
  </si>
  <si>
    <t>gpm6ab</t>
  </si>
  <si>
    <t>ENSDARG00000004621</t>
  </si>
  <si>
    <t>glycoprotein M6Ab [Source:ZFIN;Acc:ZDB-GENE-030710-8]</t>
  </si>
  <si>
    <t>aif1l</t>
  </si>
  <si>
    <t>ENSDARG00000009336</t>
  </si>
  <si>
    <t>allograft inflammatory factor 1-like [Source:ZFIN;Acc:ZDB-GENE-030131-9646]</t>
  </si>
  <si>
    <t>WIPF3</t>
  </si>
  <si>
    <t>ENSDARG00000036245</t>
  </si>
  <si>
    <t>sb:cb649 [Source:ZFIN;Acc:ZDB-GENE-030804-15]</t>
  </si>
  <si>
    <t>zgc:101000</t>
  </si>
  <si>
    <t>ENSDARG00000015123</t>
  </si>
  <si>
    <t>zgc:101000 [Source:ZFIN;Acc:ZDB-GENE-040808-35]</t>
  </si>
  <si>
    <t>psmd11b</t>
  </si>
  <si>
    <t>ENSDARG00000005134</t>
  </si>
  <si>
    <t>proteasome 26S subunit, non-ATPase 11b [Source:ZFIN;Acc:ZDB-GENE-030131-984]</t>
  </si>
  <si>
    <t>map3k19</t>
  </si>
  <si>
    <t>ENSDARG00000094272</t>
  </si>
  <si>
    <t>mitogen-activated protein kinase kinase kinase 19 [Source:ZFIN;Acc:ZDB-GENE-081104-140]</t>
  </si>
  <si>
    <t>arhgap11a</t>
  </si>
  <si>
    <t>ENSDARG00000098717</t>
  </si>
  <si>
    <t>psmb6</t>
  </si>
  <si>
    <t>ENSDARG00000002240</t>
  </si>
  <si>
    <t>proteasome subunit beta 6 [Source:ZFIN;Acc:ZDB-GENE-990415-216]</t>
  </si>
  <si>
    <t>cox5b2</t>
  </si>
  <si>
    <t>ENSDARG00000068738</t>
  </si>
  <si>
    <t>cytochrome c oxidase subunit Vb 2 [Source:ZFIN;Acc:ZDB-GENE-060825-71]</t>
  </si>
  <si>
    <t>ebf2</t>
  </si>
  <si>
    <t>ENSDARG00000042525</t>
  </si>
  <si>
    <t>early B-cell factor 2 [Source:ZFIN;Acc:ZDB-GENE-990715-11]</t>
  </si>
  <si>
    <t>pttg1</t>
  </si>
  <si>
    <t>ENSDARG00000075421</t>
  </si>
  <si>
    <t>pituitary tumor-transforming 1 [Source:ZFIN;Acc:ZDB-GENE-081104-345]</t>
  </si>
  <si>
    <t>zgc:66433</t>
  </si>
  <si>
    <t>ENSDARG00000071697</t>
  </si>
  <si>
    <t>zgc:66433 [Source:ZFIN;Acc:ZDB-GENE-030131-9832]</t>
  </si>
  <si>
    <t>cirbpb</t>
  </si>
  <si>
    <t>ENSDARG00000013351</t>
  </si>
  <si>
    <t>cold inducible RNA binding protein b [Source:ZFIN;Acc:ZDB-GENE-030131-5841]</t>
  </si>
  <si>
    <t>kif11</t>
  </si>
  <si>
    <t>ENSDARG00000010948</t>
  </si>
  <si>
    <t>kinesin family member 11 [Source:ZFIN;Acc:ZDB-GENE-020426-1]</t>
  </si>
  <si>
    <t>hnrnpc</t>
  </si>
  <si>
    <t>ENSDARG00000053810</t>
  </si>
  <si>
    <t>heterogeneous nuclear ribonucleoprotein C [Source:ZFIN;Acc:ZDB-GENE-040426-2043]</t>
  </si>
  <si>
    <t>mtmr8</t>
  </si>
  <si>
    <t>ENSDARG00000008592</t>
  </si>
  <si>
    <t>myotubularin related protein 8 [Source:ZFIN;Acc:ZDB-GENE-040426-1016]</t>
  </si>
  <si>
    <t>CR847844.2</t>
  </si>
  <si>
    <t>ENSDARG00000087245</t>
  </si>
  <si>
    <t>psmb3</t>
  </si>
  <si>
    <t>ENSDARG00000013938</t>
  </si>
  <si>
    <t>proteasome subunit beta 3 [Source:ZFIN;Acc:ZDB-GENE-040426-2682]</t>
  </si>
  <si>
    <t>arl4ab</t>
  </si>
  <si>
    <t>ENSDARG00000033182</t>
  </si>
  <si>
    <t>ADP-ribosylation factor-like 4ab [Source:ZFIN;Acc:ZDB-GENE-030219-167]</t>
  </si>
  <si>
    <t>her8.2</t>
  </si>
  <si>
    <t>ENSDARG00000069675</t>
  </si>
  <si>
    <t>hairy-related 8.2 [Source:ZFIN;Acc:ZDB-GENE-060815-4]</t>
  </si>
  <si>
    <t>psmd7</t>
  </si>
  <si>
    <t>ENSDARG00000102417</t>
  </si>
  <si>
    <t>proteasome 26S subunit, non-ATPase 7 [Source:ZFIN;Acc:ZDB-GENE-030131-5541]</t>
  </si>
  <si>
    <t>aspm</t>
  </si>
  <si>
    <t>ENSDARG00000103754</t>
  </si>
  <si>
    <t>abnormal spindle microtubule assembly [Source:ZFIN;Acc:ZDB-GENE-050208-620]</t>
  </si>
  <si>
    <t>nek2</t>
  </si>
  <si>
    <t>ENSDARG00000005619</t>
  </si>
  <si>
    <t>NIMA-related kinase 2 [Source:ZFIN;Acc:ZDB-GENE-040426-752]</t>
  </si>
  <si>
    <t>hmgb2a</t>
  </si>
  <si>
    <t>ENSDARG00000029722</t>
  </si>
  <si>
    <t>high mobility group box 2a [Source:ZFIN;Acc:ZDB-GENE-051120-126]</t>
  </si>
  <si>
    <t>katnal1</t>
  </si>
  <si>
    <t>ENSDARG00000099156</t>
  </si>
  <si>
    <t>katanin p60 subunit A-like 1 [Source:ZFIN;Acc:ZDB-GENE-041114-141]</t>
  </si>
  <si>
    <t>tcp1</t>
  </si>
  <si>
    <t>ENSDARG00000017891</t>
  </si>
  <si>
    <t>t-complex 1 [Source:ZFIN;Acc:ZDB-GENE-990714-24]</t>
  </si>
  <si>
    <t>polb</t>
  </si>
  <si>
    <t>ENSDARG00000003749</t>
  </si>
  <si>
    <t>polymerase (DNA directed), beta [Source:ZFIN;Acc:ZDB-GENE-040830-1]</t>
  </si>
  <si>
    <t>cdkn3</t>
  </si>
  <si>
    <t>ENSDARG00000039130</t>
  </si>
  <si>
    <t>cyclin-dependent kinase inhibitor 3 [Source:ZFIN;Acc:ZDB-GENE-060427-2]</t>
  </si>
  <si>
    <t>fam49a</t>
  </si>
  <si>
    <t>ENSDARG00000035907</t>
  </si>
  <si>
    <t>family with sequence similarity 49, member A [Source:ZFIN;Acc:ZDB-GENE-040801-125]</t>
  </si>
  <si>
    <t>anapc15</t>
  </si>
  <si>
    <t>ENSDARG00000101285</t>
  </si>
  <si>
    <t>anaphase promoting complex subunit 15 [Source:ZFIN;Acc:ZDB-GENE-060825-43]</t>
  </si>
  <si>
    <t>hes6</t>
  </si>
  <si>
    <t>ENSDARG00000019335</t>
  </si>
  <si>
    <t>hes family bHLH transcription factor 6 [Source:ZFIN;Acc:ZDB-GENE-030828-5]</t>
  </si>
  <si>
    <t>elovl4a</t>
  </si>
  <si>
    <t>ENSDARG00000006773</t>
  </si>
  <si>
    <t>ELOVL fatty acid elongase 4a [Source:ZFIN;Acc:ZDB-GENE-040426-1767]</t>
  </si>
  <si>
    <t>CBFA2T3</t>
  </si>
  <si>
    <t>ENSDARG00000079012</t>
  </si>
  <si>
    <t>CBFA2/RUNX1 translocation partner 3 [Source:HGNC Symbol;Acc:HGNC:1537]</t>
  </si>
  <si>
    <t>hdac1</t>
  </si>
  <si>
    <t>ENSDARG00000015427</t>
  </si>
  <si>
    <t>histone deacetylase 1 [Source:ZFIN;Acc:ZDB-GENE-020419-32]</t>
  </si>
  <si>
    <t>ccdc12</t>
  </si>
  <si>
    <t>ENSDARG00000023003</t>
  </si>
  <si>
    <t>coiled-coil domain containing 12 [Source:ZFIN;Acc:ZDB-GENE-040801-108]</t>
  </si>
  <si>
    <t>zgc:194627</t>
  </si>
  <si>
    <t>ENSDARG00000102594</t>
  </si>
  <si>
    <t>zgc:194627 [Source:ZFIN;Acc:ZDB-GENE-081022-132]</t>
  </si>
  <si>
    <t>psmc1a</t>
  </si>
  <si>
    <t>ENSDARG00000030537</t>
  </si>
  <si>
    <t>proteasome 26S subunit, ATPase 1a [Source:ZFIN;Acc:ZDB-GENE-030131-8730]</t>
  </si>
  <si>
    <t>rbm8a</t>
  </si>
  <si>
    <t>ENSDARG00000016516</t>
  </si>
  <si>
    <t>RNA binding motif protein 8A [Source:ZFIN;Acc:ZDB-GENE-050306-51]</t>
  </si>
  <si>
    <t>ppih</t>
  </si>
  <si>
    <t>ENSDARG00000041530</t>
  </si>
  <si>
    <t>peptidylprolyl isomerase H (cyclophilin H) [Source:ZFIN;Acc:ZDB-GENE-040625-127]</t>
  </si>
  <si>
    <t>ccdc105</t>
  </si>
  <si>
    <t>ENSDARG00000054136</t>
  </si>
  <si>
    <t>coiled-coil domain containing 105 [Source:ZFIN;Acc:ZDB-GENE-131121-219]</t>
  </si>
  <si>
    <t>myl10</t>
  </si>
  <si>
    <t>ENSDARG00000062592</t>
  </si>
  <si>
    <t>myosin, light chain 10, regulatory [Source:ZFIN;Acc:ZDB-GENE-050417-421]</t>
  </si>
  <si>
    <t>psmc2</t>
  </si>
  <si>
    <t>ENSDARG00000020101</t>
  </si>
  <si>
    <t>proteasome 26S subunit, ATPase 2 [Source:ZFIN;Acc:ZDB-GENE-040426-1327]</t>
  </si>
  <si>
    <t>rbm38</t>
  </si>
  <si>
    <t>ENSDARG00000058818</t>
  </si>
  <si>
    <t>RNA binding motif protein 38 [Source:ZFIN;Acc:ZDB-GENE-030131-5923]</t>
  </si>
  <si>
    <t>psma5</t>
  </si>
  <si>
    <t>ENSDARG00000003526</t>
  </si>
  <si>
    <t>proteasome subunit alpha 5 [Source:ZFIN;Acc:ZDB-GENE-040625-96]</t>
  </si>
  <si>
    <t>zgc:101851</t>
  </si>
  <si>
    <t>ENSDARG00000037199</t>
  </si>
  <si>
    <t>zgc:101851 [Source:ZFIN;Acc:ZDB-GENE-040912-123]</t>
  </si>
  <si>
    <t>lmnb1</t>
  </si>
  <si>
    <t>ENSDARG00000044299</t>
  </si>
  <si>
    <t>lamin B1 [Source:ZFIN;Acc:ZDB-GENE-020424-2]</t>
  </si>
  <si>
    <t>ilf2</t>
  </si>
  <si>
    <t>ENSDARG00000014591</t>
  </si>
  <si>
    <t>interleukin enhancer binding factor 2 [Source:ZFIN;Acc:ZDB-GENE-040426-2345]</t>
  </si>
  <si>
    <t>flvcr1</t>
  </si>
  <si>
    <t>ENSDARG00000031587</t>
  </si>
  <si>
    <t>feline leukemia virus subgroup C cellular receptor 1 [Source:ZFIN;Acc:ZDB-GENE-041014-359]</t>
  </si>
  <si>
    <t>sh3kbp1</t>
  </si>
  <si>
    <t>ENSDARG00000075853</t>
  </si>
  <si>
    <t>SH3-domain kinase binding protein 1 [Source:ZFIN;Acc:ZDB-GENE-091204-186]</t>
  </si>
  <si>
    <t>knstrn</t>
  </si>
  <si>
    <t>ENSDARG00000074379</t>
  </si>
  <si>
    <t>kinetochore-localized astrin/SPAG5 binding protein [Source:ZFIN;Acc:ZDB-GENE-081022-187]</t>
  </si>
  <si>
    <t>srsf3b</t>
  </si>
  <si>
    <t>ENSDARG00000059360</t>
  </si>
  <si>
    <t>serine/arginine-rich splicing factor 3b [Source:ZFIN;Acc:ZDB-GENE-071005-2]</t>
  </si>
  <si>
    <t>psmd13</t>
  </si>
  <si>
    <t>ENSDARG00000016239</t>
  </si>
  <si>
    <t>proteasome 26S subunit, non-ATPase 13 [Source:ZFIN;Acc:ZDB-GENE-040426-1004]</t>
  </si>
  <si>
    <t>psma1</t>
  </si>
  <si>
    <t>ENSDARG00000101560</t>
  </si>
  <si>
    <t>proteasome subunit alpha 1 [Source:ZFIN;Acc:ZDB-GENE-040801-15]</t>
  </si>
  <si>
    <t>thop1</t>
  </si>
  <si>
    <t>ENSDARG00000013776</t>
  </si>
  <si>
    <t>thimet oligopeptidase 1 [Source:ZFIN;Acc:ZDB-GENE-040718-47]</t>
  </si>
  <si>
    <t>txnl4a</t>
  </si>
  <si>
    <t>ENSDARG00000036190</t>
  </si>
  <si>
    <t>thioredoxin-like 4A [Source:ZFIN;Acc:ZDB-GENE-041010-25]</t>
  </si>
  <si>
    <t>psmd6</t>
  </si>
  <si>
    <t>ENSDARG00000070674</t>
  </si>
  <si>
    <t>proteasome 26S subunit, non-ATPase 6 [Source:ZFIN;Acc:ZDB-GENE-040426-1038]</t>
  </si>
  <si>
    <t>vcp</t>
  </si>
  <si>
    <t>ENSDARG00000020008</t>
  </si>
  <si>
    <t>valosin containing protein [Source:ZFIN;Acc:ZDB-GENE-030131-5408]</t>
  </si>
  <si>
    <t>si:ch211-244o22.2</t>
  </si>
  <si>
    <t>ENSDARG00000068759</t>
  </si>
  <si>
    <t>si:ch211-244o22.2 [Source:ZFIN;Acc:ZDB-GENE-030131-3271]</t>
  </si>
  <si>
    <t>ddx39ab</t>
  </si>
  <si>
    <t>ENSDARG00000015111</t>
  </si>
  <si>
    <t>DEAD (Asp-Glu-Ala-Asp) box polypeptide 39Ab [Source:ZFIN;Acc:ZDB-GENE-040426-2902]</t>
  </si>
  <si>
    <t>psmc3</t>
  </si>
  <si>
    <t>ENSDARG00000007141</t>
  </si>
  <si>
    <t>proteasome 26S subunit, ATPase 3 [Source:ZFIN;Acc:ZDB-GENE-030131-666]</t>
  </si>
  <si>
    <t>cct3</t>
  </si>
  <si>
    <t>ENSDARG00000016173</t>
  </si>
  <si>
    <t>chaperonin containing TCP1, subunit 3 (gamma) [Source:ZFIN;Acc:ZDB-GENE-020419-5]</t>
  </si>
  <si>
    <t>ptbp1b</t>
  </si>
  <si>
    <t>ENSDARG00000031907</t>
  </si>
  <si>
    <t>polypyrimidine tract binding protein 1b [Source:ZFIN;Acc:ZDB-GENE-030131-9796]</t>
  </si>
  <si>
    <t>aurka</t>
  </si>
  <si>
    <t>ENSDARG00000012485</t>
  </si>
  <si>
    <t>aurora kinase A [Source:ZFIN;Acc:ZDB-GENE-040801-161]</t>
  </si>
  <si>
    <t>plk1</t>
  </si>
  <si>
    <t>ENSDARG00000058471</t>
  </si>
  <si>
    <t>polo-like kinase 1 (Drosophila) [Source:ZFIN;Acc:ZDB-GENE-021115-7]</t>
  </si>
  <si>
    <t>znf395</t>
  </si>
  <si>
    <t>ENSDARG00000006672</t>
  </si>
  <si>
    <t>zinc finger protein 395 [Source:ZFIN;Acc:ZDB-GENE-031002-50]</t>
  </si>
  <si>
    <t>dlgap5</t>
  </si>
  <si>
    <t>ENSDARG00000045167</t>
  </si>
  <si>
    <t>discs, large (Drosophila) homolog-associated protein 5 [Source:ZFIN;Acc:ZDB-GENE-040912-160]</t>
  </si>
  <si>
    <t>spc25</t>
  </si>
  <si>
    <t>ENSDARG00000078433</t>
  </si>
  <si>
    <t>SPC25, NDC80 kinetochore complex component, homolog (S. cerevisiae) [Source:ZFIN;Acc:ZDB-GENE-060810-13]</t>
  </si>
  <si>
    <t>smarcb1b</t>
  </si>
  <si>
    <t>ENSDARG00000011594</t>
  </si>
  <si>
    <t>SWI/SNF related, matrix associated, actin dependent regulator of chromatin, subfamily b, member 1b [Source:ZFIN;Acc:ZDB-GENE-991008-16]</t>
  </si>
  <si>
    <t>ddx39aa</t>
  </si>
  <si>
    <t>ENSDARG00000006225</t>
  </si>
  <si>
    <t>DEAD (Asp-Glu-Ala-Asp) box polypeptide 39Aa [Source:ZFIN;Acc:ZDB-GENE-030131-4275]</t>
  </si>
  <si>
    <t>si:dkey-66i24.7</t>
  </si>
  <si>
    <t>ENSDARG00000096714</t>
  </si>
  <si>
    <t>si:dkey-66i24.7 [Source:ZFIN;Acc:ZDB-GENE-130603-106]</t>
  </si>
  <si>
    <t>ube2c</t>
  </si>
  <si>
    <t>ENSDARG00000101618</t>
  </si>
  <si>
    <t>ubiquitin-conjugating enzyme E2C [Source:ZFIN;Acc:ZDB-GENE-051030-48]</t>
  </si>
  <si>
    <t>rhbdf1a</t>
  </si>
  <si>
    <t>ENSDARG00000036541</t>
  </si>
  <si>
    <t>rhomboid 5 homolog 1a (Drosophila) [Source:ZFIN;Acc:ZDB-GENE-040704-75]</t>
  </si>
  <si>
    <t>rtn1a</t>
  </si>
  <si>
    <t>ENSDARG00000006497</t>
  </si>
  <si>
    <t>reticulon 1a [Source:ZFIN;Acc:ZDB-GENE-030131-2426]</t>
  </si>
  <si>
    <t>g2e3</t>
  </si>
  <si>
    <t>ENSDARG00000001313</t>
  </si>
  <si>
    <t>G2/M-phase specific E3 ubiquitin protein ligase [Source:ZFIN;Acc:ZDB-GENE-030616-400]</t>
  </si>
  <si>
    <t>spc24</t>
  </si>
  <si>
    <t>ENSDARG00000093622</t>
  </si>
  <si>
    <t>SPC24, NDC80 kinetochore complex component, homolog (S. cerevisiae) [Source:ZFIN;Acc:ZDB-GENE-050522-456]</t>
  </si>
  <si>
    <t>psmd12</t>
  </si>
  <si>
    <t>ENSDARG00000052377</t>
  </si>
  <si>
    <t>proteasome 26S subunit, non-ATPase 12 [Source:ZFIN;Acc:ZDB-GENE-030131-617]</t>
  </si>
  <si>
    <t>nudc</t>
  </si>
  <si>
    <t>ENSDARG00000104837</t>
  </si>
  <si>
    <t>nudC nuclear distribution protein [Source:ZFIN;Acc:ZDB-GENE-040426-899]</t>
  </si>
  <si>
    <t>ccnb3</t>
  </si>
  <si>
    <t>ENSDARG00000034855</t>
  </si>
  <si>
    <t>cyclin B3 [Source:ZFIN;Acc:ZDB-GENE-060929-684]</t>
  </si>
  <si>
    <t>mapre2</t>
  </si>
  <si>
    <t>ENSDARG00000099943</t>
  </si>
  <si>
    <t>microtubule-associated protein, RP/EB family, member 2 [Source:ZFIN;Acc:ZDB-GENE-071004-41]</t>
  </si>
  <si>
    <t>eif4e1c</t>
  </si>
  <si>
    <t>ENSDARG00000012274</t>
  </si>
  <si>
    <t>eukaryotic translation initiation factor 4E family member 1c [Source:ZFIN;Acc:ZDB-GENE-050417-398]</t>
  </si>
  <si>
    <t>hsp90ab1</t>
  </si>
  <si>
    <t>ENSDARG00000029150</t>
  </si>
  <si>
    <t>heat shock protein 90, alpha (cytosolic), class B member 1 [Source:ZFIN;Acc:ZDB-GENE-990415-95]</t>
  </si>
  <si>
    <t>rtca</t>
  </si>
  <si>
    <t>ENSDARG00000002215</t>
  </si>
  <si>
    <t>RNA 3'-terminal phosphate cyclase [Source:ZFIN;Acc:ZDB-GENE-030131-9687]</t>
  </si>
  <si>
    <t>prc1b</t>
  </si>
  <si>
    <t>ENSDARG00000005993</t>
  </si>
  <si>
    <t>protein regulator of cytokinesis 1b [Source:ZFIN;Acc:ZDB-GENE-040426-777]</t>
  </si>
  <si>
    <t>odc1</t>
  </si>
  <si>
    <t>ENSDARG00000007377</t>
  </si>
  <si>
    <t>ornithine decarboxylase 1 [Source:ZFIN;Acc:ZDB-GENE-010816-1]</t>
  </si>
  <si>
    <t>snrnp40</t>
  </si>
  <si>
    <t>ENSDARG00000023160</t>
  </si>
  <si>
    <t>small nuclear ribonucleoprotein 40 (U5) [Source:ZFIN;Acc:ZDB-GENE-040426-978]</t>
  </si>
  <si>
    <t>cct6a</t>
  </si>
  <si>
    <t>ENSDARG00000021252</t>
  </si>
  <si>
    <t>chaperonin containing TCP1, subunit 6A (zeta 1) [Source:ZFIN;Acc:ZDB-GENE-011018-2]</t>
  </si>
  <si>
    <t>snrpa</t>
  </si>
  <si>
    <t>ENSDARG00000018890</t>
  </si>
  <si>
    <t>small nuclear ribonucleoprotein polypeptide A [Source:ZFIN;Acc:ZDB-GENE-030131-2841]</t>
  </si>
  <si>
    <t>setd8b</t>
  </si>
  <si>
    <t>ENSDARG00000104114</t>
  </si>
  <si>
    <t>SET domain containing (lysine methyltransferase) 8b [Source:ZFIN;Acc:ZDB-GENE-071004-17]</t>
  </si>
  <si>
    <t>psmc1b</t>
  </si>
  <si>
    <t>ENSDARG00000043561</t>
  </si>
  <si>
    <t>proteasome 26S subunit, ATPase 1b [Source:ZFIN;Acc:ZDB-GENE-040625-69]</t>
  </si>
  <si>
    <t>fdx1l</t>
  </si>
  <si>
    <t>ENSDARG00000052190</t>
  </si>
  <si>
    <t>ferredoxin 1-like [Source:ZFIN;Acc:ZDB-GENE-060929-1046]</t>
  </si>
  <si>
    <t>rimkla</t>
  </si>
  <si>
    <t>ENSDARG00000016830</t>
  </si>
  <si>
    <t>ribosomal modification protein rimK-like family member A [Source:ZFIN;Acc:ZDB-GENE-040912-20]</t>
  </si>
  <si>
    <t>si:dkey-272j9.1</t>
  </si>
  <si>
    <t>ENSDARG00000092021</t>
  </si>
  <si>
    <t>si:dkey-272j9.1 [Source:ZFIN;Acc:ZDB-GENE-070912-492]</t>
  </si>
  <si>
    <t>sae1</t>
  </si>
  <si>
    <t>ENSDARG00000010487</t>
  </si>
  <si>
    <t>SUMO1 activating enzyme subunit 1 [Source:ZFIN;Acc:ZDB-GENE-040625-21]</t>
  </si>
  <si>
    <t>tardbp</t>
  </si>
  <si>
    <t>ENSDARG00000040031</t>
  </si>
  <si>
    <t>TAR DNA binding protein [Source:ZFIN;Acc:ZDB-GENE-030131-3777]</t>
  </si>
  <si>
    <t>syncrip</t>
  </si>
  <si>
    <t>ENSDARG00000040184</t>
  </si>
  <si>
    <t>synaptotagmin binding, cytoplasmic RNA interacting protein [Source:ZFIN;Acc:ZDB-GENE-030131-4862]</t>
  </si>
  <si>
    <t>spdl1</t>
  </si>
  <si>
    <t>ENSDARG00000103996</t>
  </si>
  <si>
    <t>spindle apparatus coiled-coil protein 1 [Source:ZFIN;Acc:ZDB-GENE-070928-7]</t>
  </si>
  <si>
    <t>cerkl</t>
  </si>
  <si>
    <t>ENSDARG00000079397</t>
  </si>
  <si>
    <t>ceramide kinase-like [Source:ZFIN;Acc:ZDB-GENE-070410-38]</t>
  </si>
  <si>
    <t>si:ch211-288g17.3</t>
  </si>
  <si>
    <t>ENSDARG00000070959</t>
  </si>
  <si>
    <t>si:ch211-288g17.3 [Source:ZFIN;Acc:ZDB-GENE-030131-461]</t>
  </si>
  <si>
    <t>eny2</t>
  </si>
  <si>
    <t>ENSDARG00000070046</t>
  </si>
  <si>
    <t>enhancer of yellow 2 homolog (Drosophila) [Source:ZFIN;Acc:ZDB-GENE-040718-124]</t>
  </si>
  <si>
    <t>psmd4b</t>
  </si>
  <si>
    <t>ENSDARG00000023279</t>
  </si>
  <si>
    <t>proteasome 26S subunit, non-ATPase 4b [Source:ZFIN;Acc:ZDB-GENE-050417-96]</t>
  </si>
  <si>
    <t>cldna</t>
  </si>
  <si>
    <t>ENSDARG00000069888</t>
  </si>
  <si>
    <t>claudin a [Source:ZFIN;Acc:ZDB-GENE-010328-1]</t>
  </si>
  <si>
    <t>abcf1</t>
  </si>
  <si>
    <t>ENSDARG00000031795</t>
  </si>
  <si>
    <t>ATP-binding cassette, sub-family F (GCN20), member 1 [Source:ZFIN;Acc:ZDB-GENE-050517-31]</t>
  </si>
  <si>
    <t>snrpg</t>
  </si>
  <si>
    <t>ENSDARG00000099667</t>
  </si>
  <si>
    <t>small nuclear ribonucleoprotein polypeptide G [Source:ZFIN;Acc:ZDB-GENE-040912-105]</t>
  </si>
  <si>
    <t>cx28.8</t>
  </si>
  <si>
    <t>ENSDARG00000071042</t>
  </si>
  <si>
    <t>connexin 28.8 [Source:ZFIN;Acc:ZDB-GENE-050616-1]</t>
  </si>
  <si>
    <t>nfe2l3</t>
  </si>
  <si>
    <t>ENSDARG00000019810</t>
  </si>
  <si>
    <t>nuclear factor, erythroid 2-like 3 [Source:ZFIN;Acc:ZDB-GENE-040426-2334]</t>
  </si>
  <si>
    <t>cep55l</t>
  </si>
  <si>
    <t>ENSDARG00000102349</t>
  </si>
  <si>
    <t>centrosomal protein 55 like [Source:ZFIN;Acc:ZDB-GENE-050522-222]</t>
  </si>
  <si>
    <t>srsf10b</t>
  </si>
  <si>
    <t>ENSDARG00000086411</t>
  </si>
  <si>
    <t>serine/arginine-rich splicing factor 10b [Source:ZFIN;Acc:ZDB-GENE-040426-1415]</t>
  </si>
  <si>
    <t>bves</t>
  </si>
  <si>
    <t>ENSDARG00000058548</t>
  </si>
  <si>
    <t>blood vessel epicardial substance [Source:ZFIN;Acc:ZDB-GENE-040624-11]</t>
  </si>
  <si>
    <t>zgc:77816</t>
  </si>
  <si>
    <t>ENSDARG00000011376</t>
  </si>
  <si>
    <t>zgc:77816 [Source:ZFIN;Acc:ZDB-GENE-040426-1884]</t>
  </si>
  <si>
    <t>shfm1</t>
  </si>
  <si>
    <t>ENSDARG00000027899</t>
  </si>
  <si>
    <t>split hand/foot malformation (ectrodactyly) type 1 [Source:ZFIN;Acc:ZDB-GENE-030131-988]</t>
  </si>
  <si>
    <t>hspa4a</t>
  </si>
  <si>
    <t>ENSDARG00000004754</t>
  </si>
  <si>
    <t>heat shock protein 4a [Source:ZFIN;Acc:ZDB-GENE-040426-2832]</t>
  </si>
  <si>
    <t>srsf9</t>
  </si>
  <si>
    <t>ENSDARG00000008097</t>
  </si>
  <si>
    <t>serine/arginine-rich splicing factor 9 [Source:ZFIN;Acc:ZDB-GENE-040426-2397]</t>
  </si>
  <si>
    <t>alyref</t>
  </si>
  <si>
    <t>ENSDARG00000077732</t>
  </si>
  <si>
    <t>Aly/REF export factor [Source:ZFIN;Acc:ZDB-GENE-070928-29]</t>
  </si>
  <si>
    <t>hes2.2</t>
  </si>
  <si>
    <t>ENSDARG00000068168</t>
  </si>
  <si>
    <t>hes family bHLH transcription factor 2, tandem duplicate 2 [Source:ZFIN;Acc:ZDB-GENE-060825-55]</t>
  </si>
  <si>
    <t>mrpl14</t>
  </si>
  <si>
    <t>ENSDARG00000068886</t>
  </si>
  <si>
    <t>mitochondrial ribosomal protein L14 [Source:ZFIN;Acc:ZDB-GENE-040426-1066]</t>
  </si>
  <si>
    <t>srsf3a</t>
  </si>
  <si>
    <t>ENSDARG00000100815</t>
  </si>
  <si>
    <t>serine/arginine-rich splicing factor 3a [Source:ZFIN;Acc:ZDB-GENE-030616-631]</t>
  </si>
  <si>
    <t>CABZ01058261.1</t>
  </si>
  <si>
    <t>ENSDARG00000099194</t>
  </si>
  <si>
    <t>psmd1</t>
  </si>
  <si>
    <t>ENSDARG00000003189</t>
  </si>
  <si>
    <t>proteasome 26S subunit, non-ATPase 1 [Source:ZFIN;Acc:ZDB-GENE-040426-810]</t>
  </si>
  <si>
    <t>ulk1a</t>
  </si>
  <si>
    <t>ENSDARG00000062518</t>
  </si>
  <si>
    <t>unc-51 like autophagy activating kinase 1a [Source:ZFIN;Acc:ZDB-GENE-080723-31]</t>
  </si>
  <si>
    <t>snrpc</t>
  </si>
  <si>
    <t>ENSDARG00000009871</t>
  </si>
  <si>
    <t>small nuclear ribonucleoprotein polypeptide C [Source:ZFIN;Acc:ZDB-GENE-020419-26]</t>
  </si>
  <si>
    <t>wdr92</t>
  </si>
  <si>
    <t>ENSDARG00000037334</t>
  </si>
  <si>
    <t>WD repeat domain 92 [Source:ZFIN;Acc:ZDB-GENE-050417-93]</t>
  </si>
  <si>
    <t>rrm2</t>
  </si>
  <si>
    <t>ENSDARG00000020711</t>
  </si>
  <si>
    <t>ribonucleotide reductase M2 polypeptide [Source:ZFIN;Acc:ZDB-GENE-990415-25]</t>
  </si>
  <si>
    <t>rpz2</t>
  </si>
  <si>
    <t>ENSDARG00000091215</t>
  </si>
  <si>
    <t>rapunzel 2 [Source:ZFIN;Acc:ZDB-GENE-030131-9071]</t>
  </si>
  <si>
    <t>nr2f6a</t>
  </si>
  <si>
    <t>ENSDARG00000003607</t>
  </si>
  <si>
    <t>nuclear receptor subfamily 2, group F, member 6a [Source:ZFIN;Acc:ZDB-GENE-030131-4362]</t>
  </si>
  <si>
    <t>zgc:110340</t>
  </si>
  <si>
    <t>ENSDARG00000079497</t>
  </si>
  <si>
    <t>zgc:110340 [Source:ZFIN;Acc:ZDB-GENE-050320-36]</t>
  </si>
  <si>
    <t>cdkn1cb</t>
  </si>
  <si>
    <t>ENSDARG00000104903</t>
  </si>
  <si>
    <t>cyclin-dependent kinase inhibitor 1Cb [Source:ZFIN;Acc:ZDB-GENE-131127-286]</t>
  </si>
  <si>
    <t>mdkb</t>
  </si>
  <si>
    <t>ENSDARG00000020708</t>
  </si>
  <si>
    <t>midkine b [Source:ZFIN;Acc:ZDB-GENE-010131-6]</t>
  </si>
  <si>
    <t>si:dkey-276j7.1</t>
  </si>
  <si>
    <t>ENSDARG00000090872</t>
  </si>
  <si>
    <t>si:dkey-276j7.1 [Source:ZFIN;Acc:ZDB-GENE-060720-44]</t>
  </si>
  <si>
    <t>nedd8</t>
  </si>
  <si>
    <t>ENSDARG00000007989</t>
  </si>
  <si>
    <t>neural precursor cell expressed, developmentally down-regulated 8 [Source:ZFIN;Acc:ZDB-GENE-030616-588]</t>
  </si>
  <si>
    <t>magoh</t>
  </si>
  <si>
    <t>ENSDARG00000038635</t>
  </si>
  <si>
    <t>mago homolog, exon junction complex core component [Source:ZFIN;Acc:ZDB-GENE-041216-1]</t>
  </si>
  <si>
    <t>chd7</t>
  </si>
  <si>
    <t>ENSDARG00000075211</t>
  </si>
  <si>
    <t>chromodomain helicase DNA binding protein 7 [Source:ZFIN;Acc:ZDB-GENE-070912-179]</t>
  </si>
  <si>
    <t>tp53inp1</t>
  </si>
  <si>
    <t>ENSDARG00000028017</t>
  </si>
  <si>
    <t>tumor protein p53 inducible nuclear protein 1 [Source:ZFIN;Acc:ZDB-GENE-031018-3]</t>
  </si>
  <si>
    <t>lsm1</t>
  </si>
  <si>
    <t>ENSDARG00000043177</t>
  </si>
  <si>
    <t>LSM1, U6 small nuclear RNA associated [Source:ZFIN;Acc:ZDB-GENE-040801-68]</t>
  </si>
  <si>
    <t>h3f3b.1.2</t>
  </si>
  <si>
    <t>ENSDARG00000033009</t>
  </si>
  <si>
    <t>H3 histone, family 3B.1 [Source:ZFIN;Acc:ZDB-GENE-050417-65]</t>
  </si>
  <si>
    <t>kifc1</t>
  </si>
  <si>
    <t>ENSDARG00000001558</t>
  </si>
  <si>
    <t>kinesin family member C1 [Source:ZFIN;Acc:ZDB-GENE-000208-21]</t>
  </si>
  <si>
    <t>dcun1d5</t>
  </si>
  <si>
    <t>ENSDARG00000100363</t>
  </si>
  <si>
    <t>DCN1, defective in cullin neddylation 1, domain containing 5 (S. cerevisiae) [Source:ZFIN;Acc:ZDB-GENE-040426-2603]</t>
  </si>
  <si>
    <t>IDH2</t>
  </si>
  <si>
    <t>ENSDARG00000003795</t>
  </si>
  <si>
    <t>isocitrate dehydrogenase (NADP(+)) 2, mitochondrial [Source:HGNC Symbol;Acc:HGNC:5383]</t>
  </si>
  <si>
    <t>LSM3</t>
  </si>
  <si>
    <t>ENSDARG00000089663</t>
  </si>
  <si>
    <t>LSM3 homolog, U6 small nuclear RNA and mRNA degradation associated [Source:HGNC Symbol;Acc:HGNC:17874]</t>
  </si>
  <si>
    <t>nsfl1c</t>
  </si>
  <si>
    <t>ENSDARG00000087640</t>
  </si>
  <si>
    <t>NSFL1 (p97) cofactor (p47) [Source:ZFIN;Acc:ZDB-GENE-041114-160]</t>
  </si>
  <si>
    <t>psmd10</t>
  </si>
  <si>
    <t>ENSDARG00000015628</t>
  </si>
  <si>
    <t>proteasome 26S subunit, non-ATPase 10 [Source:ZFIN;Acc:ZDB-GENE-050112-1]</t>
  </si>
  <si>
    <t>psmb2</t>
  </si>
  <si>
    <t>ENSDARG00000031511</t>
  </si>
  <si>
    <t>proteasome subunit beta 2 [Source:ZFIN;Acc:ZDB-GENE-040718-353]</t>
  </si>
  <si>
    <t>fam107b</t>
  </si>
  <si>
    <t>ENSDARG00000026865</t>
  </si>
  <si>
    <t>family with sequence similarity 107, member B [Source:ZFIN;Acc:ZDB-GENE-031030-12]</t>
  </si>
  <si>
    <t>ccnb1</t>
  </si>
  <si>
    <t>ENSDARG00000051923</t>
  </si>
  <si>
    <t>cyclin B1 [Source:ZFIN;Acc:ZDB-GENE-000406-10]</t>
  </si>
  <si>
    <t>telo2</t>
  </si>
  <si>
    <t>ENSDARG00000000830</t>
  </si>
  <si>
    <t>TEL2, telomere maintenance 2, homolog (S. cerevisiae) [Source:ZFIN;Acc:ZDB-GENE-061103-523]</t>
  </si>
  <si>
    <t>psmb5</t>
  </si>
  <si>
    <t>ENSDARG00000075445</t>
  </si>
  <si>
    <t>proteasome subunit beta 5 [Source:ZFIN;Acc:ZDB-GENE-990415-215]</t>
  </si>
  <si>
    <t>si:ch211-236g6.1</t>
  </si>
  <si>
    <t>ENSDARG00000071590</t>
  </si>
  <si>
    <t>si:ch211-236g6.1 [Source:ZFIN;Acc:ZDB-GENE-050208-448]</t>
  </si>
  <si>
    <t>polr2h</t>
  </si>
  <si>
    <t>ENSDARG00000038505</t>
  </si>
  <si>
    <t>info polymerase (RNA) II (DNA directed) polypeptide H [Source:ZFIN;Acc:ZDB-GENE-050417-66]</t>
  </si>
  <si>
    <t>si:ch73-281n10.2</t>
  </si>
  <si>
    <t>ENSDARG00000097102</t>
  </si>
  <si>
    <t>si:ch73-281n10.2 [Source:ZFIN;Acc:ZDB-GENE-131120-172]</t>
  </si>
  <si>
    <t>mrpl53</t>
  </si>
  <si>
    <t>ENSDARG00000008920</t>
  </si>
  <si>
    <t>mitochondrial ribosomal protein L53 [Source:ZFIN;Acc:ZDB-GENE-040912-93]</t>
  </si>
  <si>
    <t>hmgn6</t>
  </si>
  <si>
    <t>ENSDARG00000087636</t>
  </si>
  <si>
    <t>high mobility group nucleosome binding domain 6 [Source:ZFIN;Acc:ZDB-GENE-030131-1005]</t>
  </si>
  <si>
    <t>rad21a</t>
  </si>
  <si>
    <t>ENSDARG00000006092</t>
  </si>
  <si>
    <t>RAD21 cohesin complex component a [Source:ZFIN;Acc:ZDB-GENE-030131-994]</t>
  </si>
  <si>
    <t>kdm6bb</t>
  </si>
  <si>
    <t>ENSDARG00000056929</t>
  </si>
  <si>
    <t>lysine (K)-specific demethylase 6B, b [Source:ZFIN;Acc:ZDB-GENE-040724-166]</t>
  </si>
  <si>
    <t>tmeff1b</t>
  </si>
  <si>
    <t>ENSDARG00000056740</t>
  </si>
  <si>
    <t>transmembrane protein with EGF-like and two follistatin-like domains 1b [Source:ZFIN;Acc:ZDB-GENE-050706-143]</t>
  </si>
  <si>
    <t>mbd3a</t>
  </si>
  <si>
    <t>ENSDARG00000061774</t>
  </si>
  <si>
    <t>methyl-CpG binding domain protein 3a [Source:ZFIN;Acc:ZDB-GENE-030131-9077]</t>
  </si>
  <si>
    <t>nusap1</t>
  </si>
  <si>
    <t>ENSDARG00000002403</t>
  </si>
  <si>
    <t>nucleolar and spindle associated protein 1 [Source:ZFIN;Acc:ZDB-GENE-030827-5]</t>
  </si>
  <si>
    <t>znf516</t>
  </si>
  <si>
    <t>ENSDARG00000070809</t>
  </si>
  <si>
    <t>zinc finger protein 516 [Source:ZFIN;Acc:ZDB-GENE-060503-194]</t>
  </si>
  <si>
    <t>zgc:153115</t>
  </si>
  <si>
    <t>ENSDARG00000069342</t>
  </si>
  <si>
    <t>zgc:153115 [Source:ZFIN;Acc:ZDB-GENE-061013-418]</t>
  </si>
  <si>
    <t>lig3</t>
  </si>
  <si>
    <t>ENSDARG00000052553</t>
  </si>
  <si>
    <t>ligase III, DNA, ATP-dependent [Source:ZFIN;Acc:ZDB-GENE-030131-8453]</t>
  </si>
  <si>
    <t>pde7a</t>
  </si>
  <si>
    <t>ENSDARG00000045305</t>
  </si>
  <si>
    <t>phosphodiesterase 7A [Source:ZFIN;Acc:ZDB-GENE-031222-10]</t>
  </si>
  <si>
    <t>grcc10</t>
  </si>
  <si>
    <t>ENSDARG00000030038</t>
  </si>
  <si>
    <t>gene rich cluster, C10 gene [Source:ZFIN;Acc:ZDB-GENE-030131-2279]</t>
  </si>
  <si>
    <t>dyrk2</t>
  </si>
  <si>
    <t>ENSDARG00000094646</t>
  </si>
  <si>
    <t>dual-specificity tyrosine-(Y)-phosphorylation regulated kinase 2 [Source:ZFIN;Acc:ZDB-GENE-030131-2804]</t>
  </si>
  <si>
    <t>nmt1a</t>
  </si>
  <si>
    <t>ENSDARG00000052966</t>
  </si>
  <si>
    <t>N-myristoyltransferase 1a [Source:ZFIN;Acc:ZDB-GENE-050522-477]</t>
  </si>
  <si>
    <t>isl2a</t>
  </si>
  <si>
    <t>ENSDARG00000003971</t>
  </si>
  <si>
    <t>ISL LIM homeobox 2a [Source:ZFIN;Acc:ZDB-GENE-980526-562]</t>
  </si>
  <si>
    <t>si:ch211-133n4.4</t>
  </si>
  <si>
    <t>ENSDARG00000071224</t>
  </si>
  <si>
    <t>si:ch211-133n4.4 [Source:ZFIN;Acc:ZDB-GENE-030131-898]</t>
  </si>
  <si>
    <t>nkain1</t>
  </si>
  <si>
    <t>ENSDARG00000006859</t>
  </si>
  <si>
    <t>Na+/K+ transporting ATPase interacting 1 [Source:ZFIN;Acc:ZDB-GENE-040426-1472]</t>
  </si>
  <si>
    <t>hnrpdl</t>
  </si>
  <si>
    <t>ENSDARG00000003429</t>
  </si>
  <si>
    <t>heterogeneous nuclear ribonucleoprotein D-like [Source:ZFIN;Acc:ZDB-GENE-040426-2717]</t>
  </si>
  <si>
    <t>usp14</t>
  </si>
  <si>
    <t>ENSDARG00000025889</t>
  </si>
  <si>
    <t>ubiquitin specific peptidase 14 (tRNA-guanine transglycosylase) [Source:ZFIN;Acc:ZDB-GENE-030131-7676]</t>
  </si>
  <si>
    <t>fam60al.1</t>
  </si>
  <si>
    <t>ENSDARG00000078118</t>
  </si>
  <si>
    <t>family with sequence similarity 60, member A, like [Source:ZFIN;Acc:ZDB-GENE-031114-2]</t>
  </si>
  <si>
    <t>pim3</t>
  </si>
  <si>
    <t>ENSDARG00000055129</t>
  </si>
  <si>
    <t>Pim-3 proto-oncogene, serine/threonine kinase [Source:ZFIN;Acc:ZDB-GENE-050809-111]</t>
  </si>
  <si>
    <t>cdc14b.1</t>
  </si>
  <si>
    <t>ENSDARG00000097367</t>
  </si>
  <si>
    <t>apex1</t>
  </si>
  <si>
    <t>ENSDARG00000045843</t>
  </si>
  <si>
    <t>APEX nuclease (multifunctional DNA repair enzyme) 1 [Source:ZFIN;Acc:ZDB-GENE-040426-2761]</t>
  </si>
  <si>
    <t>srsf7a</t>
  </si>
  <si>
    <t>ENSDARG00000035325</t>
  </si>
  <si>
    <t>serine/arginine-rich splicing factor 7a [Source:ZFIN;Acc:ZDB-GENE-040426-1798]</t>
  </si>
  <si>
    <t>fkbp3</t>
  </si>
  <si>
    <t>ENSDARG00000098059</t>
  </si>
  <si>
    <t>FK506 binding protein 3 [Source:ZFIN;Acc:ZDB-GENE-030616-419]</t>
  </si>
  <si>
    <t>inip</t>
  </si>
  <si>
    <t>ENSDARG00000028523</t>
  </si>
  <si>
    <t>ints3 and nabp interacting protein [Source:ZFIN;Acc:ZDB-GENE-040426-961]</t>
  </si>
  <si>
    <t>ccna2</t>
  </si>
  <si>
    <t>ENSDARG00000011094</t>
  </si>
  <si>
    <t>cyclin A2 [Source:ZFIN;Acc:ZDB-GENE-020418-1]</t>
  </si>
  <si>
    <t>rbx1</t>
  </si>
  <si>
    <t>ENSDARG00000038030</t>
  </si>
  <si>
    <t>ring-box 1, E3 ubiquitin protein ligase [Source:ZFIN;Acc:ZDB-GENE-041008-106]</t>
  </si>
  <si>
    <t>nucks1a</t>
  </si>
  <si>
    <t>ENSDARG00000078473</t>
  </si>
  <si>
    <t>nuclear casein kinase and cyclin-dependent kinase substrate 1a [Source:ZFIN;Acc:ZDB-GENE-040912-175]</t>
  </si>
  <si>
    <t>smarcd1</t>
  </si>
  <si>
    <t>ENSDARG00000019004</t>
  </si>
  <si>
    <t>SWI/SNF related, matrix associated, actin dependent regulator of chromatin, subfamily d, member 1 [Source:ZFIN;Acc:ZDB-GENE-030131-1835]</t>
  </si>
  <si>
    <t>selt2</t>
  </si>
  <si>
    <t>ENSDARG00000023220</t>
  </si>
  <si>
    <t>selenoprotein T, 2 [Source:ZFIN;Acc:ZDB-GENE-030411-4]</t>
  </si>
  <si>
    <t>mrps21</t>
  </si>
  <si>
    <t>ENSDARG00000070985</t>
  </si>
  <si>
    <t>mitochondrial ribosomal protein S21 [Source:ZFIN;Acc:ZDB-GENE-070615-13]</t>
  </si>
  <si>
    <t>nfia</t>
  </si>
  <si>
    <t>ENSDARG00000062420</t>
  </si>
  <si>
    <t>nuclear factor I/A [Source:ZFIN;Acc:ZDB-GENE-050208-501]</t>
  </si>
  <si>
    <t>rfxap</t>
  </si>
  <si>
    <t>ENSDARG00000076891</t>
  </si>
  <si>
    <t>regulatory factor X-associated protein [Source:ZFIN;Acc:ZDB-GENE-091204-321]</t>
  </si>
  <si>
    <t>gpat4</t>
  </si>
  <si>
    <t>ENSDARG00000019897</t>
  </si>
  <si>
    <t>glycerol-3-phosphate acyltransferase 4 [Source:ZFIN;Acc:ZDB-GENE-060421-5102]</t>
  </si>
  <si>
    <t>sf3a2</t>
  </si>
  <si>
    <t>ENSDARG00000021107</t>
  </si>
  <si>
    <t>splicing factor 3a, subunit 2 [Source:ZFIN;Acc:ZDB-GENE-040426-897]</t>
  </si>
  <si>
    <t>lin52</t>
  </si>
  <si>
    <t>ENSDARG00000070833</t>
  </si>
  <si>
    <t>lin-52 DREAM MuvB core complex component [Source:ZFIN;Acc:ZDB-GENE-061110-82]</t>
  </si>
  <si>
    <t>mad2l1</t>
  </si>
  <si>
    <t>ENSDARG00000004713</t>
  </si>
  <si>
    <t>MAD2 mitotic arrest deficient-like 1 (yeast) [Source:ZFIN;Acc:ZDB-GENE-030515-3]</t>
  </si>
  <si>
    <t>ube2d2</t>
  </si>
  <si>
    <t>ENSDARG00000043484</t>
  </si>
  <si>
    <t>ubiquitin-conjugating enzyme E2D 2 (UBC4/5 homolog, yeast) [Source:ZFIN;Acc:ZDB-GENE-120312-1]</t>
  </si>
  <si>
    <t>gse1</t>
  </si>
  <si>
    <t>ENSDARG00000062020</t>
  </si>
  <si>
    <t>Gse1 coiled-coil protein [Source:ZFIN;Acc:ZDB-GENE-030131-9569]</t>
  </si>
  <si>
    <t>zfand5b</t>
  </si>
  <si>
    <t>ENSDARG00000002271</t>
  </si>
  <si>
    <t>zinc finger, AN1-type domain 5b [Source:ZFIN;Acc:ZDB-GENE-040426-875]</t>
  </si>
  <si>
    <t>polr3k</t>
  </si>
  <si>
    <t>ENSDARG00000037835</t>
  </si>
  <si>
    <t>polymerase (RNA) III (DNA directed) polypeptide K [Source:ZFIN;Acc:ZDB-GENE-040718-291]</t>
  </si>
  <si>
    <t>sap18</t>
  </si>
  <si>
    <t>ENSDARG00000057854</t>
  </si>
  <si>
    <t>Sin3A-associated protein [Source:ZFIN;Acc:ZDB-GENE-040426-1679]</t>
  </si>
  <si>
    <t>anp32a</t>
  </si>
  <si>
    <t>ENSDARG00000006487</t>
  </si>
  <si>
    <t>acidic (leucine-rich) nuclear phosphoprotein 32 family, member A [Source:ZFIN;Acc:ZDB-GENE-030131-7850]</t>
  </si>
  <si>
    <t>smc1al</t>
  </si>
  <si>
    <t>ENSDARG00000058203</t>
  </si>
  <si>
    <t>structural maintenance of chromosomes 1A, like [Source:ZFIN;Acc:ZDB-GENE-040426-57]</t>
  </si>
  <si>
    <t>zbtb18</t>
  </si>
  <si>
    <t>ENSDARG00000028228</t>
  </si>
  <si>
    <t>zinc finger and BTB domain containing 18 [Source:ZFIN;Acc:ZDB-GENE-050419-73]</t>
  </si>
  <si>
    <t>hnrnpub</t>
  </si>
  <si>
    <t>ENSDARG00000004735</t>
  </si>
  <si>
    <t>heterogeneous nuclear ribonucleoprotein Ub [Source:ZFIN;Acc:ZDB-GENE-030131-6422]</t>
  </si>
  <si>
    <t>psma6b</t>
  </si>
  <si>
    <t>ENSDARG00000013966</t>
  </si>
  <si>
    <t>proteasome subunit alpha 6b [Source:ZFIN;Acc:ZDB-GENE-040718-329]</t>
  </si>
  <si>
    <t>zgc:114119</t>
  </si>
  <si>
    <t>ENSDARG00000098992</t>
  </si>
  <si>
    <t>zgc:114119 [Source:ZFIN;Acc:ZDB-GENE-050913-56]</t>
  </si>
  <si>
    <t>ing4</t>
  </si>
  <si>
    <t>ENSDARG00000030716</t>
  </si>
  <si>
    <t>inhibitor of growth family, member 4 [Source:ZFIN;Acc:ZDB-GENE-050522-47]</t>
  </si>
  <si>
    <t>myo15b</t>
  </si>
  <si>
    <t>ENSDARG00000074852</t>
  </si>
  <si>
    <t>myosin XVB [Source:ZFIN;Acc:ZDB-GENE-030131-4797]</t>
  </si>
  <si>
    <t>yeats4</t>
  </si>
  <si>
    <t>ENSDARG00000045874</t>
  </si>
  <si>
    <t>YEATS domain containing 4 [Source:ZFIN;Acc:ZDB-GENE-040718-252]</t>
  </si>
  <si>
    <t>sumo2b</t>
  </si>
  <si>
    <t>ENSDARG00000102741</t>
  </si>
  <si>
    <t>small ubiquitin-like modifier 2b [Source:ZFIN;Acc:ZDB-GENE-040801-7]</t>
  </si>
  <si>
    <t>polr2c</t>
  </si>
  <si>
    <t>ENSDARG00000033596</t>
  </si>
  <si>
    <t>polymerase (RNA) II (DNA directed) polypeptide C [Source:ZFIN;Acc:ZDB-GENE-030131-6609]</t>
  </si>
  <si>
    <t>tceb2.2</t>
  </si>
  <si>
    <t>ENSDARG00000097740</t>
  </si>
  <si>
    <t>transcription elongation factor B (SIII), polypeptide 2 [Source:ZFIN;Acc:ZDB-GENE-020415-1]</t>
  </si>
  <si>
    <t>si:ch211-197h24.6</t>
  </si>
  <si>
    <t>ENSDARG00000091631</t>
  </si>
  <si>
    <t>si:ch211-197h24.6 [Source:ZFIN;Acc:ZDB-GENE-030131-1361]</t>
  </si>
  <si>
    <t>strbp</t>
  </si>
  <si>
    <t>ENSDARG00000021455</t>
  </si>
  <si>
    <t>spermatid perinuclear RNA binding protein [Source:ZFIN;Acc:ZDB-GENE-030729-18]</t>
  </si>
  <si>
    <t>psat1</t>
  </si>
  <si>
    <t>ENSDARG00000016733</t>
  </si>
  <si>
    <t>phosphoserine aminotransferase 1 [Source:ZFIN;Acc:ZDB-GENE-030131-5723]</t>
  </si>
  <si>
    <t>rbbp4</t>
  </si>
  <si>
    <t>ENSDARG00000029058</t>
  </si>
  <si>
    <t>retinoblastoma binding protein 4 [Source:ZFIN;Acc:ZDB-GENE-030131-445]</t>
  </si>
  <si>
    <t>idh3b</t>
  </si>
  <si>
    <t>ENSDARG00000044753</t>
  </si>
  <si>
    <t>isocitrate dehydrogenase 3 (NAD+) beta [Source:ZFIN;Acc:ZDB-GENE-040625-174]</t>
  </si>
  <si>
    <t>fntb</t>
  </si>
  <si>
    <t>ENSDARG00000027916</t>
  </si>
  <si>
    <t>farnesyltransferase, CAAX box, beta [Source:ZFIN;Acc:ZDB-GENE-030131-2220]</t>
  </si>
  <si>
    <t>tmco1</t>
  </si>
  <si>
    <t>ENSDARG00000069099</t>
  </si>
  <si>
    <t>transmembrane and coiled-coil domains 1 [Source:ZFIN;Acc:ZDB-GENE-050417-344]</t>
  </si>
  <si>
    <t>rnps1</t>
  </si>
  <si>
    <t>ENSDARG00000015853</t>
  </si>
  <si>
    <t>RNA binding protein S1, serine-rich domain [Source:ZFIN;Acc:ZDB-GENE-030131-5228]</t>
  </si>
  <si>
    <t>hnrnpl2</t>
  </si>
  <si>
    <t>ENSDARG00000059303</t>
  </si>
  <si>
    <t>heterogeneous nuclear ribonucleoprotein L2 [Source:ZFIN;Acc:ZDB-GENE-040426-2707]</t>
  </si>
  <si>
    <t>emc6</t>
  </si>
  <si>
    <t>ENSDARG00000035282</t>
  </si>
  <si>
    <t>ER membrane protein complex subunit 6 [Source:ZFIN;Acc:ZDB-GENE-030131-9164]</t>
  </si>
  <si>
    <t>vma21</t>
  </si>
  <si>
    <t>ENSDARG00000093945</t>
  </si>
  <si>
    <t>VMA21 vacuolar H+-ATPase homolog (S. cerevisiae) [Source:ZFIN;Acc:ZDB-GENE-081104-272]</t>
  </si>
  <si>
    <t>mplkip</t>
  </si>
  <si>
    <t>ENSDARG00000078986</t>
  </si>
  <si>
    <t>M-phase specific PLK1 interacting protein [Source:ZFIN;Acc:ZDB-GENE-070912-182]</t>
  </si>
  <si>
    <t>tuba1b</t>
  </si>
  <si>
    <t>ENSDARG00000045367</t>
  </si>
  <si>
    <t>tubulin, alpha 1b [Source:ZFIN;Acc:ZDB-GENE-030822-1]</t>
  </si>
  <si>
    <t>adrm1</t>
  </si>
  <si>
    <t>ENSDARG00000058560</t>
  </si>
  <si>
    <t>adhesion regulating molecule 1 [Source:ZFIN;Acc:ZDB-GENE-040426-905]</t>
  </si>
  <si>
    <t>alms1</t>
  </si>
  <si>
    <t>ENSDARG00000074779</t>
  </si>
  <si>
    <t>Alstrom syndrome protein 1 [Source:ZFIN;Acc:ZDB-GENE-030131-4837]</t>
  </si>
  <si>
    <t>ddx5</t>
  </si>
  <si>
    <t>ENSDARG00000038068</t>
  </si>
  <si>
    <t>DEAD (Asp-Glu-Ala-Asp) box helicase 5 [Source:ZFIN;Acc:ZDB-GENE-030131-925]</t>
  </si>
  <si>
    <t>max</t>
  </si>
  <si>
    <t>ENSDARG00000024844</t>
  </si>
  <si>
    <t>myc associated factor X [Source:ZFIN;Acc:ZDB-GENE-990415-152]</t>
  </si>
  <si>
    <t>dnaja2l</t>
  </si>
  <si>
    <t>ENSDARG00000010745</t>
  </si>
  <si>
    <t>DnaJ (Hsp40) homolog, subfamily A, member 2, like [Source:ZFIN;Acc:ZDB-GENE-030131-2884]</t>
  </si>
  <si>
    <t>nono</t>
  </si>
  <si>
    <t>ENSDARG00000020482</t>
  </si>
  <si>
    <t>non-POU domain containing, octamer-binding [Source:ZFIN;Acc:ZDB-GENE-030131-713]</t>
  </si>
  <si>
    <t>kdm1a</t>
  </si>
  <si>
    <t>ENSDARG00000060679</t>
  </si>
  <si>
    <t>lysine (K)-specific demethylase 1a [Source:ZFIN;Acc:ZDB-GENE-030131-7828]</t>
  </si>
  <si>
    <t>rcc2</t>
  </si>
  <si>
    <t>ENSDARG00000011510</t>
  </si>
  <si>
    <t>regulator of chromosome condensation 2 [Source:ZFIN;Acc:ZDB-GENE-040426-2213]</t>
  </si>
  <si>
    <t>irak1bp1</t>
  </si>
  <si>
    <t>ENSDARG00000036903</t>
  </si>
  <si>
    <t>interleukin-1 receptor-associated kinase 1 binding protein 1 [Source:ZFIN;Acc:ZDB-GENE-050522-272]</t>
  </si>
  <si>
    <t>pfdn4</t>
  </si>
  <si>
    <t>ENSDARG00000061228</t>
  </si>
  <si>
    <t>prefoldin subunit 4 [Source:ZFIN;Acc:ZDB-GENE-100922-122]</t>
  </si>
  <si>
    <t>mrpl57</t>
  </si>
  <si>
    <t>ENSDARG00000007285</t>
  </si>
  <si>
    <t>mitochondrial ribosomal protein L57 [Source:ZFIN;Acc:ZDB-GENE-040426-1745]</t>
  </si>
  <si>
    <t>tmem231</t>
  </si>
  <si>
    <t>ENSDARG00000042272</t>
  </si>
  <si>
    <t>transmembrane protein 231 [Source:ZFIN;Acc:ZDB-GENE-040426-1386]</t>
  </si>
  <si>
    <t>tmem110</t>
  </si>
  <si>
    <t>ENSDARG00000013694</t>
  </si>
  <si>
    <t>transmembrane protein 110 [Source:ZFIN;Acc:ZDB-GENE-040426-1198]</t>
  </si>
  <si>
    <t>smarca5</t>
  </si>
  <si>
    <t>ENSDARG00000052348</t>
  </si>
  <si>
    <t>SWI/SNF related, matrix associated, actin dependent regulator of chromatin, subfamily a, member 5 [Source:ZFIN;Acc:ZDB-GENE-021125-1]</t>
  </si>
  <si>
    <t>hars</t>
  </si>
  <si>
    <t>ENSDARG00000003693</t>
  </si>
  <si>
    <t>histidyl-tRNA synthetase [Source:ZFIN;Acc:ZDB-GENE-040912-152]</t>
  </si>
  <si>
    <t>gid8a</t>
  </si>
  <si>
    <t>ENSDARG00000022768</t>
  </si>
  <si>
    <t>GID complex subunit 8 homolog a (S. cerevisiae) [Source:ZFIN;Acc:ZDB-GENE-040426-1669]</t>
  </si>
  <si>
    <t>bud31</t>
  </si>
  <si>
    <t>ENSDARG00000017084</t>
  </si>
  <si>
    <t>BUD31 homolog (S. cerevisiae) [Source:ZFIN;Acc:ZDB-GENE-040720-3]</t>
  </si>
  <si>
    <t>gpn2</t>
  </si>
  <si>
    <t>ENSDARG00000103127</t>
  </si>
  <si>
    <t>GPN-loop GTPase 2 [Source:ZFIN;Acc:ZDB-GENE-041010-86]</t>
  </si>
  <si>
    <t>tmem35</t>
  </si>
  <si>
    <t>ENSDARG00000052567</t>
  </si>
  <si>
    <t>transmembrane protein 35 [Source:ZFIN;Acc:ZDB-GENE-030815-1]</t>
  </si>
  <si>
    <t>erh</t>
  </si>
  <si>
    <t>ENSDARG00000032866</t>
  </si>
  <si>
    <t>enhancer of rudimentary homolog (Drosophila) [Source:ZFIN;Acc:ZDB-GENE-990415-57]</t>
  </si>
  <si>
    <t>eif5a2</t>
  </si>
  <si>
    <t>ENSDARG00000056186</t>
  </si>
  <si>
    <t>eukaryotic translation initiation factor 5A2 [Source:ZFIN;Acc:ZDB-GENE-040426-2405]</t>
  </si>
  <si>
    <t>polr2i</t>
  </si>
  <si>
    <t>ENSDARG00000040443</t>
  </si>
  <si>
    <t>polymerase (RNA) II (DNA directed) polypeptide I [Source:ZFIN;Acc:ZDB-GENE-041010-106]</t>
  </si>
  <si>
    <t>snrpa1</t>
  </si>
  <si>
    <t>ENSDARG00000024651</t>
  </si>
  <si>
    <t>small nuclear ribonucleoprotein polypeptide A' [Source:ZFIN;Acc:ZDB-GENE-041114-82]</t>
  </si>
  <si>
    <t>ilf3b</t>
  </si>
  <si>
    <t>ENSDARG00000105177</t>
  </si>
  <si>
    <t>interleukin enhancer binding factor 3b [Source:ZFIN;Acc:ZDB-GENE-030131-587]</t>
  </si>
  <si>
    <t>cstf2</t>
  </si>
  <si>
    <t>ENSDARG00000090788</t>
  </si>
  <si>
    <t>cleavage stimulation factor, 3' pre-RNA, subunit 2 [Source:ZFIN;Acc:ZDB-GENE-031118-2]</t>
  </si>
  <si>
    <t>vbp1</t>
  </si>
  <si>
    <t>ENSDARG00000030241</t>
  </si>
  <si>
    <t>von Hippel-Lindau binding protein 1 [Source:ZFIN;Acc:ZDB-GENE-050522-494]</t>
  </si>
  <si>
    <t>psmd4a.1</t>
  </si>
  <si>
    <t>ENSDARG00000101295</t>
  </si>
  <si>
    <t>proteasome 26S subunit, non-ATPase 4a [Source:ZFIN;Acc:ZDB-GENE-040625-104]</t>
  </si>
  <si>
    <t>rcor1</t>
  </si>
  <si>
    <t>ENSDARG00000031434</t>
  </si>
  <si>
    <t>REST corepressor 1 [Source:ZFIN;Acc:ZDB-GENE-050506-79]</t>
  </si>
  <si>
    <t>h3f3b.1.1</t>
  </si>
  <si>
    <t>ENSDARG00000068434</t>
  </si>
  <si>
    <t>FMC1</t>
  </si>
  <si>
    <t>ENSDARG00000074266</t>
  </si>
  <si>
    <t>si:ch1073-314i13.4 [Source:ZFIN;Acc:ZDB-GENE-120214-41]</t>
  </si>
  <si>
    <t>cwc15</t>
  </si>
  <si>
    <t>ENSDARG00000013382</t>
  </si>
  <si>
    <t>CWC15 spliceosome-associated protein homolog (S. cerevisiae) [Source:ZFIN;Acc:ZDB-GENE-040625-10]</t>
  </si>
  <si>
    <t>ahcy</t>
  </si>
  <si>
    <t>ENSDARG00000005191</t>
  </si>
  <si>
    <t>adenosylhomocysteinase [Source:ZFIN;Acc:ZDB-GENE-031219-6]</t>
  </si>
  <si>
    <t>si:ch211-286b5.5</t>
  </si>
  <si>
    <t>ENSDARG00000096661</t>
  </si>
  <si>
    <t>si:ch211-286b5.5 [Source:ZFIN;Acc:ZDB-GENE-121214-209]</t>
  </si>
  <si>
    <t>aurkaip1</t>
  </si>
  <si>
    <t>ENSDARG00000074985</t>
  </si>
  <si>
    <t>aurora kinase A interacting protein 1 [Source:ZFIN;Acc:ZDB-GENE-070928-24]</t>
  </si>
  <si>
    <t>mthfd2</t>
  </si>
  <si>
    <t>ENSDARG00000098646</t>
  </si>
  <si>
    <t>methylenetetrahydrofolate dehydrogenase (NADP+ dependent) 2, methenyltetrahydrofolate cyclohydrolase [Source:ZFIN;Acc:ZDB-GENE-040704-20]</t>
  </si>
  <si>
    <t>khdrbs1b</t>
  </si>
  <si>
    <t>ENSDARG00000070475</t>
  </si>
  <si>
    <t>KH domain containing, RNA binding, signal transduction associated 1b [Source:ZFIN;Acc:ZDB-GENE-040426-2344]</t>
  </si>
  <si>
    <t>fam84a</t>
  </si>
  <si>
    <t>ENSDARG00000018921</t>
  </si>
  <si>
    <t>family with sequence similarity 84, member A [Source:ZFIN;Acc:ZDB-GENE-040426-1247]</t>
  </si>
  <si>
    <t>mki67</t>
  </si>
  <si>
    <t>ENSDARG00000091150</t>
  </si>
  <si>
    <t>marker of proliferation Ki-67 [Source:ZFIN;Acc:ZDB-GENE-030131-9771]</t>
  </si>
  <si>
    <t>mrps34</t>
  </si>
  <si>
    <t>ENSDARG00000057910</t>
  </si>
  <si>
    <t>mitochondrial ribosomal protein S34 [Source:ZFIN;Acc:ZDB-GENE-041114-71]</t>
  </si>
  <si>
    <t>nfyba</t>
  </si>
  <si>
    <t>ENSDARG00000039185</t>
  </si>
  <si>
    <t>nuclear transcription factor Y, beta a [Source:ZFIN;Acc:ZDB-GENE-050417-13]</t>
  </si>
  <si>
    <t>alcamb</t>
  </si>
  <si>
    <t>ENSDARG00000058538</t>
  </si>
  <si>
    <t>activated leukocyte cell adhesion molecule b [Source:ZFIN;Acc:ZDB-GENE-030131-1768]</t>
  </si>
  <si>
    <t>ncapg</t>
  </si>
  <si>
    <t>ENSDARG00000070109</t>
  </si>
  <si>
    <t>non-SMC condensin I complex, subunit G [Source:ZFIN;Acc:ZDB-GENE-041111-282]</t>
  </si>
  <si>
    <t>si:ch211-69g19.2</t>
  </si>
  <si>
    <t>ENSDARG00000070656</t>
  </si>
  <si>
    <t>si:ch211-69g19.2 [Source:ZFIN;Acc:ZDB-GENE-030804-13]</t>
  </si>
  <si>
    <t>ptges3b</t>
  </si>
  <si>
    <t>ENSDARG00000089626</t>
  </si>
  <si>
    <t>prostaglandin E synthase 3b (cytosolic) [Source:ZFIN;Acc:ZDB-GENE-040625-144]</t>
  </si>
  <si>
    <t>ssbp3b</t>
  </si>
  <si>
    <t>ENSDARG00000030155</t>
  </si>
  <si>
    <t>single stranded DNA binding protein 3b [Source:ZFIN;Acc:ZDB-GENE-040426-2801]</t>
  </si>
  <si>
    <t>snrpd3</t>
  </si>
  <si>
    <t>ENSDARG00000013800</t>
  </si>
  <si>
    <t>small nuclear ribonucleoprotein D3 polypeptide [Source:ZFIN;Acc:ZDB-GENE-040625-55]</t>
  </si>
  <si>
    <t>miip</t>
  </si>
  <si>
    <t>ENSDARG00000088346</t>
  </si>
  <si>
    <t>migration and invasion inhibitory protein [Source:ZFIN;Acc:ZDB-GENE-130620-1]</t>
  </si>
  <si>
    <t>eif3s6ip</t>
  </si>
  <si>
    <t>ENSDARG00000101082</t>
  </si>
  <si>
    <t>eukaryotic translation initiation factor 3, subunit 6 interacting protein [Source:ZFIN;Acc:ZDB-GENE-040426-2138]</t>
  </si>
  <si>
    <t>u2af1</t>
  </si>
  <si>
    <t>ENSDARG00000015325</t>
  </si>
  <si>
    <t>U2 small nuclear RNA auxiliary factor 1 [Source:ZFIN;Acc:ZDB-GENE-020419-1]</t>
  </si>
  <si>
    <t>hn1b</t>
  </si>
  <si>
    <t>ENSDARG00000099312</t>
  </si>
  <si>
    <t>hematological and neurological expressed 1b [Source:ZFIN;Acc:ZDB-GENE-030131-2784]</t>
  </si>
  <si>
    <t>btbd10a</t>
  </si>
  <si>
    <t>ENSDARG00000062674</t>
  </si>
  <si>
    <t>BTB (POZ) domain containing 10a [Source:ZFIN;Acc:ZDB-GENE-070410-41]</t>
  </si>
  <si>
    <t>tiparp</t>
  </si>
  <si>
    <t>ENSDARG00000061841</t>
  </si>
  <si>
    <t>TCDD-inducible poly(ADP-ribose) polymerase [Source:ZFIN;Acc:ZDB-GENE-031002-47]</t>
  </si>
  <si>
    <t>thoc3</t>
  </si>
  <si>
    <t>ENSDARG00000056517</t>
  </si>
  <si>
    <t>THO complex 3 [Source:ZFIN;Acc:ZDB-GENE-040808-14]</t>
  </si>
  <si>
    <t>ndc80</t>
  </si>
  <si>
    <t>ENSDARG00000071694</t>
  </si>
  <si>
    <t>NDC80 kinetochore complex component [Source:ZFIN;Acc:ZDB-GENE-030131-904]</t>
  </si>
  <si>
    <t>lsm8</t>
  </si>
  <si>
    <t>ENSDARG00000091656</t>
  </si>
  <si>
    <t>LSM8 homolog, U6 small nuclear RNA associated [Source:ZFIN;Acc:ZDB-GENE-070629-3]</t>
  </si>
  <si>
    <t>hnrnpm</t>
  </si>
  <si>
    <t>ENSDARG00000061735</t>
  </si>
  <si>
    <t>heterogeneous nuclear ribonucleoprotein M [Source:ZFIN;Acc:ZDB-GENE-030131-6898]</t>
  </si>
  <si>
    <t>eif3ea</t>
  </si>
  <si>
    <t>ENSDARG00000090697</t>
  </si>
  <si>
    <t>eukaryotic translation initiation factor 3, subunit E, a [Source:ZFIN;Acc:ZDB-GENE-030131-3827]</t>
  </si>
  <si>
    <t>nfybb</t>
  </si>
  <si>
    <t>ENSDARG00000045611</t>
  </si>
  <si>
    <t>nuclear transcription factor Y, beta b [Source:ZFIN;Acc:ZDB-GENE-050306-25]</t>
  </si>
  <si>
    <t>snrpb2</t>
  </si>
  <si>
    <t>ENSDARG00000039424</t>
  </si>
  <si>
    <t>small nuclear ribonucleoprotein polypeptide B2 [Source:ZFIN;Acc:ZDB-GENE-060616-2]</t>
  </si>
  <si>
    <t>zgc:56106</t>
  </si>
  <si>
    <t>ENSDARG00000022564</t>
  </si>
  <si>
    <t>zgc:56106 [Source:ZFIN;Acc:ZDB-GENE-040426-904]</t>
  </si>
  <si>
    <t>pdcl</t>
  </si>
  <si>
    <t>ENSDARG00000009480</t>
  </si>
  <si>
    <t>phosducin-like [Source:ZFIN;Acc:ZDB-GENE-030131-2365]</t>
  </si>
  <si>
    <t>cdk7</t>
  </si>
  <si>
    <t>ENSDARG00000051916</t>
  </si>
  <si>
    <t>cyclin-dependent kinase 7 [Source:ZFIN;Acc:ZDB-GENE-010320-2]</t>
  </si>
  <si>
    <t>pde6d</t>
  </si>
  <si>
    <t>ENSDARG00000074892</t>
  </si>
  <si>
    <t>phosphodiesterase 6D, cGMP-specific, rod, delta [Source:ZFIN;Acc:ZDB-GENE-040718-463]</t>
  </si>
  <si>
    <t>gadd45ga</t>
  </si>
  <si>
    <t>ENSDARG00000019417</t>
  </si>
  <si>
    <t>growth arrest and DNA-damage-inducible, gamma a [Source:ZFIN;Acc:ZDB-GENE-040426-1882]</t>
  </si>
  <si>
    <t>med21</t>
  </si>
  <si>
    <t>ENSDARG00000026839</t>
  </si>
  <si>
    <t>mediator complex subunit 21 [Source:ZFIN;Acc:ZDB-GENE-040426-2763]</t>
  </si>
  <si>
    <t>txnl1</t>
  </si>
  <si>
    <t>ENSDARG00000011921</t>
  </si>
  <si>
    <t>thioredoxin-like 1 [Source:ZFIN;Acc:ZDB-GENE-040426-701]</t>
  </si>
  <si>
    <t>med11</t>
  </si>
  <si>
    <t>ENSDARG00000086416</t>
  </si>
  <si>
    <t>mediator complex subunit 11 [Source:ZFIN;Acc:ZDB-GENE-091207-2]</t>
  </si>
  <si>
    <t>nrf1</t>
  </si>
  <si>
    <t>ENSDARG00000000018</t>
  </si>
  <si>
    <t>nuclear respiratory factor 1 [Source:ZFIN;Acc:ZDB-GENE-001221-1]</t>
  </si>
  <si>
    <t>mapre1b</t>
  </si>
  <si>
    <t>ENSDARG00000002659</t>
  </si>
  <si>
    <t>microtubule-associated protein, RP/EB family, member 1b [Source:ZFIN;Acc:ZDB-GENE-040426-2256]</t>
  </si>
  <si>
    <t>caprin1a</t>
  </si>
  <si>
    <t>ENSDARG00000009346</t>
  </si>
  <si>
    <t>cell cycle associated protein 1a [Source:ZFIN;Acc:ZDB-GENE-040801-226]</t>
  </si>
  <si>
    <t>c1d</t>
  </si>
  <si>
    <t>ENSDARG00000021112</t>
  </si>
  <si>
    <t>C1D nuclear receptor corepressor [Source:ZFIN;Acc:ZDB-GENE-041024-8]</t>
  </si>
  <si>
    <t>h3f3a</t>
  </si>
  <si>
    <t>ENSDARG00000020504</t>
  </si>
  <si>
    <t>H3 histone, family 3A [Source:ZFIN;Acc:ZDB-GENE-040426-1928]</t>
  </si>
  <si>
    <t>CABZ01111915.1</t>
  </si>
  <si>
    <t>ENSDARG00000104583</t>
  </si>
  <si>
    <t>eif2s2</t>
  </si>
  <si>
    <t>ENSDARG00000053047</t>
  </si>
  <si>
    <t>eukaryotic translation initiation factor 2, subunit 2 beta [Source:ZFIN;Acc:ZDB-GENE-030131-3085]</t>
  </si>
  <si>
    <t>ndufaf2</t>
  </si>
  <si>
    <t>ENSDARG00000069286</t>
  </si>
  <si>
    <t>NADH dehydrogenase (ubiquinone) complex I, assembly factor 2 [Source:ZFIN;Acc:ZDB-GENE-040808-28]</t>
  </si>
  <si>
    <t>ubtf</t>
  </si>
  <si>
    <t>ENSDARG00000035066</t>
  </si>
  <si>
    <t>upstream binding transcription factor, RNA polymerase I [Source:ZFIN;Acc:ZDB-GENE-030616-252]</t>
  </si>
  <si>
    <t>sclt1</t>
  </si>
  <si>
    <t>ENSDARG00000057248</t>
  </si>
  <si>
    <t>sodium channel and clathrin linker 1 [Source:ZFIN;Acc:ZDB-GENE-030131-3278]</t>
  </si>
  <si>
    <t>ewsr1b</t>
  </si>
  <si>
    <t>ENSDARG00000020465</t>
  </si>
  <si>
    <t>EWS RNA-binding protein 1b [Source:ZFIN;Acc:ZDB-GENE-030131-1600]</t>
  </si>
  <si>
    <t>hnrpl</t>
  </si>
  <si>
    <t>ENSDARG00000035324</t>
  </si>
  <si>
    <t>heterogeneous nuclear ribonucleoprotein L [Source:ZFIN;Acc:ZDB-GENE-040426-710]</t>
  </si>
  <si>
    <t>eftud2</t>
  </si>
  <si>
    <t>ENSDARG00000012261</t>
  </si>
  <si>
    <t>elongation factor Tu GTP binding domain containing 2 [Source:ZFIN;Acc:ZDB-GENE-040426-1569]</t>
  </si>
  <si>
    <t>MRPL55</t>
  </si>
  <si>
    <t>ENSDARG00000043402</t>
  </si>
  <si>
    <t>zgc:171480 [Source:ZFIN;Acc:ZDB-GENE-080204-83]</t>
  </si>
  <si>
    <t>birc5a</t>
  </si>
  <si>
    <t>ENSDARG00000075621</t>
  </si>
  <si>
    <t>baculoviral IAP repeat containing 5a [Source:ZFIN;Acc:ZDB-GENE-030826-1]</t>
  </si>
  <si>
    <t>usp39</t>
  </si>
  <si>
    <t>ENSDARG00000041908</t>
  </si>
  <si>
    <t>ubiquitin specific peptidase 39 [Source:ZFIN;Acc:ZDB-GENE-030131-966]</t>
  </si>
  <si>
    <t>cks2</t>
  </si>
  <si>
    <t>ENSDARG00000071410</t>
  </si>
  <si>
    <t>CDC28 protein kinase regulatory subunit 2 [Source:ZFIN;Acc:ZDB-GENE-050208-508]</t>
  </si>
  <si>
    <t>med19b</t>
  </si>
  <si>
    <t>ENSDARG00000009472</t>
  </si>
  <si>
    <t>mediator complex subunit 19b [Source:ZFIN;Acc:ZDB-GENE-040727-4]</t>
  </si>
  <si>
    <t>puf60b</t>
  </si>
  <si>
    <t>ENSDARG00000001241</t>
  </si>
  <si>
    <t>poly-U binding splicing factor b [Source:ZFIN;Acc:ZDB-GENE-040625-116]</t>
  </si>
  <si>
    <t>wdr18</t>
  </si>
  <si>
    <t>ENSDARG00000041113</t>
  </si>
  <si>
    <t>WD repeat domain 18 [Source:ZFIN;Acc:ZDB-GENE-040905-4]</t>
  </si>
  <si>
    <t>rpl13a</t>
  </si>
  <si>
    <t>ENSDARG00000044093</t>
  </si>
  <si>
    <t>ribosomal protein L13a [Source:ZFIN;Acc:ZDB-GENE-030131-168]</t>
  </si>
  <si>
    <t>eif3ja</t>
  </si>
  <si>
    <t>ENSDARG00000012603</t>
  </si>
  <si>
    <t>eukaryotic translation initiation factor 3, subunit Ja [Source:ZFIN;Acc:ZDB-GENE-040426-1266]</t>
  </si>
  <si>
    <t>ddx49</t>
  </si>
  <si>
    <t>ENSDARG00000012899</t>
  </si>
  <si>
    <t>DEAD (Asp-Glu-Ala-Asp) box polypeptide 49 [Source:ZFIN;Acc:ZDB-GENE-031030-3]</t>
  </si>
  <si>
    <t>elof1</t>
  </si>
  <si>
    <t>ENSDARG00000099453</t>
  </si>
  <si>
    <t>ELF1 homolog, elongation factor 1 [Source:ZFIN;Acc:ZDB-GENE-040426-1385]</t>
  </si>
  <si>
    <t>hmgb1b</t>
  </si>
  <si>
    <t>ENSDARG00000030479</t>
  </si>
  <si>
    <t>high mobility group box 1b [Source:ZFIN;Acc:ZDB-GENE-030131-8480]</t>
  </si>
  <si>
    <t>ppdpfb</t>
  </si>
  <si>
    <t>ENSDARG00000031317</t>
  </si>
  <si>
    <t>pancreatic progenitor cell differentiation and proliferation factor b [Source:ZFIN;Acc:ZDB-GENE-030131-8247]</t>
  </si>
  <si>
    <t>gtf2a1</t>
  </si>
  <si>
    <t>ENSDARG00000011000</t>
  </si>
  <si>
    <t>general transcription factor IIA, 1 [Source:ZFIN;Acc:ZDB-GENE-030131-2694]</t>
  </si>
  <si>
    <t>srsf4</t>
  </si>
  <si>
    <t>ENSDARG00000105293</t>
  </si>
  <si>
    <t>serine/arginine-rich splicing factor 4 [Source:ZFIN;Acc:ZDB-GENE-030131-591]</t>
  </si>
  <si>
    <t>actl6a</t>
  </si>
  <si>
    <t>ENSDARG00000070828</t>
  </si>
  <si>
    <t>actin-like 6A [Source:ZFIN;Acc:ZDB-GENE-020419-36]</t>
  </si>
  <si>
    <t>id2a</t>
  </si>
  <si>
    <t>ENSDARG00000055283</t>
  </si>
  <si>
    <t>inhibitor of DNA binding 2, dominant negative helix-loop-helix protein, a [Source:ZFIN;Acc:ZDB-GENE-020910-1]</t>
  </si>
  <si>
    <t>supt4h1</t>
  </si>
  <si>
    <t>ENSDARG00000099366</t>
  </si>
  <si>
    <t>SPT4 homolog, DSIF elongation factor subunit [Source:ZFIN;Acc:ZDB-GENE-040718-214]</t>
  </si>
  <si>
    <t>pane1</t>
  </si>
  <si>
    <t>ENSDARG00000024681</t>
  </si>
  <si>
    <t>proliferation associated nuclear element [Source:ZFIN;Acc:ZDB-GENE-040611-4]</t>
  </si>
  <si>
    <t>api5</t>
  </si>
  <si>
    <t>ENSDARG00000033597</t>
  </si>
  <si>
    <t>apoptosis inhibitor 5 [Source:ZFIN;Acc:ZDB-GENE-030131-395]</t>
  </si>
  <si>
    <t>spsb4a</t>
  </si>
  <si>
    <t>ENSDARG00000016084</t>
  </si>
  <si>
    <t>splA/ryanodine receptor domain and SOCS box containing 4a [Source:ZFIN;Acc:ZDB-GENE-070911-3]</t>
  </si>
  <si>
    <t>mrpl41</t>
  </si>
  <si>
    <t>ENSDARG00000002264</t>
  </si>
  <si>
    <t>mitochondrial ribosomal protein L41 [Source:ZFIN;Acc:ZDB-GENE-050522-200]</t>
  </si>
  <si>
    <t>bzw1a</t>
  </si>
  <si>
    <t>ENSDARG00000010481</t>
  </si>
  <si>
    <t>basic leucine zipper and W2 domains 1a [Source:ZFIN;Acc:ZDB-GENE-030131-3951]</t>
  </si>
  <si>
    <t>zgc:92045</t>
  </si>
  <si>
    <t>ENSDARG00000104871</t>
  </si>
  <si>
    <t>zgc:92045 [Source:ZFIN;Acc:ZDB-GENE-040718-86]</t>
  </si>
  <si>
    <t>rab2a</t>
  </si>
  <si>
    <t>ENSDARG00000020261</t>
  </si>
  <si>
    <t>RAB2A, member RAS oncogene family [Source:ZFIN;Acc:ZDB-GENE-011212-2]</t>
  </si>
  <si>
    <t>ahsa1b</t>
  </si>
  <si>
    <t>ENSDARG00000100317</t>
  </si>
  <si>
    <t>AHA1, activator of heat shock protein ATPase homolog 1b [Source:ZFIN;Acc:ZDB-GENE-030131-664]</t>
  </si>
  <si>
    <t>dnm1l</t>
  </si>
  <si>
    <t>ENSDARG00000015006</t>
  </si>
  <si>
    <t>dynamin 1-like [Source:ZFIN;Acc:ZDB-GENE-040426-1556]</t>
  </si>
  <si>
    <t>phf14</t>
  </si>
  <si>
    <t>ENSDARG00000061458</t>
  </si>
  <si>
    <t>PHD finger protein 14 [Source:ZFIN;Acc:ZDB-GENE-030131-1796]</t>
  </si>
  <si>
    <t>pfdn6</t>
  </si>
  <si>
    <t>ENSDARG00000037108</t>
  </si>
  <si>
    <t>prefoldin subunit 6 [Source:ZFIN;Acc:ZDB-GENE-040426-1589]</t>
  </si>
  <si>
    <t>mrps6</t>
  </si>
  <si>
    <t>ENSDARG00000039543</t>
  </si>
  <si>
    <t>mitochondrial ribosomal protein S6 [Source:ZFIN;Acc:ZDB-GENE-060825-59]</t>
  </si>
  <si>
    <t>ubxn1</t>
  </si>
  <si>
    <t>ENSDARG00000090309</t>
  </si>
  <si>
    <t>UBX domain protein 1 [Source:ZFIN;Acc:ZDB-GENE-030131-792]</t>
  </si>
  <si>
    <t>zmpste24</t>
  </si>
  <si>
    <t>ENSDARG00000044090</t>
  </si>
  <si>
    <t>zinc metallopeptidase, STE24 homolog [Source:ZFIN;Acc:ZDB-GENE-030131-6312]</t>
  </si>
  <si>
    <t>brd7</t>
  </si>
  <si>
    <t>ENSDARG00000008380</t>
  </si>
  <si>
    <t>bromodomain containing 7 [Source:ZFIN;Acc:ZDB-GENE-040426-2687]</t>
  </si>
  <si>
    <t>ciapin1</t>
  </si>
  <si>
    <t>ENSDARG00000045733</t>
  </si>
  <si>
    <t>cytokine induced apoptosis inhibitor 1 [Source:ZFIN;Acc:ZDB-GENE-040808-57]</t>
  </si>
  <si>
    <t>nhp2</t>
  </si>
  <si>
    <t>ENSDARG00000069422</t>
  </si>
  <si>
    <t>NHP2 ribonucleoprotein homolog (yeast) [Source:ZFIN;Acc:ZDB-GENE-030131-533]</t>
  </si>
  <si>
    <t>cct8</t>
  </si>
  <si>
    <t>ENSDARG00000008243</t>
  </si>
  <si>
    <t>chaperonin containing TCP1, subunit 8 (theta) [Source:ZFIN;Acc:ZDB-GENE-040426-876]</t>
  </si>
  <si>
    <t>dync1li2</t>
  </si>
  <si>
    <t>ENSDARG00000035924</t>
  </si>
  <si>
    <t>dynein, cytoplasmic 1, light intermediate chain 2 [Source:ZFIN;Acc:ZDB-GENE-050417-156]</t>
  </si>
  <si>
    <t>hnrnpa1b</t>
  </si>
  <si>
    <t>ENSDARG00000036675</t>
  </si>
  <si>
    <t>heterogeneous nuclear ribonucleoprotein A1b [Source:ZFIN;Acc:ZDB-GENE-030912-14]</t>
  </si>
  <si>
    <t>polr2d</t>
  </si>
  <si>
    <t>ENSDARG00000076509</t>
  </si>
  <si>
    <t>polymerase (RNA) II (DNA directed) polypeptide D [Source:ZFIN;Acc:ZDB-GENE-040714-2]</t>
  </si>
  <si>
    <t>fam50a</t>
  </si>
  <si>
    <t>ENSDARG00000024895</t>
  </si>
  <si>
    <t>family with sequence similarity 50, member A [Source:ZFIN;Acc:ZDB-GENE-050417-110]</t>
  </si>
  <si>
    <t>polr2f</t>
  </si>
  <si>
    <t>ENSDARG00000036625</t>
  </si>
  <si>
    <t>polymerase (RNA) II (DNA directed) polypeptide F [Source:ZFIN;Acc:ZDB-GENE-040718-279]</t>
  </si>
  <si>
    <t>exosc3</t>
  </si>
  <si>
    <t>ENSDARG00000098334</t>
  </si>
  <si>
    <t>exosome component 3 [Source:ZFIN;Acc:ZDB-GENE-050706-140]</t>
  </si>
  <si>
    <t>emc9</t>
  </si>
  <si>
    <t>ENSDARG00000034633</t>
  </si>
  <si>
    <t>ER membrane protein complex subunit 9 [Source:ZFIN;Acc:ZDB-GENE-040426-693]</t>
  </si>
  <si>
    <t>si:ch73-152o7.1</t>
  </si>
  <si>
    <t>ENSDARG00000104178</t>
  </si>
  <si>
    <t>si:ch73-152o7.1 [Source:ZFIN;Acc:ZDB-GENE-111123-3]</t>
  </si>
  <si>
    <t>med20</t>
  </si>
  <si>
    <t>ENSDARG00000046006</t>
  </si>
  <si>
    <t>mediator complex subunit 20 [Source:ZFIN;Acc:ZDB-GENE-040801-104]</t>
  </si>
  <si>
    <t>farsa</t>
  </si>
  <si>
    <t>ENSDARG00000098825</t>
  </si>
  <si>
    <t>phenylalanyl-tRNA synthetase, alpha subunit [Source:ZFIN;Acc:ZDB-GENE-050512-2]</t>
  </si>
  <si>
    <t>psmd11a</t>
  </si>
  <si>
    <t>ENSDARG00000060150</t>
  </si>
  <si>
    <t>proteasome 26S subunit, non-ATPase 11a [Source:ZFIN;Acc:ZDB-GENE-030131-2711]</t>
  </si>
  <si>
    <t>elavl1</t>
  </si>
  <si>
    <t>ENSDARG00000038695</t>
  </si>
  <si>
    <t>ELAV like RNA binding protein 1 [Source:ZFIN;Acc:ZDB-GENE-990415-245]</t>
  </si>
  <si>
    <t>kpna2</t>
  </si>
  <si>
    <t>ENSDARG00000038066</t>
  </si>
  <si>
    <t>karyopherin alpha 2 (RAG cohort 1, importin alpha 1) [Source:ZFIN;Acc:ZDB-GENE-040718-22]</t>
  </si>
  <si>
    <t>lmo4b</t>
  </si>
  <si>
    <t>ENSDARG00000054749</t>
  </si>
  <si>
    <t>LIM domain only 4b [Source:ZFIN;Acc:ZDB-GENE-030131-3570]</t>
  </si>
  <si>
    <t>eif2s1b</t>
  </si>
  <si>
    <t>ENSDARG00000052178</t>
  </si>
  <si>
    <t>eukaryotic translation initiation factor 2, subunit 1 alpha b [Source:ZFIN;Acc:ZDB-GENE-030131-283]</t>
  </si>
  <si>
    <t>coa3a</t>
  </si>
  <si>
    <t>ENSDARG00000100585</t>
  </si>
  <si>
    <t>cytochrome C oxidase assembly factor 3a [Source:ZFIN;Acc:ZDB-GENE-060810-187]</t>
  </si>
  <si>
    <t>hnrnpa1a</t>
  </si>
  <si>
    <t>ENSDARG00000011020</t>
  </si>
  <si>
    <t>heterogeneous nuclear ribonucleoprotein A1a [Source:ZFIN;Acc:ZDB-GENE-040426-1546]</t>
  </si>
  <si>
    <t>timm23a</t>
  </si>
  <si>
    <t>ENSDARG00000071396</t>
  </si>
  <si>
    <t>translocase of inner mitochondrial membrane 23 homolog a (yeast) [Source:ZFIN;Acc:ZDB-GENE-020419-17]</t>
  </si>
  <si>
    <t>med18</t>
  </si>
  <si>
    <t>ENSDARG00000041237</t>
  </si>
  <si>
    <t>mediator of RNA polymerase II transcription, subunit 18 homolog (yeast) [Source:ZFIN;Acc:ZDB-GENE-040426-1276]</t>
  </si>
  <si>
    <t>smim8</t>
  </si>
  <si>
    <t>ENSDARG00000071040</t>
  </si>
  <si>
    <t>small integral membrane protein 8 [Source:ZFIN;Acc:ZDB-GENE-050522-423]</t>
  </si>
  <si>
    <t>ewsr1a</t>
  </si>
  <si>
    <t>ENSDARG00000020258</t>
  </si>
  <si>
    <t>EWS RNA-binding protein 1a [Source:ZFIN;Acc:ZDB-GENE-030131-2317]</t>
  </si>
  <si>
    <t>pfdn2</t>
  </si>
  <si>
    <t>ENSDARG00000025391</t>
  </si>
  <si>
    <t>prefoldin subunit 2 [Source:ZFIN;Acc:ZDB-GENE-060519-27]</t>
  </si>
  <si>
    <t>mrpl28</t>
  </si>
  <si>
    <t>ENSDARG00000057805</t>
  </si>
  <si>
    <t>mitochondrial ribosomal protein L28 [Source:ZFIN;Acc:ZDB-GENE-050522-113]</t>
  </si>
  <si>
    <t>hnrpkl</t>
  </si>
  <si>
    <t>ENSDARG00000007034</t>
  </si>
  <si>
    <t>heterogeneous nuclear ribonucleoprotein K, like [Source:ZFIN;Acc:ZDB-GENE-040426-1923]</t>
  </si>
  <si>
    <t>rqcd1</t>
  </si>
  <si>
    <t>ENSDARG00000033855</t>
  </si>
  <si>
    <t>RCD1 required for cell differentiation1 homolog (S. pombe) [Source:ZFIN;Acc:ZDB-GENE-030131-1558]</t>
  </si>
  <si>
    <t>tcp11l2</t>
  </si>
  <si>
    <t>ENSDARG00000027316</t>
  </si>
  <si>
    <t>t-complex 11, testis-specific-like 2 [Source:ZFIN;Acc:ZDB-GENE-040426-1956]</t>
  </si>
  <si>
    <t>plaa</t>
  </si>
  <si>
    <t>ENSDARG00000042728</t>
  </si>
  <si>
    <t>phospholipase A2-activating protein [Source:ZFIN;Acc:ZDB-GENE-030826-13]</t>
  </si>
  <si>
    <t>gtf2h3</t>
  </si>
  <si>
    <t>ENSDARG00000067560</t>
  </si>
  <si>
    <t>general transcription factor IIH, polypeptide 3 [Source:ZFIN;Acc:ZDB-GENE-040718-302]</t>
  </si>
  <si>
    <t>pdcd5</t>
  </si>
  <si>
    <t>ENSDARG00000026072</t>
  </si>
  <si>
    <t>programmed cell death 5 [Source:ZFIN;Acc:ZDB-GENE-040426-980]</t>
  </si>
  <si>
    <t>dcaf7</t>
  </si>
  <si>
    <t>ENSDARG00000054355</t>
  </si>
  <si>
    <t>ddb1 and cul4 associated factor 7 [Source:ZFIN;Acc:ZDB-GENE-030131-9511]</t>
  </si>
  <si>
    <t>meaf6</t>
  </si>
  <si>
    <t>ENSDARG00000101216</t>
  </si>
  <si>
    <t>MYST/Esa1-associated factor 6 [Source:ZFIN;Acc:ZDB-GENE-040808-12]</t>
  </si>
  <si>
    <t>med4</t>
  </si>
  <si>
    <t>ENSDARG00000041503</t>
  </si>
  <si>
    <t>mediator complex subunit 4 [Source:ZFIN;Acc:ZDB-GENE-050417-438]</t>
  </si>
  <si>
    <t>srsf1a</t>
  </si>
  <si>
    <t>ENSDARG00000057691</t>
  </si>
  <si>
    <t>serine/arginine-rich splicing factor 1a [Source:ZFIN;Acc:ZDB-GENE-040426-1950]</t>
  </si>
  <si>
    <t>mrps26</t>
  </si>
  <si>
    <t>ENSDARG00000039719</t>
  </si>
  <si>
    <t>mitochondrial ribosomal protein S26 [Source:ZFIN;Acc:ZDB-GENE-040718-115]</t>
  </si>
  <si>
    <t>ppp1caa</t>
  </si>
  <si>
    <t>ENSDARG00000003486</t>
  </si>
  <si>
    <t>protein phosphatase 1, catalytic subunit, alpha isozyme a [Source:ZFIN;Acc:ZDB-GENE-040516-3]</t>
  </si>
  <si>
    <t>HIKESHI</t>
  </si>
  <si>
    <t>ENSDARG00000104071</t>
  </si>
  <si>
    <t>zgc:110091 [Source:ZFIN;Acc:ZDB-GENE-050417-34]</t>
  </si>
  <si>
    <t>ube2v2</t>
  </si>
  <si>
    <t>ENSDARG00000028198</t>
  </si>
  <si>
    <t>ubiquitin-conjugating enzyme E2 variant 2 [Source:ZFIN;Acc:ZDB-GENE-040426-2919]</t>
  </si>
  <si>
    <t>eif3g</t>
  </si>
  <si>
    <t>ENSDARG00000016889</t>
  </si>
  <si>
    <t>eukaryotic translation initiation factor 3, subunit G [Source:ZFIN;Acc:ZDB-GENE-040426-1076]</t>
  </si>
  <si>
    <t>rbmx</t>
  </si>
  <si>
    <t>ENSDARG00000014244</t>
  </si>
  <si>
    <t>RNA binding motif protein, X-linked [Source:ZFIN;Acc:ZDB-GENE-030131-579]</t>
  </si>
  <si>
    <t>ube2d1b</t>
  </si>
  <si>
    <t>ENSDARG00000038576</t>
  </si>
  <si>
    <t>ubiquitin-conjugating enzyme E2D 1b [Source:ZFIN;Acc:ZDB-GENE-030131-2735]</t>
  </si>
  <si>
    <t>pgam5</t>
  </si>
  <si>
    <t>ENSDARG00000035608</t>
  </si>
  <si>
    <t>PGAM family member 5, serine/threonine protein phosphatase, mitochondrial [Source:ZFIN;Acc:ZDB-GENE-030131-683]</t>
  </si>
  <si>
    <t>imp3</t>
  </si>
  <si>
    <t>ENSDARG00000069287</t>
  </si>
  <si>
    <t>IMP3, U3 small nucleolar ribonucleoprotein, homolog (yeast) [Source:ZFIN;Acc:ZDB-GENE-040426-1062]</t>
  </si>
  <si>
    <t>dnajc8</t>
  </si>
  <si>
    <t>ENSDARG00000059373</t>
  </si>
  <si>
    <t>DnaJ (Hsp40) homolog, subfamily C, member 8 [Source:ZFIN;Acc:ZDB-GENE-030131-66]</t>
  </si>
  <si>
    <t>gng5</t>
  </si>
  <si>
    <t>ENSDARG00000039830</t>
  </si>
  <si>
    <t>guanine nucleotide binding protein (G protein), gamma 5 [Source:ZFIN;Acc:ZDB-GENE-030131-9966]</t>
  </si>
  <si>
    <t>blmh</t>
  </si>
  <si>
    <t>ENSDARG00000025977</t>
  </si>
  <si>
    <t>bleomycin hydrolase [Source:ZFIN;Acc:ZDB-GENE-030131-8485]</t>
  </si>
  <si>
    <t>stra13</t>
  </si>
  <si>
    <t>ENSDARG00000089291</t>
  </si>
  <si>
    <t>stimulated by retinoic acid 13 homolog (mouse) [Source:ZFIN;Acc:ZDB-GENE-110411-78]</t>
  </si>
  <si>
    <t>top1l</t>
  </si>
  <si>
    <t>ENSDARG00000070545</t>
  </si>
  <si>
    <t>topoisomerase (DNA) I, like [Source:ZFIN;Acc:ZDB-GENE-060616-217]</t>
  </si>
  <si>
    <t>pdap1a</t>
  </si>
  <si>
    <t>ENSDARG00000092546</t>
  </si>
  <si>
    <t>pdgfa associated protein 1a [Source:ZFIN;Acc:ZDB-GENE-030131-1693]</t>
  </si>
  <si>
    <t>pdia4</t>
  </si>
  <si>
    <t>ENSDARG00000018491</t>
  </si>
  <si>
    <t>protein disulfide isomerase family A, member 4 [Source:ZFIN;Acc:ZDB-GENE-030131-5493]</t>
  </si>
  <si>
    <t>krt8</t>
  </si>
  <si>
    <t>ENSDARG00000058358</t>
  </si>
  <si>
    <t>keratin 8 [Source:ZFIN;Acc:ZDB-GENE-030411-5]</t>
  </si>
  <si>
    <t>ndufaf4</t>
  </si>
  <si>
    <t>ENSDARG00000077859</t>
  </si>
  <si>
    <t>NADH dehydrogenase (ubiquinone) complex I, assembly factor 4 [Source:ZFIN;Acc:ZDB-GENE-060810-114]</t>
  </si>
  <si>
    <t>thumpd1</t>
  </si>
  <si>
    <t>ENSDARG00000100264</t>
  </si>
  <si>
    <t>THUMP domain containing 1 [Source:ZFIN;Acc:ZDB-GENE-040426-1805]</t>
  </si>
  <si>
    <t>rhebl1</t>
  </si>
  <si>
    <t>ENSDARG00000039162</t>
  </si>
  <si>
    <t>Ras homolog enriched in brain like 1 [Source:ZFIN;Acc:ZDB-GENE-000510-1]</t>
  </si>
  <si>
    <t>zgc:193505</t>
  </si>
  <si>
    <t>ENSDARG00000093584</t>
  </si>
  <si>
    <t>zgc:193505 [Source:ZFIN;Acc:ZDB-GENE-030131-7103]</t>
  </si>
  <si>
    <t>tmem120a</t>
  </si>
  <si>
    <t>ENSDARG00000030914</t>
  </si>
  <si>
    <t>transmembrane protein 120A [Source:ZFIN;Acc:ZDB-GENE-070424-21]</t>
  </si>
  <si>
    <t>prpf39</t>
  </si>
  <si>
    <t>ENSDARG00000100209</t>
  </si>
  <si>
    <t>PRP39 pre-mRNA processing factor 39 homolog (yeast) [Source:ZFIN;Acc:ZDB-GENE-030616-420]</t>
  </si>
  <si>
    <t>nutf2</t>
  </si>
  <si>
    <t>ENSDARG00000056531</t>
  </si>
  <si>
    <t>nuclear transport factor 2 [Source:ZFIN;Acc:ZDB-GENE-041010-77]</t>
  </si>
  <si>
    <t>bcl7a</t>
  </si>
  <si>
    <t>ENSDARG00000052907</t>
  </si>
  <si>
    <t>B-cell CLL/lymphoma 7A [Source:ZFIN;Acc:ZDB-GENE-000607-16]</t>
  </si>
  <si>
    <t>med28</t>
  </si>
  <si>
    <t>ENSDARG00000037410</t>
  </si>
  <si>
    <t>mediator complex subunit 28 [Source:ZFIN;Acc:ZDB-GENE-041121-4]</t>
  </si>
  <si>
    <t>sap30l</t>
  </si>
  <si>
    <t>ENSDARG00000030213</t>
  </si>
  <si>
    <t>sap30-like [Source:ZFIN;Acc:ZDB-GENE-030131-5287]</t>
  </si>
  <si>
    <t>cdkn2aipnl</t>
  </si>
  <si>
    <t>ENSDARG00000053395</t>
  </si>
  <si>
    <t>CDKN2A interacting protein N-terminal like [Source:ZFIN;Acc:ZDB-GENE-041010-154]</t>
  </si>
  <si>
    <t>tmed7</t>
  </si>
  <si>
    <t>ENSDARG00000046022</t>
  </si>
  <si>
    <t>transmembrane p24 trafficking protein 7 [Source:ZFIN;Acc:ZDB-GENE-040426-2570]</t>
  </si>
  <si>
    <t>smn1</t>
  </si>
  <si>
    <t>ENSDARG00000018494</t>
  </si>
  <si>
    <t>survival of motor neuron 1, telomeric [Source:ZFIN;Acc:ZDB-GENE-990715-16]</t>
  </si>
  <si>
    <t>litaf</t>
  </si>
  <si>
    <t>ENSDARG00000103483</t>
  </si>
  <si>
    <t>lipopolysaccharide-induced TNF factor [Source:ZFIN;Acc:ZDB-GENE-040704-23]</t>
  </si>
  <si>
    <t>otub1a</t>
  </si>
  <si>
    <t>ENSDARG00000055536</t>
  </si>
  <si>
    <t>OTU deubiquitinase, ubiquitin aldehyde binding 1a [Source:ZFIN;Acc:ZDB-GENE-040718-108]</t>
  </si>
  <si>
    <t>EIF1B</t>
  </si>
  <si>
    <t>ENSDARG00000029445</t>
  </si>
  <si>
    <t>zgc:56676 [Source:ZFIN;Acc:ZDB-GENE-040426-1109]</t>
  </si>
  <si>
    <t>emc10</t>
  </si>
  <si>
    <t>ENSDARG00000054793</t>
  </si>
  <si>
    <t>ER membrane protein complex subunit 10 [Source:ZFIN;Acc:ZDB-GENE-030131-9045]</t>
  </si>
  <si>
    <t>zmat2</t>
  </si>
  <si>
    <t>ENSDARG00000004956</t>
  </si>
  <si>
    <t>zinc finger, matrin-type 2 [Source:ZFIN;Acc:ZDB-GENE-030131-3197]</t>
  </si>
  <si>
    <t>kifc3</t>
  </si>
  <si>
    <t>ENSDARG00000054978</t>
  </si>
  <si>
    <t>kinesin family member C3 [Source:ZFIN;Acc:ZDB-GENE-030131-3724]</t>
  </si>
  <si>
    <t>zgc:77056</t>
  </si>
  <si>
    <t>ENSDARG00000029615</t>
  </si>
  <si>
    <t>zgc:77056 [Source:ZFIN;Acc:ZDB-GENE-030131-5248]</t>
  </si>
  <si>
    <t>mrps22</t>
  </si>
  <si>
    <t>ENSDARG00000018073</t>
  </si>
  <si>
    <t>mitochondrial ribosomal protein S22 [Source:ZFIN;Acc:ZDB-GENE-070615-31]</t>
  </si>
  <si>
    <t>hist2h2l</t>
  </si>
  <si>
    <t>ENSDARG00000068996</t>
  </si>
  <si>
    <t>histone 2, H2, like [Source:ZFIN;Acc:ZDB-GENE-031118-36]</t>
  </si>
  <si>
    <t>arl4cb</t>
  </si>
  <si>
    <t>ENSDARG00000032708</t>
  </si>
  <si>
    <t>ADP-ribosylation factor-like 4Cb [Source:ZFIN;Acc:ZDB-GENE-040426-2382]</t>
  </si>
  <si>
    <t>ss18l2</t>
  </si>
  <si>
    <t>ENSDARG00000101085</t>
  </si>
  <si>
    <t>synovial sarcoma translocation gene on chromosome 18-like 2 [Source:ZFIN;Acc:ZDB-GENE-050417-268]</t>
  </si>
  <si>
    <t>kif22</t>
  </si>
  <si>
    <t>ENSDARG00000102624</t>
  </si>
  <si>
    <t>kinesin family member 22 [Source:ZFIN;Acc:ZDB-GENE-080204-34]</t>
  </si>
  <si>
    <t>uba52</t>
  </si>
  <si>
    <t>ENSDARG00000041435</t>
  </si>
  <si>
    <t>ubiquitin A-52 residue ribosomal protein fusion product 1 [Source:ZFIN;Acc:ZDB-GENE-051023-7]</t>
  </si>
  <si>
    <t>bod1</t>
  </si>
  <si>
    <t>ENSDARG00000103922</t>
  </si>
  <si>
    <t>biorientation of chromosomes in cell division 1 [Source:ZFIN;Acc:ZDB-GENE-060810-163]</t>
  </si>
  <si>
    <t>u2af2a</t>
  </si>
  <si>
    <t>ENSDARG00000012505</t>
  </si>
  <si>
    <t>U2 small nuclear RNA auxiliary factor 2a [Source:ZFIN;Acc:ZDB-GENE-050706-131]</t>
  </si>
  <si>
    <t>cops7a</t>
  </si>
  <si>
    <t>ENSDARG00000022788</t>
  </si>
  <si>
    <t>COP9 constitutive photomorphogenic homolog subunit 7A [Source:ZFIN;Acc:ZDB-GENE-030131-8680]</t>
  </si>
  <si>
    <t>akirin2</t>
  </si>
  <si>
    <t>ENSDARG00000058729</t>
  </si>
  <si>
    <t>akirin 2 [Source:ZFIN;Acc:ZDB-GENE-040426-2944]</t>
  </si>
  <si>
    <t>dbnla</t>
  </si>
  <si>
    <t>ENSDARG00000008170</t>
  </si>
  <si>
    <t>drebrin-like a [Source:ZFIN;Acc:ZDB-GENE-040704-42]</t>
  </si>
  <si>
    <t>tardbpl</t>
  </si>
  <si>
    <t>ENSDARG00000004452</t>
  </si>
  <si>
    <t>TAR DNA binding protein, like [Source:ZFIN;Acc:ZDB-GENE-031030-1]</t>
  </si>
  <si>
    <t>luc7l</t>
  </si>
  <si>
    <t>ENSDARG00000055903</t>
  </si>
  <si>
    <t>LUC7-like (S. cerevisiae) [Source:ZFIN;Acc:ZDB-GENE-040625-111]</t>
  </si>
  <si>
    <t>mta2</t>
  </si>
  <si>
    <t>ENSDARG00000013031</t>
  </si>
  <si>
    <t>metastasis associated 1 family, member 2 [Source:ZFIN;Acc:ZDB-GENE-030131-4803]</t>
  </si>
  <si>
    <t>tanc2a</t>
  </si>
  <si>
    <t>ENSDARG00000079097</t>
  </si>
  <si>
    <t>tetratricopeptide repeat, ankyrin repeat and coiled-coil containing 2a [Source:ZFIN;Acc:ZDB-GENE-060130-180]</t>
  </si>
  <si>
    <t>ptrh2</t>
  </si>
  <si>
    <t>ENSDARG00000077339</t>
  </si>
  <si>
    <t>peptidyl-tRNA hydrolase 2 [Source:ZFIN;Acc:ZDB-GENE-050522-163]</t>
  </si>
  <si>
    <t>ppm1g</t>
  </si>
  <si>
    <t>ENSDARG00000075559</t>
  </si>
  <si>
    <t>protein phosphatase, Mg2+/Mn2+ dependent, 1G [Source:ZFIN;Acc:ZDB-GENE-030425-4]</t>
  </si>
  <si>
    <t>elp6</t>
  </si>
  <si>
    <t>ENSDARG00000060445</t>
  </si>
  <si>
    <t>elongator acetyltransferase complex subunit 6 [Source:ZFIN;Acc:ZDB-GENE-060825-249]</t>
  </si>
  <si>
    <t>cnih1</t>
  </si>
  <si>
    <t>ENSDARG00000020311</t>
  </si>
  <si>
    <t>cornichon family AMPA receptor auxiliary protein 1 [Source:ZFIN;Acc:ZDB-GENE-040426-1944]</t>
  </si>
  <si>
    <t>sarnp</t>
  </si>
  <si>
    <t>ENSDARG00000059357</t>
  </si>
  <si>
    <t>SAP domain containing ribonucleoprotein [Source:ZFIN;Acc:ZDB-GENE-050522-161]</t>
  </si>
  <si>
    <t>eya4</t>
  </si>
  <si>
    <t>ENSDARG00000012397</t>
  </si>
  <si>
    <t>EYA transcriptional coactivator and phosphatase 4 [Source:ZFIN;Acc:ZDB-GENE-050327-93]</t>
  </si>
  <si>
    <t>drap1</t>
  </si>
  <si>
    <t>ENSDARG00000041203</t>
  </si>
  <si>
    <t>DR1-associated protein 1 (negative cofactor 2 alpha) [Source:ZFIN;Acc:ZDB-GENE-030131-400]</t>
  </si>
  <si>
    <t>psme3</t>
  </si>
  <si>
    <t>ENSDARG00000012234</t>
  </si>
  <si>
    <t>proteasome activator subunit 3 [Source:ZFIN;Acc:ZDB-GENE-991110-19]</t>
  </si>
  <si>
    <t>ubl7b</t>
  </si>
  <si>
    <t>ENSDARG00000040286</t>
  </si>
  <si>
    <t>ubiquitin-like 7b (bone marrow stromal cell-derived) [Source:ZFIN;Acc:ZDB-GENE-040426-1334]</t>
  </si>
  <si>
    <t>vdac2</t>
  </si>
  <si>
    <t>ENSDARG00000013623</t>
  </si>
  <si>
    <t>voltage-dependent anion channel 2 [Source:ZFIN;Acc:ZDB-GENE-030131-845]</t>
  </si>
  <si>
    <t>zgc:153675</t>
  </si>
  <si>
    <t>ENSDARG00000071555</t>
  </si>
  <si>
    <t>zgc:153675 [Source:ZFIN;Acc:ZDB-GENE-061013-567]</t>
  </si>
  <si>
    <t>tomm20b</t>
  </si>
  <si>
    <t>ENSDARG00000103566</t>
  </si>
  <si>
    <t>translocase of outer mitochondrial membrane 20b [Source:ZFIN;Acc:ZDB-GENE-040718-451]</t>
  </si>
  <si>
    <t>cks1b</t>
  </si>
  <si>
    <t>ENSDARG00000007971</t>
  </si>
  <si>
    <t>CDC28 protein kinase regulatory subunit 1B [Source:ZFIN;Acc:ZDB-GENE-040801-112]</t>
  </si>
  <si>
    <t>zgc:91910</t>
  </si>
  <si>
    <t>ENSDARG00000035678</t>
  </si>
  <si>
    <t>zgc:91910 [Source:ZFIN;Acc:ZDB-GENE-040808-48]</t>
  </si>
  <si>
    <t>ube2ib</t>
  </si>
  <si>
    <t>ENSDARG00000007438</t>
  </si>
  <si>
    <t>ubiquitin-conjugating enzyme E2Ib [Source:ZFIN;Acc:ZDB-GENE-990614-17]</t>
  </si>
  <si>
    <t>mrpl48</t>
  </si>
  <si>
    <t>ENSDARG00000035167</t>
  </si>
  <si>
    <t>mitochondrial ribosomal protein L48 [Source:ZFIN;Acc:ZDB-GENE-041008-125]</t>
  </si>
  <si>
    <t>srsf6b</t>
  </si>
  <si>
    <t>ENSDARG00000016783</t>
  </si>
  <si>
    <t>serine/arginine-rich splicing factor 6b [Source:ZFIN;Acc:ZDB-GENE-041219-1]</t>
  </si>
  <si>
    <t>cbx3a</t>
  </si>
  <si>
    <t>ENSDARG00000003860</t>
  </si>
  <si>
    <t>chromobox homolog 3a (HP1 gamma homolog, Drosophila) [Source:ZFIN;Acc:ZDB-GENE-030131-1158]</t>
  </si>
  <si>
    <t>dydc2</t>
  </si>
  <si>
    <t>ENSDARG00000101848</t>
  </si>
  <si>
    <t>DPY30 domain containing 2 [Source:ZFIN;Acc:ZDB-GENE-121030-3]</t>
  </si>
  <si>
    <t>dtd1</t>
  </si>
  <si>
    <t>ENSDARG00000044628</t>
  </si>
  <si>
    <t>D-tyrosyl-tRNA deacylase 1 [Source:ZFIN;Acc:ZDB-GENE-040801-175]</t>
  </si>
  <si>
    <t>smndc1</t>
  </si>
  <si>
    <t>ENSDARG00000056235</t>
  </si>
  <si>
    <t>survival motor neuron domain containing 1 [Source:ZFIN;Acc:ZDB-GENE-030131-614]</t>
  </si>
  <si>
    <t>polr2k</t>
  </si>
  <si>
    <t>ENSDARG00000075616</t>
  </si>
  <si>
    <t>polymerase (RNA) II (DNA directed) polypeptide K [Source:ZFIN;Acc:ZDB-GENE-070820-18]</t>
  </si>
  <si>
    <t>pcbp2</t>
  </si>
  <si>
    <t>ENSDARG00000099039</t>
  </si>
  <si>
    <t>poly(rC) binding protein 2 [Source:ZFIN;Acc:ZDB-GENE-030131-563]</t>
  </si>
  <si>
    <t>uck2a</t>
  </si>
  <si>
    <t>ENSDARG00000006074</t>
  </si>
  <si>
    <t>uridine-cytidine kinase 2a [Source:ZFIN;Acc:ZDB-GENE-030131-7158]</t>
  </si>
  <si>
    <t>phf10</t>
  </si>
  <si>
    <t>ENSDARG00000070084</t>
  </si>
  <si>
    <t>PHD finger protein 10 [Source:ZFIN;Acc:ZDB-GENE-040426-1573]</t>
  </si>
  <si>
    <t>eif1axb</t>
  </si>
  <si>
    <t>ENSDARG00000057912</t>
  </si>
  <si>
    <t>eukaryotic translation initiation factor 1A, X-linked, b [Source:ZFIN;Acc:ZDB-GENE-030131-1319]</t>
  </si>
  <si>
    <t>fuca1.1</t>
  </si>
  <si>
    <t>ENSDARG00000035890</t>
  </si>
  <si>
    <t>fucosidase, alpha-L- 1, tissue, tandem duplicate 1 [Source:ZFIN;Acc:ZDB-GENE-030131-7434]</t>
  </si>
  <si>
    <t>hspa4b</t>
  </si>
  <si>
    <t>ENSDARG00000018989</t>
  </si>
  <si>
    <t>heat shock protein 4b [Source:ZFIN;Acc:ZDB-GENE-030131-6018]</t>
  </si>
  <si>
    <t>hmgn7</t>
  </si>
  <si>
    <t>ENSDARG00000062326</t>
  </si>
  <si>
    <t>high mobility group nucleosomal binding domain 7 [Source:ZFIN;Acc:ZDB-GENE-061215-23]</t>
  </si>
  <si>
    <t>cdca8</t>
  </si>
  <si>
    <t>ENSDARG00000043137</t>
  </si>
  <si>
    <t>cell division cycle associated 8 [Source:ZFIN;Acc:ZDB-GENE-041114-171]</t>
  </si>
  <si>
    <t>serpine2</t>
  </si>
  <si>
    <t>ENSDARG00000029353</t>
  </si>
  <si>
    <t>serpin peptidase inhibitor, clade E (nexin, plasminogen activator inhibitor type 1), member 2 [Source:ZFIN;Acc:ZDB-GENE-040426-848]</t>
  </si>
  <si>
    <t>pank2</t>
  </si>
  <si>
    <t>ENSDARG00000003311</t>
  </si>
  <si>
    <t>pantothenate kinase 2 [Source:ZFIN;Acc:ZDB-GENE-070112-1952]</t>
  </si>
  <si>
    <t>ralab</t>
  </si>
  <si>
    <t>ENSDARG00000016253</t>
  </si>
  <si>
    <t>v-ral simian leukemia viral oncogene homolog Ab (ras related) [Source:ZFIN;Acc:ZDB-GENE-041114-195]</t>
  </si>
  <si>
    <t>hspa9</t>
  </si>
  <si>
    <t>ENSDARG00000003035</t>
  </si>
  <si>
    <t>heat shock protein 9 [Source:ZFIN;Acc:ZDB-GENE-030828-12]</t>
  </si>
  <si>
    <t>pin4</t>
  </si>
  <si>
    <t>ENSDARG00000004527</t>
  </si>
  <si>
    <t>protein (peptidylprolyl cis/trans isomerase) NIMA-interacting, 4 (parvulin) [Source:ZFIN;Acc:ZDB-GENE-050522-117]</t>
  </si>
  <si>
    <t>snap23.1</t>
  </si>
  <si>
    <t>ENSDARG00000012874</t>
  </si>
  <si>
    <t>synaptosomal-associated protein 23.1 [Source:ZFIN;Acc:ZDB-GENE-040426-883]</t>
  </si>
  <si>
    <t>CABZ01068248.1</t>
  </si>
  <si>
    <t>ENSDARG00000101347</t>
  </si>
  <si>
    <t>itm2bb</t>
  </si>
  <si>
    <t>ENSDARG00000041505</t>
  </si>
  <si>
    <t>integral membrane protein 2Bb [Source:ZFIN;Acc:ZDB-GENE-040426-2139]</t>
  </si>
  <si>
    <t>csnk2a1</t>
  </si>
  <si>
    <t>ENSDARG00000002082</t>
  </si>
  <si>
    <t>casein kinase 2, alpha 1 polypeptide [Source:ZFIN;Acc:ZDB-GENE-990415-27]</t>
  </si>
  <si>
    <t>pfkfb4b</t>
  </si>
  <si>
    <t>ENSDARG00000029075</t>
  </si>
  <si>
    <t>6-phosphofructo-2-kinase/fructose-2,6-biphosphatase 4b [Source:ZFIN;Acc:ZDB-GENE-031031-4]</t>
  </si>
  <si>
    <t>znf346</t>
  </si>
  <si>
    <t>ENSDARG00000060695</t>
  </si>
  <si>
    <t>zinc finger protein 346 [Source:ZFIN;Acc:ZDB-GENE-070209-152]</t>
  </si>
  <si>
    <t>uqcrb</t>
  </si>
  <si>
    <t>ENSDARG00000011146</t>
  </si>
  <si>
    <t>ubiquinol-cytochrome c reductase binding protein [Source:ZFIN;Acc:ZDB-GENE-050522-542]</t>
  </si>
  <si>
    <t>si:ch211-194k22.8</t>
  </si>
  <si>
    <t>ENSDARG00000096711</t>
  </si>
  <si>
    <t>si:ch211-194k22.8 [Source:ZFIN;Acc:ZDB-GENE-030131-1820]</t>
  </si>
  <si>
    <t>blcap</t>
  </si>
  <si>
    <t>ENSDARG00000052073</t>
  </si>
  <si>
    <t>bladder cancer associated protein [Source:ZFIN;Acc:ZDB-GENE-000330-7]</t>
  </si>
  <si>
    <t>fkbp4</t>
  </si>
  <si>
    <t>ENSDARG00000008447</t>
  </si>
  <si>
    <t>FK506 binding protein 4 [Source:ZFIN;Acc:ZDB-GENE-030131-514]</t>
  </si>
  <si>
    <t>srsf11</t>
  </si>
  <si>
    <t>ENSDARG00000098574</t>
  </si>
  <si>
    <t>serine/arginine-rich splicing factor 11 [Source:ZFIN;Acc:ZDB-GENE-030131-605]</t>
  </si>
  <si>
    <t>drg2</t>
  </si>
  <si>
    <t>ENSDARG00000006642</t>
  </si>
  <si>
    <t>developmentally regulated GTP binding protein 2 [Source:ZFIN;Acc:ZDB-GENE-040808-29]</t>
  </si>
  <si>
    <t>fxyd1</t>
  </si>
  <si>
    <t>ENSDARG00000099014</t>
  </si>
  <si>
    <t>FXYD domain containing ion transport regulator 1 (phospholemman) [Source:ZFIN;Acc:ZDB-GENE-050309-14]</t>
  </si>
  <si>
    <t>ubl3a</t>
  </si>
  <si>
    <t>ENSDARG00000099532</t>
  </si>
  <si>
    <t>ubiquitin-like 3a [Source:ZFIN;Acc:ZDB-GENE-030131-3431]</t>
  </si>
  <si>
    <t>higd1a</t>
  </si>
  <si>
    <t>ENSDARG00000022303</t>
  </si>
  <si>
    <t>HIG1 hypoxia inducible domain family, member 1A [Source:ZFIN;Acc:ZDB-GENE-030826-15]</t>
  </si>
  <si>
    <t>prpf40a</t>
  </si>
  <si>
    <t>ENSDARG00000058467</t>
  </si>
  <si>
    <t>PRP40 pre-mRNA processing factor 40 homolog A [Source:ZFIN;Acc:ZDB-GENE-030131-274]</t>
  </si>
  <si>
    <t>cbx5</t>
  </si>
  <si>
    <t>ENSDARG00000061187</t>
  </si>
  <si>
    <t>chromobox homolog 5 (HP1 alpha homolog, Drosophila) [Source:ZFIN;Acc:ZDB-GENE-030131-5553]</t>
  </si>
  <si>
    <t>spink4</t>
  </si>
  <si>
    <t>ENSDARG00000091609</t>
  </si>
  <si>
    <t>serine peptidase inhibitor, Kazal type 4 [Source:ZFIN;Acc:ZDB-GENE-130821-1]</t>
  </si>
  <si>
    <t>sf3a3</t>
  </si>
  <si>
    <t>ENSDARG00000100114</t>
  </si>
  <si>
    <t>splicing factor 3a, subunit 3 [Source:ZFIN;Acc:ZDB-GENE-040908-1]</t>
  </si>
  <si>
    <t>gfod2</t>
  </si>
  <si>
    <t>ENSDARG00000061145</t>
  </si>
  <si>
    <t>glucose-fructose oxidoreductase domain containing 2 [Source:ZFIN;Acc:ZDB-GENE-061103-64]</t>
  </si>
  <si>
    <t>yaf2</t>
  </si>
  <si>
    <t>ENSDARG00000015966</t>
  </si>
  <si>
    <t>YY1 associated factor 2 [Source:ZFIN;Acc:ZDB-GENE-041210-115]</t>
  </si>
  <si>
    <t>tmem33</t>
  </si>
  <si>
    <t>ENSDARG00000041332</t>
  </si>
  <si>
    <t>transmembrane protein 33 [Source:ZFIN;Acc:ZDB-GENE-030131-5425]</t>
  </si>
  <si>
    <t>tcea1</t>
  </si>
  <si>
    <t>ENSDARG00000003531</t>
  </si>
  <si>
    <t>transcription elongation factor A (SII), 1 [Source:ZFIN;Acc:ZDB-GENE-030131-8049]</t>
  </si>
  <si>
    <t>mtfr1l</t>
  </si>
  <si>
    <t>ENSDARG00000003940</t>
  </si>
  <si>
    <t>mitochondrial fission regulator 1-like [Source:ZFIN;Acc:ZDB-GENE-030131-6228]</t>
  </si>
  <si>
    <t>ywhae1</t>
  </si>
  <si>
    <t>ENSDARG00000006399</t>
  </si>
  <si>
    <t>tyrosine 3-monooxygenase/tryptophan 5-monooxygenase activation protein, epsilon polypeptide 1 [Source:ZFIN;Acc:ZDB-GENE-030131-779]</t>
  </si>
  <si>
    <t>mrps25</t>
  </si>
  <si>
    <t>ENSDARG00000041306</t>
  </si>
  <si>
    <t>mitochondrial ribosomal protein S25 [Source:ZFIN;Acc:ZDB-GENE-050417-52]</t>
  </si>
  <si>
    <t>lmnb2</t>
  </si>
  <si>
    <t>ENSDARG00000101624</t>
  </si>
  <si>
    <t>lamin B2 [Source:ZFIN;Acc:ZDB-GENE-990630-13]</t>
  </si>
  <si>
    <t>si:ch211-162e15.3</t>
  </si>
  <si>
    <t>ENSDARG00000104726</t>
  </si>
  <si>
    <t>si:ch211-162e15.3 [Source:ZFIN;Acc:ZDB-GENE-131121-530]</t>
  </si>
  <si>
    <t>fam20b</t>
  </si>
  <si>
    <t>ENSDARG00000008573</t>
  </si>
  <si>
    <t>family with sequence similarity 20, member B (H. sapiens) [Source:ZFIN;Acc:ZDB-GENE-040724-125]</t>
  </si>
  <si>
    <t>ms4a17a.5</t>
  </si>
  <si>
    <t>ENSDARG00000092204</t>
  </si>
  <si>
    <t>membrane-spanning 4-domains, subfamily A, member 17A.5 [Source:ZFIN;Acc:ZDB-GENE-040912-55]</t>
  </si>
  <si>
    <t>cdc40</t>
  </si>
  <si>
    <t>ENSDARG00000041226</t>
  </si>
  <si>
    <t>cell division cycle 40 homolog (S. cerevisiae) [Source:ZFIN;Acc:ZDB-GENE-050116-3]</t>
  </si>
  <si>
    <t>naa40</t>
  </si>
  <si>
    <t>ENSDARG00000024109</t>
  </si>
  <si>
    <t>N(alpha)-acetyltransferase 40, NatD catalytic subunit, homolog (S. cerevisiae) [Source:ZFIN;Acc:ZDB-GENE-050417-105]</t>
  </si>
  <si>
    <t>ilf3a</t>
  </si>
  <si>
    <t>ENSDARG00000058660</t>
  </si>
  <si>
    <t>interleukin enhancer binding factor 3a [Source:ZFIN;Acc:ZDB-GENE-030131-3151]</t>
  </si>
  <si>
    <t>fth1a</t>
  </si>
  <si>
    <t>ENSDARG00000015551</t>
  </si>
  <si>
    <t>ferritin, heavy polypeptide 1a [Source:ZFIN;Acc:ZDB-GENE-000831-2]</t>
  </si>
  <si>
    <t>ncbp2</t>
  </si>
  <si>
    <t>ENSDARG00000014898</t>
  </si>
  <si>
    <t>nuclear cap binding protein subunit 2 [Source:ZFIN;Acc:ZDB-GENE-020419-31]</t>
  </si>
  <si>
    <t>atp5ia</t>
  </si>
  <si>
    <t>ENSDARG00000078113</t>
  </si>
  <si>
    <t>ATP synthase, H+ transporting, mitochondrial Fo complex, subunit Ea [Source:ZFIN;Acc:ZDB-GENE-070928-12]</t>
  </si>
  <si>
    <t>sf3b6</t>
  </si>
  <si>
    <t>ENSDARG00000009753</t>
  </si>
  <si>
    <t>splicing factor 3b, subunit 6 [Source:ZFIN;Acc:ZDB-GENE-040625-36]</t>
  </si>
  <si>
    <t>psmg1</t>
  </si>
  <si>
    <t>ENSDARG00000040620</t>
  </si>
  <si>
    <t>proteasome (prosome, macropain) assembly chaperone 1 [Source:ZFIN;Acc:ZDB-GENE-040718-469]</t>
  </si>
  <si>
    <t>eif2b1</t>
  </si>
  <si>
    <t>ENSDARG00000091402</t>
  </si>
  <si>
    <t>eukaryotic translation initiation factor 2B, subunit 1 alpha [Source:ZFIN;Acc:ZDB-GENE-040625-25]</t>
  </si>
  <si>
    <t>midn</t>
  </si>
  <si>
    <t>ENSDARG00000018524</t>
  </si>
  <si>
    <t>midnolin [Source:ZFIN;Acc:ZDB-GENE-030131-2433]</t>
  </si>
  <si>
    <t>plscr3b</t>
  </si>
  <si>
    <t>ENSDARG00000069432</t>
  </si>
  <si>
    <t>phospholipid scramblase 3b [Source:ZFIN;Acc:ZDB-GENE-040426-2517]</t>
  </si>
  <si>
    <t>eif4a3</t>
  </si>
  <si>
    <t>ENSDARG00000102978</t>
  </si>
  <si>
    <t>eukaryotic translation initiation factor 4A3 [Source:ZFIN;Acc:ZDB-GENE-040426-915]</t>
  </si>
  <si>
    <t>lypla2</t>
  </si>
  <si>
    <t>ENSDARG00000053656</t>
  </si>
  <si>
    <t>lysophospholipase II [Source:ZFIN;Acc:ZDB-GENE-040426-1715]</t>
  </si>
  <si>
    <t>zgc:92664</t>
  </si>
  <si>
    <t>ENSDARG00000015161</t>
  </si>
  <si>
    <t>zgc:92664 [Source:ZFIN;Acc:ZDB-GENE-040718-119]</t>
  </si>
  <si>
    <t>tmprss9</t>
  </si>
  <si>
    <t>ENSDARG00000029841</t>
  </si>
  <si>
    <t>transmembrane protease, serine 9 [Source:ZFIN;Acc:ZDB-GENE-050208-573]</t>
  </si>
  <si>
    <t>mrpl24</t>
  </si>
  <si>
    <t>ENSDARG00000019222</t>
  </si>
  <si>
    <t>mitochondrial ribosomal protein L24 [Source:ZFIN;Acc:ZDB-GENE-040718-98]</t>
  </si>
  <si>
    <t>ube2v1</t>
  </si>
  <si>
    <t>ENSDARG00000041875</t>
  </si>
  <si>
    <t>ubiquitin-conjugating enzyme E2 variant 1 [Source:ZFIN;Acc:ZDB-GENE-051030-102]</t>
  </si>
  <si>
    <t>smu1a</t>
  </si>
  <si>
    <t>ENSDARG00000002538</t>
  </si>
  <si>
    <t>smu-1 suppressor of mec-8 and unc-52 homolog a (C. elegans) [Source:ZFIN;Acc:ZDB-GENE-040426-916]</t>
  </si>
  <si>
    <t>mcts1</t>
  </si>
  <si>
    <t>ENSDARG00000025972</t>
  </si>
  <si>
    <t>malignant T cell amplified sequence 1 [Source:ZFIN;Acc:ZDB-GENE-040426-957]</t>
  </si>
  <si>
    <t>hp1bp3</t>
  </si>
  <si>
    <t>ENSDARG00000044669</t>
  </si>
  <si>
    <t>heterochromatin protein 1, binding protein 3 [Source:ZFIN;Acc:ZDB-GENE-060810-79]</t>
  </si>
  <si>
    <t>eif5a</t>
  </si>
  <si>
    <t>ENSDARG00000017235</t>
  </si>
  <si>
    <t>eukaryotic translation initiation factor 5A [Source:ZFIN;Acc:ZDB-GENE-040426-2229]</t>
  </si>
  <si>
    <t>selt1a</t>
  </si>
  <si>
    <t>ENSDARG00000058354</t>
  </si>
  <si>
    <t>selenoprotein T, 1a [Source:ZFIN;Acc:ZDB-GENE-030327-6]</t>
  </si>
  <si>
    <t>sps2</t>
  </si>
  <si>
    <t>ENSDARG00000017659</t>
  </si>
  <si>
    <t>selenophosphate synthetase 2 [Source:ZFIN;Acc:ZDB-GENE-030327-5]</t>
  </si>
  <si>
    <t>tmem238a</t>
  </si>
  <si>
    <t>ENSDARG00000093684</t>
  </si>
  <si>
    <t>transmembrane protein 238a [Source:ZFIN;Acc:ZDB-GENE-060503-785]</t>
  </si>
  <si>
    <t>UBL4B</t>
  </si>
  <si>
    <t>ENSDARG00000007359</t>
  </si>
  <si>
    <t>zgc:56596 [Source:ZFIN;Acc:ZDB-GENE-040426-1089]</t>
  </si>
  <si>
    <t>mrpl52</t>
  </si>
  <si>
    <t>ENSDARG00000090568</t>
  </si>
  <si>
    <t>mitochondrial ribosomal protein L52 [Source:ZFIN;Acc:ZDB-GENE-110325-1]</t>
  </si>
  <si>
    <t>rrp12</t>
  </si>
  <si>
    <t>ENSDARG00000022410</t>
  </si>
  <si>
    <t>ribosomal RNA processing 12 homolog [Source:ZFIN;Acc:ZDB-GENE-050706-182]</t>
  </si>
  <si>
    <t>wtap</t>
  </si>
  <si>
    <t>ENSDARG00000042642</t>
  </si>
  <si>
    <t>Wilms tumor 1 associated protein [Source:ZFIN;Acc:ZDB-GENE-030131-5990]</t>
  </si>
  <si>
    <t>taf11</t>
  </si>
  <si>
    <t>ENSDARG00000037855</t>
  </si>
  <si>
    <t>TAF11 RNA polymerase II, TATA box binding protein (TBP)-associated factor [Source:ZFIN;Acc:ZDB-GENE-040718-283]</t>
  </si>
  <si>
    <t>hmgb3b</t>
  </si>
  <si>
    <t>ENSDARG00000006408</t>
  </si>
  <si>
    <t>high mobility group box 3b [Source:ZFIN;Acc:ZDB-GENE-050417-290]</t>
  </si>
  <si>
    <t>mfsd2ab</t>
  </si>
  <si>
    <t>ENSDARG00000035909</t>
  </si>
  <si>
    <t>major facilitator superfamily domain containing 2ab [Source:ZFIN;Acc:ZDB-GENE-040801-89]</t>
  </si>
  <si>
    <t>eif3ha</t>
  </si>
  <si>
    <t>ENSDARG00000102452</t>
  </si>
  <si>
    <t>eukaryotic translation initiation factor 3, subunit H, a [Source:ZFIN;Acc:ZDB-GENE-040808-19]</t>
  </si>
  <si>
    <t>cdk2ap2</t>
  </si>
  <si>
    <t>ENSDARG00000103145</t>
  </si>
  <si>
    <t>cyclin-dependent kinase 2 associated protein 2 [Source:ZFIN;Acc:ZDB-GENE-040718-35]</t>
  </si>
  <si>
    <t>hint1</t>
  </si>
  <si>
    <t>ENSDARG00000103824</t>
  </si>
  <si>
    <t>histidine triad nucleotide binding protein 1 [Source:ZFIN;Acc:ZDB-GENE-040927-8]</t>
  </si>
  <si>
    <t>tars</t>
  </si>
  <si>
    <t>ENSDARG00000013250</t>
  </si>
  <si>
    <t>threonyl-tRNA synthetase [Source:ZFIN;Acc:ZDB-GENE-041010-218]</t>
  </si>
  <si>
    <t>pdha1a</t>
  </si>
  <si>
    <t>ENSDARG00000012387</t>
  </si>
  <si>
    <t>pyruvate dehydrogenase (lipoamide) alpha 1a [Source:ZFIN;Acc:ZDB-GENE-040426-2719]</t>
  </si>
  <si>
    <t>ccdc88c</t>
  </si>
  <si>
    <t>ENSDARG00000053713</t>
  </si>
  <si>
    <t>coiled-coil domain containing 88C [Source:ZFIN;Acc:ZDB-GENE-100419-3]</t>
  </si>
  <si>
    <t>thoc1</t>
  </si>
  <si>
    <t>ENSDARG00000088246</t>
  </si>
  <si>
    <t>THO complex 1 [Source:ZFIN;Acc:ZDB-GENE-030826-9]</t>
  </si>
  <si>
    <t>txndc9</t>
  </si>
  <si>
    <t>ENSDARG00000069853</t>
  </si>
  <si>
    <t>thioredoxin domain containing 9 [Source:ZFIN;Acc:ZDB-GENE-030131-8569]</t>
  </si>
  <si>
    <t>cdkn1bb</t>
  </si>
  <si>
    <t>ENSDARG00000054271</t>
  </si>
  <si>
    <t>cyclin-dependent kinase inhibitor 1Bb [Source:ZFIN;Acc:ZDB-GENE-030521-13]</t>
  </si>
  <si>
    <t>foxq1a</t>
  </si>
  <si>
    <t>ENSDARG00000030896</t>
  </si>
  <si>
    <t>forkhead box Q1a [Source:ZFIN;Acc:ZDB-GENE-070424-74]</t>
  </si>
  <si>
    <t>rwdd1</t>
  </si>
  <si>
    <t>ENSDARG00000015930</t>
  </si>
  <si>
    <t>RWD domain containing 1 [Source:ZFIN;Acc:ZDB-GENE-040718-270]</t>
  </si>
  <si>
    <t>brd3b</t>
  </si>
  <si>
    <t>ENSDARG00000100129</t>
  </si>
  <si>
    <t>bromodomain containing 3b [Source:ZFIN;Acc:ZDB-GENE-030131-5316]</t>
  </si>
  <si>
    <t>ccdc47</t>
  </si>
  <si>
    <t>ENSDARG00000054362</t>
  </si>
  <si>
    <t>coiled-coil domain containing 47 [Source:ZFIN;Acc:ZDB-GENE-040912-15]</t>
  </si>
  <si>
    <t>atrx</t>
  </si>
  <si>
    <t>ENSDARG00000042236</t>
  </si>
  <si>
    <t>alpha thalassemia/mental retardation syndrome X-linked homolog (human) [Source:ZFIN;Acc:ZDB-GENE-030912-11]</t>
  </si>
  <si>
    <t>denr</t>
  </si>
  <si>
    <t>ENSDARG00000037229</t>
  </si>
  <si>
    <t>density-regulated protein [Source:ZFIN;Acc:ZDB-GENE-040718-450]</t>
  </si>
  <si>
    <t>stm</t>
  </si>
  <si>
    <t>ENSDARG00000035694</t>
  </si>
  <si>
    <t>starmaker [Source:ZFIN;Acc:ZDB-GENE-031112-4]</t>
  </si>
  <si>
    <t>bcas2</t>
  </si>
  <si>
    <t>ENSDARG00000043631</t>
  </si>
  <si>
    <t>breast carcinoma amplified sequence 2 [Source:ZFIN;Acc:ZDB-GENE-030408-5]</t>
  </si>
  <si>
    <t>mt-nd2</t>
  </si>
  <si>
    <t>ENSDARG00000063899</t>
  </si>
  <si>
    <t>NADH dehydrogenase 2, mitochondrial [Source:ZFIN;Acc:ZDB-GENE-011205-8]</t>
  </si>
  <si>
    <t>uba1</t>
  </si>
  <si>
    <t>ENSDARG00000037559</t>
  </si>
  <si>
    <t>ubiquitin-like modifier activating enzyme 1 [Source:ZFIN;Acc:ZDB-GENE-040426-2009]</t>
  </si>
  <si>
    <t>akap8l</t>
  </si>
  <si>
    <t>ENSDARG00000099635</t>
  </si>
  <si>
    <t>A kinase (PRKA) anchor protein 8-like [Source:ZFIN;Acc:ZDB-GENE-040426-2303]</t>
  </si>
  <si>
    <t>luc7l3</t>
  </si>
  <si>
    <t>ENSDARG00000014366</t>
  </si>
  <si>
    <t>LUC7-like 3 pre-mRNA splicing factor [Source:ZFIN;Acc:ZDB-GENE-060616-375]</t>
  </si>
  <si>
    <t>myg1</t>
  </si>
  <si>
    <t>ENSDARG00000069977</t>
  </si>
  <si>
    <t>melanocyte proliferating gene 1 [Source:ZFIN;Acc:ZDB-GENE-060312-32]</t>
  </si>
  <si>
    <t>pa2g4b</t>
  </si>
  <si>
    <t>ENSDARG00000070657</t>
  </si>
  <si>
    <t>proliferation-associated 2G4, b [Source:ZFIN;Acc:ZDB-GENE-030131-2182]</t>
  </si>
  <si>
    <t>pak1</t>
  </si>
  <si>
    <t>ENSDARG00000103959</t>
  </si>
  <si>
    <t>p21 protein (Cdc42/Rac)-activated kinase 1 [Source:ZFIN;Acc:ZDB-GENE-030826-29]</t>
  </si>
  <si>
    <t>dfna5a</t>
  </si>
  <si>
    <t>ENSDARG00000086762</t>
  </si>
  <si>
    <t>deafness, autosomal dominant 5 a [Source:ZFIN;Acc:ZDB-GENE-120215-186]</t>
  </si>
  <si>
    <t>arl14ep</t>
  </si>
  <si>
    <t>ENSDARG00000001210</t>
  </si>
  <si>
    <t>ADP-ribosylation factor-like 14 effector protein [Source:ZFIN;Acc:ZDB-GENE-060825-216]</t>
  </si>
  <si>
    <t>palld</t>
  </si>
  <si>
    <t>ENSDARG00000040009</t>
  </si>
  <si>
    <t>palladin, cytoskeletal associated protein [Source:ZFIN;Acc:ZDB-GENE-041014-252]</t>
  </si>
  <si>
    <t>cdk1</t>
  </si>
  <si>
    <t>ENSDARG00000087554</t>
  </si>
  <si>
    <t>cyclin-dependent kinase 1 [Source:ZFIN;Acc:ZDB-GENE-010320-1]</t>
  </si>
  <si>
    <t>tpx2</t>
  </si>
  <si>
    <t>ENSDARG00000078654</t>
  </si>
  <si>
    <t>TPX2, microtubule-associated, homolog (Xenopus laevis) [Source:ZFIN;Acc:ZDB-GENE-030131-9652]</t>
  </si>
  <si>
    <t>top2a</t>
  </si>
  <si>
    <t>ENSDARG00000024488</t>
  </si>
  <si>
    <t>topoisomerase (DNA) II alpha [Source:ZFIN;Acc:ZDB-GENE-030131-2453]</t>
  </si>
  <si>
    <t>aurkb</t>
  </si>
  <si>
    <t>ENSDARG00000037640</t>
  </si>
  <si>
    <t>aurora kinase B [Source:ZFIN;Acc:ZDB-GENE-020419-40]</t>
  </si>
  <si>
    <t>mibp</t>
  </si>
  <si>
    <t>ENSDARG00000101362</t>
  </si>
  <si>
    <t>muscle-specific beta 1 integrin binding protein [Source:ZFIN;Acc:ZDB-GENE-030404-1]</t>
  </si>
  <si>
    <t>ncapd2</t>
  </si>
  <si>
    <t>ENSDARG00000005058</t>
  </si>
  <si>
    <t>non-SMC condensin I complex, subunit D2 [Source:ZFIN;Acc:ZDB-GENE-050506-59]</t>
  </si>
  <si>
    <t>cenpl</t>
  </si>
  <si>
    <t>ENSDARG00000038802</t>
  </si>
  <si>
    <t>centromere protein L [Source:ZFIN;Acc:ZDB-GENE-040930-6]</t>
  </si>
  <si>
    <t>mus81</t>
  </si>
  <si>
    <t>ENSDARG00000069326</t>
  </si>
  <si>
    <t>MUS81 structure-specific endonuclease subunit [Source:ZFIN;Acc:ZDB-GENE-040426-2923]</t>
  </si>
  <si>
    <t>zgc:110540</t>
  </si>
  <si>
    <t>ENSDARG00000054929</t>
  </si>
  <si>
    <t>zgc:110540 [Source:ZFIN;Acc:ZDB-GENE-050327-77]</t>
  </si>
  <si>
    <t>cdca5</t>
  </si>
  <si>
    <t>ENSDARG00000044437</t>
  </si>
  <si>
    <t>cell division cycle associated 5 [Source:ZFIN;Acc:ZDB-GENE-030131-235]</t>
  </si>
  <si>
    <t>cenpw</t>
  </si>
  <si>
    <t>ENSDARG00000092136</t>
  </si>
  <si>
    <t>centromere protein W [Source:ZFIN;Acc:ZDB-GENE-100922-200]</t>
  </si>
  <si>
    <t>cenpf</t>
  </si>
  <si>
    <t>ENSDARG00000055133</t>
  </si>
  <si>
    <t>centromere protein F [Source:ZFIN;Acc:ZDB-GENE-041111-205]</t>
  </si>
  <si>
    <t>cenpe</t>
  </si>
  <si>
    <t>ENSDARG00000063385</t>
  </si>
  <si>
    <t>centromere protein E [Source:ZFIN;Acc:ZDB-GENE-060929-860]</t>
  </si>
  <si>
    <t>tacc3</t>
  </si>
  <si>
    <t>ENSDARG00000005454</t>
  </si>
  <si>
    <t>transforming, acidic coiled-coil containing protein 3 [Source:ZFIN;Acc:ZDB-GENE-050522-327]</t>
  </si>
  <si>
    <t>racgap1</t>
  </si>
  <si>
    <t>ENSDARG00000015460</t>
  </si>
  <si>
    <t>Rac GTPase activating protein 1 [Source:ZFIN;Acc:ZDB-GENE-030131-1917]</t>
  </si>
  <si>
    <t>nuf2</t>
  </si>
  <si>
    <t>ENSDARG00000034624</t>
  </si>
  <si>
    <t>NUF2, NDC80 kinetochore complex component, homolog [Source:ZFIN;Acc:ZDB-GENE-040426-1121]</t>
  </si>
  <si>
    <t>armc1l</t>
  </si>
  <si>
    <t>ENSDARG00000020887</t>
  </si>
  <si>
    <t>armadillo repeat containing 1, like [Source:ZFIN;Acc:ZDB-GENE-030131-9819]</t>
  </si>
  <si>
    <t>zgc:86764</t>
  </si>
  <si>
    <t>ENSDARG00000005098</t>
  </si>
  <si>
    <t>zgc:86764 [Source:ZFIN;Acc:ZDB-GENE-040718-435]</t>
  </si>
  <si>
    <t>kif18a</t>
  </si>
  <si>
    <t>ENSDARG00000008022</t>
  </si>
  <si>
    <t>kinesin family member 18A [Source:ZFIN;Acc:ZDB-GENE-040426-862]</t>
  </si>
  <si>
    <t>cenpo</t>
  </si>
  <si>
    <t>ENSDARG00000075619</t>
  </si>
  <si>
    <t>centromere protein O [Source:ZFIN;Acc:ZDB-GENE-070928-16]</t>
  </si>
  <si>
    <t>ube2t</t>
  </si>
  <si>
    <t>ENSDARG00000063285</t>
  </si>
  <si>
    <t>ubiquitin-conjugating enzyme E2T (putative) [Source:ZFIN;Acc:ZDB-GENE-061013-547]</t>
  </si>
  <si>
    <t>kiaa0101</t>
  </si>
  <si>
    <t>ENSDARG00000097691</t>
  </si>
  <si>
    <t>KIAA0101 [Source:ZFIN;Acc:ZDB-GENE-131127-543]</t>
  </si>
  <si>
    <t>h2afx</t>
  </si>
  <si>
    <t>ENSDARG00000029406</t>
  </si>
  <si>
    <t>H2A histone family, member X [Source:ZFIN;Acc:ZDB-GENE-040426-987]</t>
  </si>
  <si>
    <t>prc1a</t>
  </si>
  <si>
    <t>ENSDARG00000100918</t>
  </si>
  <si>
    <t>protein regulator of cytokinesis 1a [Source:ZFIN;Acc:ZDB-GENE-020801-3]</t>
  </si>
  <si>
    <t>si:dkey-6i22.5</t>
  </si>
  <si>
    <t>ENSDARG00000077822</t>
  </si>
  <si>
    <t>si:dkey-6i22.5 [Source:ZFIN;Acc:ZDB-GENE-050506-32]</t>
  </si>
  <si>
    <t>smc2</t>
  </si>
  <si>
    <t>ENSDARG00000017744</t>
  </si>
  <si>
    <t>structural maintenance of chromosomes 2 [Source:ZFIN;Acc:ZDB-GENE-030131-105]</t>
  </si>
  <si>
    <t>anln</t>
  </si>
  <si>
    <t>ENSDARG00000060917</t>
  </si>
  <si>
    <t>anillin, actin binding protein [Source:ZFIN;Acc:ZDB-GENE-030131-4486]</t>
  </si>
  <si>
    <t>trip13</t>
  </si>
  <si>
    <t>ENSDARG00000025043</t>
  </si>
  <si>
    <t>thyroid hormone receptor interactor 13 [Source:ZFIN;Acc:ZDB-GENE-040426-1488]</t>
  </si>
  <si>
    <t>mis12</t>
  </si>
  <si>
    <t>ENSDARG00000026454</t>
  </si>
  <si>
    <t>MIS12 kinetochore complex component [Source:ZFIN;Acc:ZDB-GENE-040426-1372]</t>
  </si>
  <si>
    <t>nsl1</t>
  </si>
  <si>
    <t>ENSDARG00000024471</t>
  </si>
  <si>
    <t>NSL1, MIS12 kinetochore complex component [Source:ZFIN;Acc:ZDB-GENE-041014-362]</t>
  </si>
  <si>
    <t>cenpn</t>
  </si>
  <si>
    <t>ENSDARG00000043640</t>
  </si>
  <si>
    <t>centromere protein N [Source:ZFIN;Acc:ZDB-GENE-030616-408]</t>
  </si>
  <si>
    <t>ccnb2</t>
  </si>
  <si>
    <t>ENSDARG00000036180</t>
  </si>
  <si>
    <t>cyclin B2 [Source:ZFIN;Acc:ZDB-GENE-030429-12]</t>
  </si>
  <si>
    <t>kif20ba</t>
  </si>
  <si>
    <t>ENSDARG00000071009</t>
  </si>
  <si>
    <t>kinesin family member 20Ba [Source:ZFIN;Acc:ZDB-GENE-041111-213]</t>
  </si>
  <si>
    <t>hmmr</t>
  </si>
  <si>
    <t>ENSDARG00000021794</t>
  </si>
  <si>
    <t>hyaluronan-mediated motility receptor (RHAMM) [Source:ZFIN;Acc:ZDB-GENE-030131-731]</t>
  </si>
  <si>
    <t>haus4</t>
  </si>
  <si>
    <t>ENSDARG00000016594</t>
  </si>
  <si>
    <t>HAUS augmin-like complex, subunit 4 [Source:ZFIN;Acc:ZDB-GENE-040718-122]</t>
  </si>
  <si>
    <t>pbk</t>
  </si>
  <si>
    <t>ENSDARG00000007221</t>
  </si>
  <si>
    <t>PDZ binding kinase [Source:ZFIN;Acc:ZDB-GENE-030523-2]</t>
  </si>
  <si>
    <t>ncaph</t>
  </si>
  <si>
    <t>ENSDARG00000061468</t>
  </si>
  <si>
    <t>non-SMC condensin I complex, subunit H [Source:ZFIN;Acc:ZDB-GENE-070112-652]</t>
  </si>
  <si>
    <t>fam83d</t>
  </si>
  <si>
    <t>ENSDARG00000077883</t>
  </si>
  <si>
    <t>family with sequence similarity 83, member D [Source:ZFIN;Acc:ZDB-GENE-041111-264]</t>
  </si>
  <si>
    <t>cdkn2c</t>
  </si>
  <si>
    <t>ENSDARG00000057610</t>
  </si>
  <si>
    <t>cyclin-dependent kinase inhibitor 2C (p18, inhibits CDK4) [Source:ZFIN;Acc:ZDB-GENE-081104-145]</t>
  </si>
  <si>
    <t>tubb2b</t>
  </si>
  <si>
    <t>ENSDARG00000098591</t>
  </si>
  <si>
    <t>tubulin, beta 2b [Source:ZFIN;Acc:ZDB-GENE-030131-722]</t>
  </si>
  <si>
    <t>kntc1</t>
  </si>
  <si>
    <t>ENSDARG00000101670</t>
  </si>
  <si>
    <t>kinetochore associated 1 [Source:ZFIN;Acc:ZDB-GENE-050208-92]</t>
  </si>
  <si>
    <t>apitd1</t>
  </si>
  <si>
    <t>ENSDARG00000070485</t>
  </si>
  <si>
    <t>apoptosis-inducing, TAF9-like domain 1 [Source:ZFIN;Acc:ZDB-GENE-080723-52]</t>
  </si>
  <si>
    <t>fbxo5</t>
  </si>
  <si>
    <t>ENSDARG00000039020</t>
  </si>
  <si>
    <t>F-box protein 5 [Source:ZFIN;Acc:ZDB-GENE-030131-4027]</t>
  </si>
  <si>
    <t>slc29a2</t>
  </si>
  <si>
    <t>ENSDARG00000001767</t>
  </si>
  <si>
    <t>solute carrier family 29 (equilibrative nucleoside transporter), member 2 [Source:ZFIN;Acc:ZDB-GENE-050220-15]</t>
  </si>
  <si>
    <t>neil3</t>
  </si>
  <si>
    <t>ENSDARG00000020079</t>
  </si>
  <si>
    <t>nei-like DNA glycosylase 3 [Source:ZFIN;Acc:ZDB-GENE-041114-18]</t>
  </si>
  <si>
    <t>arhgef39</t>
  </si>
  <si>
    <t>ENSDARG00000013476</t>
  </si>
  <si>
    <t>Rho guanine nucleotide exchange factor (GEF) 39 [Source:ZFIN;Acc:ZDB-GENE-041114-28]</t>
  </si>
  <si>
    <t>mtfr2</t>
  </si>
  <si>
    <t>ENSDARG00000060394</t>
  </si>
  <si>
    <t>mitochondrial fission regulator 2 [Source:ZFIN;Acc:ZDB-GENE-061013-398]</t>
  </si>
  <si>
    <t>zgc:153631</t>
  </si>
  <si>
    <t>ENSDARG00000068993</t>
  </si>
  <si>
    <t>zgc:153631 [Source:ZFIN;Acc:ZDB-GENE-060825-208]</t>
  </si>
  <si>
    <t>asf1ba</t>
  </si>
  <si>
    <t>ENSDARG00000101037</t>
  </si>
  <si>
    <t>anti-silencing function 1Ba histone chaperone [Source:ZFIN;Acc:ZDB-GENE-031118-197]</t>
  </si>
  <si>
    <t>prr11</t>
  </si>
  <si>
    <t>ENSDARG00000087393</t>
  </si>
  <si>
    <t>proline rich 11 [Source:ZFIN;Acc:ZDB-GENE-091118-97]</t>
  </si>
  <si>
    <t>lig1</t>
  </si>
  <si>
    <t>ENSDARG00000060041</t>
  </si>
  <si>
    <t>ligase I, DNA, ATP-dependent [Source:ZFIN;Acc:ZDB-GENE-110404-2]</t>
  </si>
  <si>
    <t>CT573476.1</t>
  </si>
  <si>
    <t>ENSDARG00000089922</t>
  </si>
  <si>
    <t>si:ch211-126c2.4</t>
  </si>
  <si>
    <t>ENSDARG00000105479</t>
  </si>
  <si>
    <t>si:ch211-126c2.4 [Source:ZFIN;Acc:ZDB-GENE-030131-3087]</t>
  </si>
  <si>
    <t>fam212b</t>
  </si>
  <si>
    <t>ENSDARG00000073900</t>
  </si>
  <si>
    <t>family with sequence similarity 212, member B [Source:ZFIN;Acc:ZDB-GENE-091230-4]</t>
  </si>
  <si>
    <t>mad2l1bp</t>
  </si>
  <si>
    <t>ENSDARG00000104943</t>
  </si>
  <si>
    <t>MAD2L1 binding protein [Source:EntrezGene;Acc:101886806]</t>
  </si>
  <si>
    <t>si:dkey-259g19.2</t>
  </si>
  <si>
    <t>ENSDARG00000097114</t>
  </si>
  <si>
    <t>si:dkey-259g19.2 [Source:ZFIN;Acc:ZDB-GENE-131119-25]</t>
  </si>
  <si>
    <t>melk</t>
  </si>
  <si>
    <t>ENSDARG00000030759</t>
  </si>
  <si>
    <t>maternal embryonic leucine zipper kinase [Source:ZFIN;Acc:ZDB-GENE-990603-5]</t>
  </si>
  <si>
    <t>ckap2l</t>
  </si>
  <si>
    <t>ENSDARG00000100573</t>
  </si>
  <si>
    <t>cytoskeleton associated protein 2-like [Source:ZFIN;Acc:ZDB-GENE-030131-6690]</t>
  </si>
  <si>
    <t>oip5</t>
  </si>
  <si>
    <t>ENSDARG00000093597</t>
  </si>
  <si>
    <t>opa interacting protein 5 [Source:ZFIN;Acc:ZDB-GENE-090313-328]</t>
  </si>
  <si>
    <t>ska1</t>
  </si>
  <si>
    <t>ENSDARG00000039354</t>
  </si>
  <si>
    <t>spindle and kinetochore associated complex subunit 1 [Source:ZFIN;Acc:ZDB-GENE-040718-334]</t>
  </si>
  <si>
    <t>pif1</t>
  </si>
  <si>
    <t>ENSDARG00000020289</t>
  </si>
  <si>
    <t>PIF1 5'-to-3' DNA helicase homolog (S. cerevisiae) [Source:ZFIN;Acc:ZDB-GENE-030131-4928]</t>
  </si>
  <si>
    <t>dek</t>
  </si>
  <si>
    <t>ENSDARG00000070108</t>
  </si>
  <si>
    <t>DEK proto-oncogene [Source:ZFIN;Acc:ZDB-GENE-060512-191]</t>
  </si>
  <si>
    <t>si:dkey-25o16.4</t>
  </si>
  <si>
    <t>ENSDARG00000096554</t>
  </si>
  <si>
    <t>si:dkey-25o16.4 [Source:ZFIN;Acc:ZDB-GENE-030131-969]</t>
  </si>
  <si>
    <t>zgc:174160</t>
  </si>
  <si>
    <t>ENSDARG00000058260</t>
  </si>
  <si>
    <t>zgc:174160 [Source:ZFIN;Acc:ZDB-GENE-030131-6252]</t>
  </si>
  <si>
    <t>gins3</t>
  </si>
  <si>
    <t>ENSDARG00000038847</t>
  </si>
  <si>
    <t>GINS complex subunit 3 [Source:ZFIN;Acc:ZDB-GENE-040721-1]</t>
  </si>
  <si>
    <t>haus1</t>
  </si>
  <si>
    <t>ENSDARG00000058968</t>
  </si>
  <si>
    <t>HAUS augmin-like complex, subunit 1 [Source:ZFIN;Acc:ZDB-GENE-091204-387]</t>
  </si>
  <si>
    <t>kif23</t>
  </si>
  <si>
    <t>ENSDARG00000014943</t>
  </si>
  <si>
    <t>kinesin family member 23 [Source:ZFIN;Acc:ZDB-GENE-991019-4]</t>
  </si>
  <si>
    <t>bub3</t>
  </si>
  <si>
    <t>ENSDARG00000075883</t>
  </si>
  <si>
    <t>BUB3 mitotic checkpoint protein [Source:ZFIN;Acc:ZDB-GENE-041010-210]</t>
  </si>
  <si>
    <t>si:ch211-225g23.1</t>
  </si>
  <si>
    <t>ENSDARG00000091271</t>
  </si>
  <si>
    <t>si:ch211-225g23.1 [Source:ZFIN;Acc:ZDB-GENE-030131-3256]</t>
  </si>
  <si>
    <t>mis18a</t>
  </si>
  <si>
    <t>ENSDARG00000035333</t>
  </si>
  <si>
    <t>MIS18 kinetochore protein A [Source:ZFIN;Acc:ZDB-GENE-091204-314]</t>
  </si>
  <si>
    <t>primpol</t>
  </si>
  <si>
    <t>ENSDARG00000033273</t>
  </si>
  <si>
    <t>primase and polymerase (DNA-directed) [Source:ZFIN;Acc:ZDB-GENE-051113-100]</t>
  </si>
  <si>
    <t>CABZ01074745.1</t>
  </si>
  <si>
    <t>ENSDARG00000102748</t>
  </si>
  <si>
    <t>bora</t>
  </si>
  <si>
    <t>ENSDARG00000042688</t>
  </si>
  <si>
    <t>bora, aurora kinase A activator [Source:ZFIN;Acc:ZDB-GENE-041114-165]</t>
  </si>
  <si>
    <t>zgc:110425</t>
  </si>
  <si>
    <t>ENSDARG00000058479</t>
  </si>
  <si>
    <t>zgc:110425 [Source:ZFIN;Acc:ZDB-GENE-050522-103]</t>
  </si>
  <si>
    <t>rrm2.1</t>
  </si>
  <si>
    <t>ENSDARG00000078069</t>
  </si>
  <si>
    <t>haus3</t>
  </si>
  <si>
    <t>ENSDARG00000061385</t>
  </si>
  <si>
    <t>HAUS augmin-like complex, subunit 3 [Source:ZFIN;Acc:ZDB-GENE-060929-592]</t>
  </si>
  <si>
    <t>gtse1</t>
  </si>
  <si>
    <t>ENSDARG00000013719</t>
  </si>
  <si>
    <t>G-2 and S-phase expressed 1 [Source:ZFIN;Acc:ZDB-GENE-050522-493]</t>
  </si>
  <si>
    <t>si:ch211-63o20.7</t>
  </si>
  <si>
    <t>ENSDARG00000042000</t>
  </si>
  <si>
    <t>si:ch211-63o20.7 [Source:ZFIN;Acc:ZDB-GENE-041001-194]</t>
  </si>
  <si>
    <t>chaf1b</t>
  </si>
  <si>
    <t>ENSDARG00000056473</t>
  </si>
  <si>
    <t>chromatin assembly factor 1, subunit B [Source:ZFIN;Acc:ZDB-GENE-040426-1947]</t>
  </si>
  <si>
    <t>atad2</t>
  </si>
  <si>
    <t>ENSDARG00000076590</t>
  </si>
  <si>
    <t>ATPase family, AAA domain containing 2 [Source:ZFIN;Acc:ZDB-GENE-030131-7003]</t>
  </si>
  <si>
    <t>depdc1a</t>
  </si>
  <si>
    <t>ENSDARG00000018165</t>
  </si>
  <si>
    <t>DEP domain containing 1a [Source:ZFIN;Acc:ZDB-GENE-030131-9827]</t>
  </si>
  <si>
    <t>kif15</t>
  </si>
  <si>
    <t>ENSDARG00000012073</t>
  </si>
  <si>
    <t>kinesin family member 15 [Source:ZFIN;Acc:ZDB-GENE-050622-16]</t>
  </si>
  <si>
    <t>si:ch1073-296i8.2</t>
  </si>
  <si>
    <t>ENSDARG00000093773</t>
  </si>
  <si>
    <t>si:ch1073-296i8.2 [Source:ZFIN;Acc:ZDB-GENE-110411-9]</t>
  </si>
  <si>
    <t>chaf1a</t>
  </si>
  <si>
    <t>ENSDARG00000062152</t>
  </si>
  <si>
    <t>chromatin assembly factor 1, subunit A (p150) [Source:ZFIN;Acc:ZDB-GENE-030131-5366]</t>
  </si>
  <si>
    <t>smc4</t>
  </si>
  <si>
    <t>ENSDARG00000038882</t>
  </si>
  <si>
    <t>structural maintenance of chromosomes 4 [Source:ZFIN;Acc:ZDB-GENE-020419-21]</t>
  </si>
  <si>
    <t>esco2</t>
  </si>
  <si>
    <t>ENSDARG00000014685</t>
  </si>
  <si>
    <t>establishment of sister chromatid cohesion N-acetyltransferase 2 [Source:ZFIN;Acc:ZDB-GENE-050913-156]</t>
  </si>
  <si>
    <t>sgol1</t>
  </si>
  <si>
    <t>ENSDARG00000103907</t>
  </si>
  <si>
    <t>shugoshin-like 1 (S. pombe) [Source:ZFIN;Acc:ZDB-GENE-070112-422]</t>
  </si>
  <si>
    <t>dck</t>
  </si>
  <si>
    <t>ENSDARG00000044807</t>
  </si>
  <si>
    <t>deoxycytidine kinase [Source:ZFIN;Acc:ZDB-GENE-041024-3]</t>
  </si>
  <si>
    <t>si:ch211-266i6.3</t>
  </si>
  <si>
    <t>ENSDARG00000086112</t>
  </si>
  <si>
    <t>si:ch211-266i6.3 [Source:ZFIN;Acc:ZDB-GENE-030131-5420]</t>
  </si>
  <si>
    <t>banf1</t>
  </si>
  <si>
    <t>ENSDARG00000037009</t>
  </si>
  <si>
    <t>barrier to autointegration factor 1 [Source:ZFIN;Acc:ZDB-GENE-030131-6657]</t>
  </si>
  <si>
    <t>espl1</t>
  </si>
  <si>
    <t>ENSDARG00000075354</t>
  </si>
  <si>
    <t>extra spindle pole bodies like 1, separase [Source:ZFIN;Acc:ZDB-GENE-030131-5188]</t>
  </si>
  <si>
    <t>wu:fb44b02</t>
  </si>
  <si>
    <t>ENSDARG00000102483</t>
  </si>
  <si>
    <t>wu:fb44b02 [Source:ZFIN;Acc:ZDB-GENE-030131-739]</t>
  </si>
  <si>
    <t>ercc6l</t>
  </si>
  <si>
    <t>ENSDARG00000002479</t>
  </si>
  <si>
    <t>excision repair cross-complementation group 6-like [Source:ZFIN;Acc:ZDB-GENE-060531-56]</t>
  </si>
  <si>
    <t>rad51ap1</t>
  </si>
  <si>
    <t>ENSDARG00000045853</t>
  </si>
  <si>
    <t>RAD51 associated protein 1 [Source:ZFIN;Acc:ZDB-GENE-050419-96]</t>
  </si>
  <si>
    <t>cenpp</t>
  </si>
  <si>
    <t>ENSDARG00000044135</t>
  </si>
  <si>
    <t>centromere protein P [Source:ZFIN;Acc:ZDB-GENE-040801-74]</t>
  </si>
  <si>
    <t>traip</t>
  </si>
  <si>
    <t>ENSDARG00000011262</t>
  </si>
  <si>
    <t>TRAF-interacting protein [Source:ZFIN;Acc:ZDB-GENE-040801-30]</t>
  </si>
  <si>
    <t>ncaph2</t>
  </si>
  <si>
    <t>ENSDARG00000033757</t>
  </si>
  <si>
    <t>non-SMC condensin II complex, subunit H2 [Source:ZFIN;Acc:ZDB-GENE-041210-172]</t>
  </si>
  <si>
    <t>bub1ba</t>
  </si>
  <si>
    <t>ENSDARG00000078825</t>
  </si>
  <si>
    <t>BUB1 mitotic checkpoint serine/threonine kinase Ba [Source:ZFIN;Acc:ZDB-GENE-041014-120]</t>
  </si>
  <si>
    <t>si:ch211-261i19.3</t>
  </si>
  <si>
    <t>ENSDARG00000097441</t>
  </si>
  <si>
    <t>si:ch211-261i19.3 [Source:ZFIN;Acc:ZDB-GENE-131121-584]</t>
  </si>
  <si>
    <t>tyms</t>
  </si>
  <si>
    <t>ENSDARG00000042894</t>
  </si>
  <si>
    <t>thymidylate synthetase [Source:ZFIN;Acc:ZDB-GENE-040426-59]</t>
  </si>
  <si>
    <t>ncapd3</t>
  </si>
  <si>
    <t>ENSDARG00000034773</t>
  </si>
  <si>
    <t>non-SMC condensin II complex, subunit D3 [Source:ZFIN;Acc:ZDB-GENE-040426-737]</t>
  </si>
  <si>
    <t>casc5</t>
  </si>
  <si>
    <t>ENSDARG00000070239</t>
  </si>
  <si>
    <t>cancer susceptibility candidate 5 [Source:ZFIN;Acc:ZDB-GENE-030131-5437]</t>
  </si>
  <si>
    <t>dtymk</t>
  </si>
  <si>
    <t>ENSDARG00000052103</t>
  </si>
  <si>
    <t>deoxythymidylate kinase (thymidylate kinase) [Source:ZFIN;Acc:ZDB-GENE-990603-11]</t>
  </si>
  <si>
    <t>wdr76</t>
  </si>
  <si>
    <t>ENSDARG00000053554</t>
  </si>
  <si>
    <t>WD repeat domain 76 [Source:ZFIN;Acc:ZDB-GENE-030131-4513]</t>
  </si>
  <si>
    <t>si:dkey-57a22.11</t>
  </si>
  <si>
    <t>ENSDARG00000092651</t>
  </si>
  <si>
    <t>si:dkey-57a22.11 [Source:ZFIN;Acc:ZDB-GENE-081104-423]</t>
  </si>
  <si>
    <t>nasp</t>
  </si>
  <si>
    <t>ENSDARG00000039208</t>
  </si>
  <si>
    <t>nuclear autoantigenic sperm protein (histone-binding) [Source:ZFIN;Acc:ZDB-GENE-030131-5511]</t>
  </si>
  <si>
    <t>dnph1</t>
  </si>
  <si>
    <t>ENSDARG00000075730</t>
  </si>
  <si>
    <t>2'-deoxynucleoside 5'-phosphate N-hydrolase 1 [Source:ZFIN;Acc:ZDB-GENE-081107-5]</t>
  </si>
  <si>
    <t>vrk1.1</t>
  </si>
  <si>
    <t>ENSDARG00000091657</t>
  </si>
  <si>
    <t>rtkn2a</t>
  </si>
  <si>
    <t>ENSDARG00000053558</t>
  </si>
  <si>
    <t>rhotekin 2a [Source:ZFIN;Acc:ZDB-GENE-041010-225]</t>
  </si>
  <si>
    <t>pom121</t>
  </si>
  <si>
    <t>ENSDARG00000055113</t>
  </si>
  <si>
    <t>POM121 transmembrane nucleoporin [Source:ZFIN;Acc:ZDB-GENE-030131-6557]</t>
  </si>
  <si>
    <t>si:dkey-170l10.1</t>
  </si>
  <si>
    <t>ENSDARG00000036781</t>
  </si>
  <si>
    <t>si:dkey-170l10.1 [Source:ZFIN;Acc:ZDB-GENE-030131-5201]</t>
  </si>
  <si>
    <t>slbp</t>
  </si>
  <si>
    <t>ENSDARG00000100558</t>
  </si>
  <si>
    <t>stem-loop binding protein [Source:ZFIN;Acc:ZDB-GENE-030131-9686]</t>
  </si>
  <si>
    <t>si:dkey-148h10.5</t>
  </si>
  <si>
    <t>ENSDARG00000097493</t>
  </si>
  <si>
    <t>si:dkey-148h10.5 [Source:ZFIN;Acc:ZDB-GENE-131127-260]</t>
  </si>
  <si>
    <t>si:dkey-185e18.7</t>
  </si>
  <si>
    <t>ENSDARG00000088924</t>
  </si>
  <si>
    <t>si:dkey-185e18.7 [Source:ZFIN;Acc:ZDB-GENE-141215-72]</t>
  </si>
  <si>
    <t>rfc4</t>
  </si>
  <si>
    <t>ENSDARG00000042458</t>
  </si>
  <si>
    <t>replication factor C (activator 1) 4 [Source:ZFIN;Acc:ZDB-GENE-040824-3]</t>
  </si>
  <si>
    <t>si:dkey-197a4.1</t>
  </si>
  <si>
    <t>ENSDARG00000097536</t>
  </si>
  <si>
    <t>si:dkey-197a4.1 [Source:ZFIN;Acc:ZDB-GENE-131122-30]</t>
  </si>
  <si>
    <t>nemp1</t>
  </si>
  <si>
    <t>ENSDARG00000073899</t>
  </si>
  <si>
    <t>nuclear envelope integral membrane protein 1 [Source:ZFIN;Acc:ZDB-GENE-090313-182]</t>
  </si>
  <si>
    <t>ing5b</t>
  </si>
  <si>
    <t>ENSDARG00000068175</t>
  </si>
  <si>
    <t>inhibitor of growth family, member 5b [Source:ZFIN;Acc:ZDB-GENE-030616-462]</t>
  </si>
  <si>
    <t>odf2b</t>
  </si>
  <si>
    <t>ENSDARG00000020702</t>
  </si>
  <si>
    <t>outer dense fiber of sperm tails 2b [Source:ZFIN;Acc:ZDB-GENE-041008-119]</t>
  </si>
  <si>
    <t>rrm1</t>
  </si>
  <si>
    <t>ENSDARG00000014017</t>
  </si>
  <si>
    <t>ribonucleotide reductase M1 polypeptide [Source:ZFIN;Acc:ZDB-GENE-990415-247]</t>
  </si>
  <si>
    <t>ccnf</t>
  </si>
  <si>
    <t>ENSDARG00000105046</t>
  </si>
  <si>
    <t>cyclin F [Source:ZFIN;Acc:ZDB-GENE-021030-2]</t>
  </si>
  <si>
    <t>ssna1</t>
  </si>
  <si>
    <t>ENSDARG00000101300</t>
  </si>
  <si>
    <t>Sjogren syndrome nuclear autoantigen 1 [Source:ZFIN;Acc:ZDB-GENE-081104-255]</t>
  </si>
  <si>
    <t>si:ch211-161h7.4</t>
  </si>
  <si>
    <t>ENSDARG00000087238</t>
  </si>
  <si>
    <t>si:ch211-161h7.4 [Source:ZFIN;Acc:ZDB-GENE-091118-108]</t>
  </si>
  <si>
    <t>dhfr</t>
  </si>
  <si>
    <t>ENSDARG00000004251</t>
  </si>
  <si>
    <t>dihydrofolate reductase [Source:ZFIN;Acc:ZDB-GENE-010406-5]</t>
  </si>
  <si>
    <t>haus6</t>
  </si>
  <si>
    <t>ENSDARG00000101652</t>
  </si>
  <si>
    <t>HAUS augmin-like complex, subunit 6 [Source:ZFIN;Acc:ZDB-GENE-030131-5517]</t>
  </si>
  <si>
    <t>cenph</t>
  </si>
  <si>
    <t>ENSDARG00000094892</t>
  </si>
  <si>
    <t>centromere protein H [Source:ZFIN;Acc:ZDB-GENE-081104-340]</t>
  </si>
  <si>
    <t>cenpk</t>
  </si>
  <si>
    <t>ENSDARG00000039616</t>
  </si>
  <si>
    <t>centromere protein K [Source:ZFIN;Acc:ZDB-GENE-090313-204]</t>
  </si>
  <si>
    <t>si:dkey-61o18.2</t>
  </si>
  <si>
    <t>ENSDARG00000096876</t>
  </si>
  <si>
    <t>si:dkey-61o18.2 [Source:ZFIN;Acc:ZDB-GENE-131127-321]</t>
  </si>
  <si>
    <t>psmc3ip</t>
  </si>
  <si>
    <t>ENSDARG00000037892</t>
  </si>
  <si>
    <t>PSMC3 interacting protein [Source:ZFIN;Acc:ZDB-GENE-040625-125]</t>
  </si>
  <si>
    <t>tfdp1b</t>
  </si>
  <si>
    <t>ENSDARG00000016304</t>
  </si>
  <si>
    <t>transcription factor Dp-1, b [Source:ZFIN;Acc:ZDB-GENE-040426-1746]</t>
  </si>
  <si>
    <t>rad1</t>
  </si>
  <si>
    <t>ENSDARG00000040559</t>
  </si>
  <si>
    <t>RAD1 homolog (S. pombe) [Source:ZFIN;Acc:ZDB-GENE-040426-1873]</t>
  </si>
  <si>
    <t>plk4</t>
  </si>
  <si>
    <t>ENSDARG00000004576</t>
  </si>
  <si>
    <t>polo-like kinase 4 (Drosophila) [Source:ZFIN;Acc:ZDB-GENE-030619-14]</t>
  </si>
  <si>
    <t>pole2</t>
  </si>
  <si>
    <t>ENSDARG00000100028</t>
  </si>
  <si>
    <t>polymerase (DNA directed), epsilon 2 [Source:ZFIN;Acc:ZDB-GENE-020419-16]</t>
  </si>
  <si>
    <t>cdc45</t>
  </si>
  <si>
    <t>ENSDARG00000043720</t>
  </si>
  <si>
    <t>CDC45 cell division cycle 45 homolog (S. cerevisiae) [Source:ZFIN;Acc:ZDB-GENE-040426-2710]</t>
  </si>
  <si>
    <t>xrcc4</t>
  </si>
  <si>
    <t>ENSDARG00000010732</t>
  </si>
  <si>
    <t>X-ray repair complementing defective repair in Chinese hamster cells 4 [Source:ZFIN;Acc:ZDB-GENE-040426-1755]</t>
  </si>
  <si>
    <t>dnmt1</t>
  </si>
  <si>
    <t>ENSDARG00000030756</t>
  </si>
  <si>
    <t>DNA (cytosine-5-)-methyltransferase 1 [Source:ZFIN;Acc:ZDB-GENE-990714-15]</t>
  </si>
  <si>
    <t>haus7</t>
  </si>
  <si>
    <t>ENSDARG00000037432</t>
  </si>
  <si>
    <t>HAUS augmin-like complex, subunit 7 [Source:ZFIN;Acc:ZDB-GENE-050506-15]</t>
  </si>
  <si>
    <t>suv39h1b</t>
  </si>
  <si>
    <t>ENSDARG00000055753</t>
  </si>
  <si>
    <t>suppressor of variegation 3-9 homolog 1b [Source:ZFIN;Acc:ZDB-GENE-030131-5105]</t>
  </si>
  <si>
    <t>si:ch211-241d21.5</t>
  </si>
  <si>
    <t>ENSDARG00000074889</t>
  </si>
  <si>
    <t>si:ch211-241d21.5 [Source:ZFIN;Acc:ZDB-GENE-081104-194]</t>
  </si>
  <si>
    <t>rad54l</t>
  </si>
  <si>
    <t>ENSDARG00000018623</t>
  </si>
  <si>
    <t>RAD54-like (S. cerevisiae) [Source:ZFIN;Acc:ZDB-GENE-040426-968]</t>
  </si>
  <si>
    <t>ppp1r35</t>
  </si>
  <si>
    <t>ENSDARG00000068916</t>
  </si>
  <si>
    <t>protein phosphatase 1, regulatory subunit 35 [Source:ZFIN;Acc:ZDB-GENE-060825-232]</t>
  </si>
  <si>
    <t>dbf4</t>
  </si>
  <si>
    <t>ENSDARG00000074796</t>
  </si>
  <si>
    <t>DBF4 zinc finger [Source:ZFIN;Acc:ZDB-GENE-091020-13]</t>
  </si>
  <si>
    <t>gins4</t>
  </si>
  <si>
    <t>ENSDARG00000016044</t>
  </si>
  <si>
    <t>GINS complex subunit 4 (Sld5 homolog) [Source:ZFIN;Acc:ZDB-GENE-040801-59]</t>
  </si>
  <si>
    <t>wee1</t>
  </si>
  <si>
    <t>ENSDARG00000093864</t>
  </si>
  <si>
    <t>WEE1 G2 checkpoint kinase [Source:ZFIN;Acc:ZDB-GENE-030131-5268]</t>
  </si>
  <si>
    <t>siva1</t>
  </si>
  <si>
    <t>ENSDARG00000103598</t>
  </si>
  <si>
    <t>SIVA1, apoptosis-inducing factor [Source:ZFIN;Acc:ZDB-GENE-050506-57]</t>
  </si>
  <si>
    <t>si:dkey-176g4.4</t>
  </si>
  <si>
    <t>ENSDARG00000068792</t>
  </si>
  <si>
    <t>si:dkey-176g4.4 [Source:ZFIN;Acc:ZDB-GENE-110411-279]</t>
  </si>
  <si>
    <t>ttk</t>
  </si>
  <si>
    <t>ENSDARG00000041361</t>
  </si>
  <si>
    <t>ttk protein kinase [Source:ZFIN;Acc:ZDB-GENE-030123-1]</t>
  </si>
  <si>
    <t>BX908731.1</t>
  </si>
  <si>
    <t>ENSDARG00000099201</t>
  </si>
  <si>
    <t>arpp19b</t>
  </si>
  <si>
    <t>ENSDARG00000039880</t>
  </si>
  <si>
    <t>cAMP-regulated phosphoprotein 19b [Source:ZFIN;Acc:ZDB-GENE-040426-930]</t>
  </si>
  <si>
    <t>xpo1a</t>
  </si>
  <si>
    <t>ENSDARG00000078041</t>
  </si>
  <si>
    <t>exportin 1 (CRM1 homolog, yeast) a [Source:ZFIN;Acc:ZDB-GENE-050309-201]</t>
  </si>
  <si>
    <t>rfc1</t>
  </si>
  <si>
    <t>ENSDARG00000054799</t>
  </si>
  <si>
    <t>replication factor C (activator 1) 1 [Source:ZFIN;Acc:ZDB-GENE-070410-99]</t>
  </si>
  <si>
    <t>si:dkey-30c15.10</t>
  </si>
  <si>
    <t>ENSDARG00000088130</t>
  </si>
  <si>
    <t>si:dkey-30c15.10 [Source:ZFIN;Acc:ZDB-GENE-060503-826]</t>
  </si>
  <si>
    <t>lmf2b</t>
  </si>
  <si>
    <t>ENSDARG00000025859</t>
  </si>
  <si>
    <t>lipase maturation factor 2b [Source:ZFIN;Acc:ZDB-GENE-070206-11]</t>
  </si>
  <si>
    <t>shcbp1</t>
  </si>
  <si>
    <t>ENSDARG00000102068</t>
  </si>
  <si>
    <t>SHC SH2-domain binding protein 1 [Source:ZFIN;Acc:ZDB-GENE-030131-5865]</t>
  </si>
  <si>
    <t>unga</t>
  </si>
  <si>
    <t>ENSDARG00000042527</t>
  </si>
  <si>
    <t>uracil DNA glycosylase a [Source:ZFIN;Acc:ZDB-GENE-040426-900]</t>
  </si>
  <si>
    <t>myl6</t>
  </si>
  <si>
    <t>ENSDARG00000008494</t>
  </si>
  <si>
    <t>myosin, light chain 6, alkali, smooth muscle and non-muscle [Source:ZFIN;Acc:ZDB-GENE-041010-28]</t>
  </si>
  <si>
    <t>si: dkey-225f5.4</t>
  </si>
  <si>
    <t>ENSDARG00000101975</t>
  </si>
  <si>
    <t>si: dkey-225f5.4 [Source:ZFIN;Acc:ZDB-GENE-030131-305]</t>
  </si>
  <si>
    <t>uba2</t>
  </si>
  <si>
    <t>ENSDARG00000101332</t>
  </si>
  <si>
    <t>ubiquitin-like modifier activating enzyme 2 [Source:ZFIN;Acc:ZDB-GENE-040426-2681]</t>
  </si>
  <si>
    <t>prim2</t>
  </si>
  <si>
    <t>ENSDARG00000052721</t>
  </si>
  <si>
    <t>primase, DNA, polypeptide 2 [Source:ZFIN;Acc:ZDB-GENE-050522-471]</t>
  </si>
  <si>
    <t>krt4</t>
  </si>
  <si>
    <t>ENSDARG00000017624</t>
  </si>
  <si>
    <t>keratin 4 [Source:ZFIN;Acc:ZDB-GENE-000607-83]</t>
  </si>
  <si>
    <t>terf1</t>
  </si>
  <si>
    <t>ENSDARG00000058710</t>
  </si>
  <si>
    <t>telomeric repeat binding factor (NIMA-interacting) 1 [Source:ZFIN;Acc:ZDB-GENE-090612-2]</t>
  </si>
  <si>
    <t>hirip3</t>
  </si>
  <si>
    <t>ENSDARG00000027749</t>
  </si>
  <si>
    <t>HIRA interacting protein 3 [Source:ZFIN;Acc:ZDB-GENE-030131-5753]</t>
  </si>
  <si>
    <t>nsmce2</t>
  </si>
  <si>
    <t>ENSDARG00000076379</t>
  </si>
  <si>
    <t>NSE2/MMS21 homolog, SMC5-SMC6 complex SUMO ligase [Source:ZFIN;Acc:ZDB-GENE-081022-128]</t>
  </si>
  <si>
    <t>gstt1a</t>
  </si>
  <si>
    <t>ENSDARG00000042428</t>
  </si>
  <si>
    <t>glutathione S-transferase theta 1a [Source:ZFIN;Acc:ZDB-GENE-031001-13]</t>
  </si>
  <si>
    <t>lin37</t>
  </si>
  <si>
    <t>ENSDARG00000053950</t>
  </si>
  <si>
    <t>lin-37 DREAM MuvB core complex component [Source:ZFIN;Acc:ZDB-GENE-050417-446]</t>
  </si>
  <si>
    <t>si:dkey-238i5.3</t>
  </si>
  <si>
    <t>ENSDARG00000098881</t>
  </si>
  <si>
    <t>si:dkey-238i5.3 [Source:ZFIN;Acc:ZDB-GENE-141222-86]</t>
  </si>
  <si>
    <t>whsc1</t>
  </si>
  <si>
    <t>ENSDARG00000026225</t>
  </si>
  <si>
    <t>Wolf-Hirschhorn syndrome candidate 1 [Source:ZFIN;Acc:ZDB-GENE-030131-2581]</t>
  </si>
  <si>
    <t>srrt</t>
  </si>
  <si>
    <t>ENSDARG00000017762</t>
  </si>
  <si>
    <t>serrate RNA effector molecule homolog (Arabidopsis) [Source:ZFIN;Acc:ZDB-GENE-020419-13]</t>
  </si>
  <si>
    <t>emd</t>
  </si>
  <si>
    <t>ENSDARG00000095774</t>
  </si>
  <si>
    <t>emerin (Emery-Dreifuss muscular dystrophy) [Source:ZFIN;Acc:ZDB-GENE-070501-2]</t>
  </si>
  <si>
    <t>gabarapb</t>
  </si>
  <si>
    <t>ENSDARG00000052082</t>
  </si>
  <si>
    <t>GABA(A) receptor-associated protein b [Source:ZFIN;Acc:ZDB-GENE-101102-9]</t>
  </si>
  <si>
    <t>kansl3</t>
  </si>
  <si>
    <t>ENSDARG00000029556</t>
  </si>
  <si>
    <t>KAT8 regulatory NSL complex subunit 3 [Source:ZFIN;Acc:ZDB-GENE-050809-132]</t>
  </si>
  <si>
    <t>ssx2ipa</t>
  </si>
  <si>
    <t>ENSDARG00000039521</t>
  </si>
  <si>
    <t>synovial sarcoma, X breakpoint 2 interacting protein a [Source:ZFIN;Acc:ZDB-GENE-040426-1756]</t>
  </si>
  <si>
    <t>fam76b</t>
  </si>
  <si>
    <t>ENSDARG00000012432</t>
  </si>
  <si>
    <t>family with sequence similarity 76, member B [Source:ZFIN;Acc:ZDB-GENE-030131-6955]</t>
  </si>
  <si>
    <t>hat1</t>
  </si>
  <si>
    <t>ENSDARG00000034916</t>
  </si>
  <si>
    <t>histone acetyltransferase 1 [Source:ZFIN;Acc:ZDB-GENE-040912-99]</t>
  </si>
  <si>
    <t>ptgr1</t>
  </si>
  <si>
    <t>ENSDARG00000024877</t>
  </si>
  <si>
    <t>prostaglandin reductase 1 [Source:ZFIN;Acc:ZDB-GENE-041212-80]</t>
  </si>
  <si>
    <t>neil1</t>
  </si>
  <si>
    <t>ENSDARG00000018061</t>
  </si>
  <si>
    <t>nei-like DNA glycosylase 1 [Source:ZFIN;Acc:ZDB-GENE-040426-994]</t>
  </si>
  <si>
    <t>arl4aa</t>
  </si>
  <si>
    <t>ENSDARG00000099918</t>
  </si>
  <si>
    <t>ADP-ribosylation factor-like 4aa [Source:ZFIN;Acc:ZDB-GENE-040426-1878]</t>
  </si>
  <si>
    <t>ezh2</t>
  </si>
  <si>
    <t>ENSDARG00000010571</t>
  </si>
  <si>
    <t>enhancer of zeste 2 polycomb repressive complex 2 subunit [Source:ZFIN;Acc:ZDB-GENE-041111-259]</t>
  </si>
  <si>
    <t>rnaseh2a</t>
  </si>
  <si>
    <t>ENSDARG00000018891</t>
  </si>
  <si>
    <t>ribonuclease H2, subunit A [Source:ZFIN;Acc:ZDB-GENE-040426-976]</t>
  </si>
  <si>
    <t>pold2</t>
  </si>
  <si>
    <t>ENSDARG00000095046</t>
  </si>
  <si>
    <t>polymerase (DNA directed), delta 2, regulatory subunit [Source:ZFIN;Acc:ZDB-GENE-030616-157]</t>
  </si>
  <si>
    <t>seph</t>
  </si>
  <si>
    <t>ENSDARG00000093022</t>
  </si>
  <si>
    <t>selenoprotein H [Source:ZFIN;Acc:ZDB-GENE-030411-2]</t>
  </si>
  <si>
    <t>gmnn</t>
  </si>
  <si>
    <t>ENSDARG00000035957</t>
  </si>
  <si>
    <t>geminin, DNA replication inhibitor [Source:ZFIN;Acc:ZDB-GENE-030429-30]</t>
  </si>
  <si>
    <t>hcfc1b</t>
  </si>
  <si>
    <t>ENSDARG00000012519</t>
  </si>
  <si>
    <t>host cell factor C1b [Source:ZFIN;Acc:ZDB-GENE-030131-2411]</t>
  </si>
  <si>
    <t>rfc3</t>
  </si>
  <si>
    <t>ENSDARG00000055969</t>
  </si>
  <si>
    <t>replication factor C (activator 1) 3 [Source:ZFIN;Acc:ZDB-GENE-020809-3]</t>
  </si>
  <si>
    <t>pin1</t>
  </si>
  <si>
    <t>ENSDARG00000101915</t>
  </si>
  <si>
    <t>protein (peptidyl-prolyl cis/trans isomerase) NIMA-interacting 1 [Source:ZFIN;Acc:ZDB-GENE-040426-1714]</t>
  </si>
  <si>
    <t>pold1</t>
  </si>
  <si>
    <t>ENSDARG00000027689</t>
  </si>
  <si>
    <t>polymerase (DNA directed), delta 1, catalytic subunit [Source:ZFIN;Acc:ZDB-GENE-060429-1]</t>
  </si>
  <si>
    <t>ndnl2</t>
  </si>
  <si>
    <t>ENSDARG00000058212</t>
  </si>
  <si>
    <t>necdin-like 2 [Source:ZFIN;Acc:ZDB-GENE-031107-3]</t>
  </si>
  <si>
    <t>ssrp1a</t>
  </si>
  <si>
    <t>ENSDARG00000037397</t>
  </si>
  <si>
    <t>structure specific recognition protein 1a [Source:ZFIN;Acc:ZDB-GENE-031118-9]</t>
  </si>
  <si>
    <t>slc25a5</t>
  </si>
  <si>
    <t>ENSDARG00000092553</t>
  </si>
  <si>
    <t>solute carrier family 25 (mitochondrial carrier; adenine nucleotide translocator), member 5 [Source:ZFIN;Acc:ZDB-GENE-020419-9]</t>
  </si>
  <si>
    <t>arf6a</t>
  </si>
  <si>
    <t>ENSDARG00000101626</t>
  </si>
  <si>
    <t>ADP-ribosylation factor 6a [Source:ZFIN;Acc:ZDB-GENE-030131-8007]</t>
  </si>
  <si>
    <t>cse1l</t>
  </si>
  <si>
    <t>ENSDARG00000006963</t>
  </si>
  <si>
    <t>CSE1 chromosome segregation 1-like (yeast) [Source:ZFIN;Acc:ZDB-GENE-990603-1]</t>
  </si>
  <si>
    <t>cuedc2</t>
  </si>
  <si>
    <t>ENSDARG00000039365</t>
  </si>
  <si>
    <t>CUE domain containing 2 [Source:ZFIN;Acc:ZDB-GENE-030131-6283]</t>
  </si>
  <si>
    <t>khsrp</t>
  </si>
  <si>
    <t>ENSDARG00000026489</t>
  </si>
  <si>
    <t>KH-type splicing regulatory protein [Source:ZFIN;Acc:ZDB-GENE-030131-4357]</t>
  </si>
  <si>
    <t>fen1</t>
  </si>
  <si>
    <t>ENSDARG00000011404</t>
  </si>
  <si>
    <t>flap structure-specific endonuclease 1 [Source:ZFIN;Acc:ZDB-GENE-031112-11]</t>
  </si>
  <si>
    <t>asf1bb</t>
  </si>
  <si>
    <t>ENSDARG00000043713</t>
  </si>
  <si>
    <t>anti-silencing function 1Bb histone chaperone [Source:ZFIN;Acc:ZDB-GENE-040426-2594]</t>
  </si>
  <si>
    <t>si:dkey-153m14.1</t>
  </si>
  <si>
    <t>ENSDARG00000096403</t>
  </si>
  <si>
    <t>si:dkey-153m14.1 [Source:ZFIN;Acc:ZDB-GENE-120215-41]</t>
  </si>
  <si>
    <t>kpnb1</t>
  </si>
  <si>
    <t>ENSDARG00000104889</t>
  </si>
  <si>
    <t>karyopherin (importin) beta 1 [Source:ZFIN;Acc:ZDB-GENE-030131-2579]</t>
  </si>
  <si>
    <t>usp1</t>
  </si>
  <si>
    <t>ENSDARG00000056414</t>
  </si>
  <si>
    <t>ubiquitin specific peptidase 1 [Source:ZFIN;Acc:ZDB-GENE-030131-726]</t>
  </si>
  <si>
    <t>nap1l1</t>
  </si>
  <si>
    <t>ENSDARG00000101813</t>
  </si>
  <si>
    <t>nucleosome assembly protein 1-like 1 [Source:ZFIN;Acc:ZDB-GENE-030516-2]</t>
  </si>
  <si>
    <t>cdc27</t>
  </si>
  <si>
    <t>ENSDARG00000056258</t>
  </si>
  <si>
    <t>cell division cycle 27 [Source:ZFIN;Acc:ZDB-GENE-990706-2]</t>
  </si>
  <si>
    <t>nup85</t>
  </si>
  <si>
    <t>ENSDARG00000098679</t>
  </si>
  <si>
    <t>nucleoporin 85 [Source:ZFIN;Acc:ZDB-GENE-040801-145]</t>
  </si>
  <si>
    <t>wrap73</t>
  </si>
  <si>
    <t>ENSDARG00000009557</t>
  </si>
  <si>
    <t>WD repeat containing, antisense to TP73 [Source:ZFIN;Acc:ZDB-GENE-030131-6313]</t>
  </si>
  <si>
    <t>uhrf1</t>
  </si>
  <si>
    <t>ENSDARG00000103409</t>
  </si>
  <si>
    <t>ubiquitin-like with PHD and ring finger domains 1 [Source:ZFIN;Acc:ZDB-GENE-040426-2039]</t>
  </si>
  <si>
    <t>pole3</t>
  </si>
  <si>
    <t>ENSDARG00000008551</t>
  </si>
  <si>
    <t>polymerase (DNA directed), epsilon 3 (p17 subunit) [Source:ZFIN;Acc:ZDB-GENE-040426-1773]</t>
  </si>
  <si>
    <t>dnajc9</t>
  </si>
  <si>
    <t>ENSDARG00000031293</t>
  </si>
  <si>
    <t>DnaJ (Hsp40) homolog, subfamily C, member 9 [Source:ZFIN;Acc:ZDB-GENE-040718-130]</t>
  </si>
  <si>
    <t>fabp11a</t>
  </si>
  <si>
    <t>ENSDARG00000017299</t>
  </si>
  <si>
    <t>fatty acid binding protein 11a [Source:ZFIN;Acc:ZDB-GENE-040912-132]</t>
  </si>
  <si>
    <t>pcdh18b</t>
  </si>
  <si>
    <t>ENSDARG00000052494</t>
  </si>
  <si>
    <t>protocadherin 18b [Source:ZFIN;Acc:ZDB-GENE-080804-1]</t>
  </si>
  <si>
    <t>shmt1</t>
  </si>
  <si>
    <t>ENSDARG00000052816</t>
  </si>
  <si>
    <t>serine hydroxymethyltransferase 1 (soluble) [Source:ZFIN;Acc:ZDB-GENE-040426-1558]</t>
  </si>
  <si>
    <t>gins2</t>
  </si>
  <si>
    <t>ENSDARG00000002304</t>
  </si>
  <si>
    <t>GINS complex subunit 2 [Source:ZFIN;Acc:ZDB-GENE-050419-19]</t>
  </si>
  <si>
    <t>chtf18</t>
  </si>
  <si>
    <t>ENSDARG00000058480</t>
  </si>
  <si>
    <t>CTF18, chromosome transmission fidelity factor 18 homolog (S. cerevisiae) [Source:ZFIN;Acc:ZDB-GENE-050522-508]</t>
  </si>
  <si>
    <t>si:ch211-282b22.1</t>
  </si>
  <si>
    <t>ENSDARG00000097630</t>
  </si>
  <si>
    <t>si:ch211-282b22.1 [Source:ZFIN;Acc:ZDB-GENE-030219-148]</t>
  </si>
  <si>
    <t>rpa2</t>
  </si>
  <si>
    <t>ENSDARG00000037188</t>
  </si>
  <si>
    <t>replication protein A2 [Source:ZFIN;Acc:ZDB-GENE-010131-3]</t>
  </si>
  <si>
    <t>mblac1</t>
  </si>
  <si>
    <t>ENSDARG00000077314</t>
  </si>
  <si>
    <t>metallo-beta-lactamase domain containing 1 [Source:ZFIN;Acc:ZDB-GENE-111102-2]</t>
  </si>
  <si>
    <t>orc4</t>
  </si>
  <si>
    <t>ENSDARG00000101161</t>
  </si>
  <si>
    <t>origin recognition complex, subunit 4 [Source:ZFIN;Acc:ZDB-GENE-040426-2224]</t>
  </si>
  <si>
    <t>nop16</t>
  </si>
  <si>
    <t>ENSDARG00000044402</t>
  </si>
  <si>
    <t>NOP16 nucleolar protein homolog (yeast) [Source:ZFIN;Acc:ZDB-GENE-040718-267]</t>
  </si>
  <si>
    <t>rnaseh2c</t>
  </si>
  <si>
    <t>ENSDARG00000089637</t>
  </si>
  <si>
    <t>ribonuclease H2, subunit C [Source:ZFIN;Acc:ZDB-GENE-030131-2469]</t>
  </si>
  <si>
    <t>mcm4</t>
  </si>
  <si>
    <t>ENSDARG00000040041</t>
  </si>
  <si>
    <t>minichromosome maintenance complex component 4 [Source:ZFIN;Acc:ZDB-GENE-030131-9544]</t>
  </si>
  <si>
    <t>mcm2</t>
  </si>
  <si>
    <t>ENSDARG00000102798</t>
  </si>
  <si>
    <t>minichromosome maintenance complex component 2 [Source:ZFIN;Acc:ZDB-GENE-020419-24]</t>
  </si>
  <si>
    <t>cdkn1ca</t>
  </si>
  <si>
    <t>ENSDARG00000010878</t>
  </si>
  <si>
    <t>cyclin-dependent kinase inhibitor 1Ca [Source:ZFIN;Acc:ZDB-GENE-040123-1]</t>
  </si>
  <si>
    <t>mcm7</t>
  </si>
  <si>
    <t>ENSDARG00000101180</t>
  </si>
  <si>
    <t>minichromosome maintenance complex component 7 [Source:ZFIN;Acc:ZDB-GENE-020419-27]</t>
  </si>
  <si>
    <t>mpv17l2</t>
  </si>
  <si>
    <t>ENSDARG00000056367</t>
  </si>
  <si>
    <t>MPV17 mitochondrial membrane protein-like 2 [Source:ZFIN;Acc:ZDB-GENE-040718-306]</t>
  </si>
  <si>
    <t>npm3</t>
  </si>
  <si>
    <t>ENSDARG00000103594</t>
  </si>
  <si>
    <t>nucleophosmin/nucleoplasmin, 3 [Source:ZFIN;Acc:ZDB-GENE-050320-50]</t>
  </si>
  <si>
    <t>dscc1</t>
  </si>
  <si>
    <t>ENSDARG00000019907</t>
  </si>
  <si>
    <t>DNA replication and sister chromatid cohesion 1 [Source:ZFIN;Acc:ZDB-GENE-040912-35]</t>
  </si>
  <si>
    <t>tspan12</t>
  </si>
  <si>
    <t>ENSDARG00000032389</t>
  </si>
  <si>
    <t>tetraspanin 12 [Source:ZFIN;Acc:ZDB-GENE-040426-1285]</t>
  </si>
  <si>
    <t>tfdp2</t>
  </si>
  <si>
    <t>ENSDARG00000042835</t>
  </si>
  <si>
    <t>transcription factor Dp-2 [Source:ZFIN;Acc:ZDB-GENE-030219-104]</t>
  </si>
  <si>
    <t>surf6</t>
  </si>
  <si>
    <t>ENSDARG00000035427</t>
  </si>
  <si>
    <t>surfeit 6 [Source:ZFIN;Acc:ZDB-GENE-040426-1333]</t>
  </si>
  <si>
    <t>snu13b</t>
  </si>
  <si>
    <t>ENSDARG00000023299</t>
  </si>
  <si>
    <t>SNU13 homolog, small nuclear ribonucleoprotein b (U4/U6.U5) [Source:ZFIN;Acc:ZDB-GENE-030131-9670]</t>
  </si>
  <si>
    <t>mcmbp</t>
  </si>
  <si>
    <t>ENSDARG00000055314</t>
  </si>
  <si>
    <t>minichromosome maintenance complex binding protein [Source:ZFIN;Acc:ZDB-GENE-030131-9676]</t>
  </si>
  <si>
    <t>orc6</t>
  </si>
  <si>
    <t>ENSDARG00000075682</t>
  </si>
  <si>
    <t>origin recognition complex, subunit 6 [Source:ZFIN;Acc:ZDB-GENE-030131-2976]</t>
  </si>
  <si>
    <t>polr1d</t>
  </si>
  <si>
    <t>ENSDARG00000037570</t>
  </si>
  <si>
    <t>polymerase (RNA) I polypeptide D [Source:ZFIN;Acc:ZDB-GENE-040930-4]</t>
  </si>
  <si>
    <t>nudt1</t>
  </si>
  <si>
    <t>ENSDARG00000030573</t>
  </si>
  <si>
    <t>nudix (nucleoside diphosphate linked moiety X)-type motif 1 [Source:ZFIN;Acc:ZDB-GENE-040426-2757]</t>
  </si>
  <si>
    <t>dctpp1</t>
  </si>
  <si>
    <t>ENSDARG00000054334</t>
  </si>
  <si>
    <t>dCTP pyrophosphatase 1 [Source:ZFIN;Acc:ZDB-GENE-040426-1741]</t>
  </si>
  <si>
    <t>atad5a</t>
  </si>
  <si>
    <t>ENSDARG00000070568</t>
  </si>
  <si>
    <t>ATPase family, AAA domain containing 5a [Source:ZFIN;Acc:ZDB-GENE-070912-20]</t>
  </si>
  <si>
    <t>pola2</t>
  </si>
  <si>
    <t>ENSDARG00000015070</t>
  </si>
  <si>
    <t>polymerase (DNA directed), alpha 2 [Source:ZFIN;Acc:ZDB-GENE-030131-778]</t>
  </si>
  <si>
    <t>cdc6</t>
  </si>
  <si>
    <t>ENSDARG00000009942</t>
  </si>
  <si>
    <t>cell division cycle 6 homolog (S. cerevisiae) [Source:ZFIN;Acc:ZDB-GENE-050506-131]</t>
  </si>
  <si>
    <t>rrp9</t>
  </si>
  <si>
    <t>ENSDARG00000041991</t>
  </si>
  <si>
    <t>ribosomal RNA processing 9, small subunit (SSU) processome component, homolog (yeast) [Source:ZFIN;Acc:ZDB-GENE-060427-1]</t>
  </si>
  <si>
    <t>mybl1</t>
  </si>
  <si>
    <t>ENSDARG00000030999</t>
  </si>
  <si>
    <t>v-myb avian myeloblastosis viral oncogene homolog-like 1 [Source:ZFIN;Acc:ZDB-GENE-041111-281]</t>
  </si>
  <si>
    <t>mcm6</t>
  </si>
  <si>
    <t>ENSDARG00000057683</t>
  </si>
  <si>
    <t>minichromosome maintenance complex component 6 [Source:ZFIN;Acc:ZDB-GENE-030909-6]</t>
  </si>
  <si>
    <t>sumo3b</t>
  </si>
  <si>
    <t>ENSDARG00000035993</t>
  </si>
  <si>
    <t>small ubiquitin-like modifier 3b [Source:ZFIN;Acc:ZDB-GENE-040718-426]</t>
  </si>
  <si>
    <t>ddx24</t>
  </si>
  <si>
    <t>ENSDARG00000104708</t>
  </si>
  <si>
    <t>DEAD (Asp-Glu-Ala-Asp) box helicase 24 [Source:ZFIN;Acc:ZDB-GENE-100716-4]</t>
  </si>
  <si>
    <t>smarcad1a</t>
  </si>
  <si>
    <t>ENSDARG00000014041</t>
  </si>
  <si>
    <t>SWI/SNF-related, matrix-associated actin-dependent regulator of chromatin, subfamily a, containing DEAD/H box 1 a [Source:ZFIN;Acc:ZDB-GENE-050522-499]</t>
  </si>
  <si>
    <t>fbl</t>
  </si>
  <si>
    <t>ENSDARG00000053912</t>
  </si>
  <si>
    <t>fibrillarin [Source:ZFIN;Acc:ZDB-GENE-040426-1936]</t>
  </si>
  <si>
    <t>mrto4</t>
  </si>
  <si>
    <t>ENSDARG00000007130</t>
  </si>
  <si>
    <t>MRT4 homolog, ribosome maturation factor [Source:ZFIN;Acc:ZDB-GENE-050417-142]</t>
  </si>
  <si>
    <t>knop1</t>
  </si>
  <si>
    <t>ENSDARG00000077721</t>
  </si>
  <si>
    <t>lysine-rich nucleolar protein 1 [Source:ZFIN;Acc:ZDB-GENE-090313-76]</t>
  </si>
  <si>
    <t>adssl</t>
  </si>
  <si>
    <t>ENSDARG00000012399</t>
  </si>
  <si>
    <t>adenylosuccinate synthase, like [Source:ZFIN;Acc:ZDB-GENE-020419-28]</t>
  </si>
  <si>
    <t>nup93</t>
  </si>
  <si>
    <t>ENSDARG00000003487</t>
  </si>
  <si>
    <t>nucleoporin 93 [Source:ZFIN;Acc:ZDB-GENE-990415-46]</t>
  </si>
  <si>
    <t>btg3</t>
  </si>
  <si>
    <t>ENSDARG00000069065</t>
  </si>
  <si>
    <t>B-cell translocation gene 3 [Source:ZFIN;Acc:ZDB-GENE-031113-19]</t>
  </si>
  <si>
    <t>imp4</t>
  </si>
  <si>
    <t>ENSDARG00000054540</t>
  </si>
  <si>
    <t>IMP4, U3 small nucleolar ribonucleoprotein, homolog (yeast) [Source:ZFIN;Acc:ZDB-GENE-040718-474]</t>
  </si>
  <si>
    <t>exosc6</t>
  </si>
  <si>
    <t>ENSDARG00000036060</t>
  </si>
  <si>
    <t>exosome component 6 [Source:ZFIN;Acc:ZDB-GENE-050522-362]</t>
  </si>
  <si>
    <t>umps</t>
  </si>
  <si>
    <t>ENSDARG00000012215</t>
  </si>
  <si>
    <t>uridine monophosphate synthetase [Source:ZFIN;Acc:ZDB-GENE-040426-785]</t>
  </si>
  <si>
    <t>rrp1</t>
  </si>
  <si>
    <t>ENSDARG00000103337</t>
  </si>
  <si>
    <t>ribosomal RNA processing 1 [Source:ZFIN;Acc:ZDB-GENE-030131-9837]</t>
  </si>
  <si>
    <t>tsr2</t>
  </si>
  <si>
    <t>ENSDARG00000005772</t>
  </si>
  <si>
    <t>TSR2, 20S rRNA accumulation, homolog (S. cerevisiae) [Source:ZFIN;Acc:ZDB-GENE-021231-2]</t>
  </si>
  <si>
    <t>ctbp2a</t>
  </si>
  <si>
    <t>ENSDARG00000044062</t>
  </si>
  <si>
    <t>C-terminal binding protein 2a [Source:ZFIN;Acc:ZDB-GENE-010130-2]</t>
  </si>
  <si>
    <t>ccdc137</t>
  </si>
  <si>
    <t>ENSDARG00000104024</t>
  </si>
  <si>
    <t>coiled-coil domain containing 137 [Source:ZFIN;Acc:ZDB-GENE-060929-1206]</t>
  </si>
  <si>
    <t>ssb</t>
  </si>
  <si>
    <t>ENSDARG00000029252</t>
  </si>
  <si>
    <t>Sjogren syndrome antigen B (autoantigen La) [Source:ZFIN;Acc:ZDB-GENE-030131-223]</t>
  </si>
  <si>
    <t>twistnb</t>
  </si>
  <si>
    <t>ENSDARG00000024416</t>
  </si>
  <si>
    <t>TWIST neighbor [Source:ZFIN;Acc:ZDB-GENE-041007-3]</t>
  </si>
  <si>
    <t>rpa1</t>
  </si>
  <si>
    <t>ENSDARG00000003938</t>
  </si>
  <si>
    <t>replication protein A1 [Source:ZFIN;Acc:ZDB-GENE-030912-3]</t>
  </si>
  <si>
    <t>mrpl12</t>
  </si>
  <si>
    <t>ENSDARG00000038768</t>
  </si>
  <si>
    <t>mitochondrial ribosomal protein L12 [Source:ZFIN;Acc:ZDB-GENE-050417-187]</t>
  </si>
  <si>
    <t>gnl3</t>
  </si>
  <si>
    <t>ENSDARG00000006219</t>
  </si>
  <si>
    <t>guanine nucleotide binding protein-like 3 (nucleolar) [Source:ZFIN;Acc:ZDB-GENE-030131-616]</t>
  </si>
  <si>
    <t>mcm3</t>
  </si>
  <si>
    <t>ENSDARG00000024204</t>
  </si>
  <si>
    <t>minichromosome maintenance complex component 3 [Source:ZFIN;Acc:ZDB-GENE-020419-4]</t>
  </si>
  <si>
    <t>rfc2</t>
  </si>
  <si>
    <t>ENSDARG00000014274</t>
  </si>
  <si>
    <t>replication factor C (activator 1) 2 [Source:ZFIN;Acc:ZDB-GENE-050306-29]</t>
  </si>
  <si>
    <t>rbm19</t>
  </si>
  <si>
    <t>ENSDARG00000042590</t>
  </si>
  <si>
    <t>RNA binding motif protein 19 [Source:ZFIN;Acc:ZDB-GENE-031125-3]</t>
  </si>
  <si>
    <t>cd3eap</t>
  </si>
  <si>
    <t>ENSDARG00000090386</t>
  </si>
  <si>
    <t>CD3e molecule, epsilon associated protein [Source:ZFIN;Acc:ZDB-GENE-101202-2]</t>
  </si>
  <si>
    <t>utp15</t>
  </si>
  <si>
    <t>ENSDARG00000002720</t>
  </si>
  <si>
    <t>utp15, U3 small nucleolar ribonucleoprotein, homolog [Source:ZFIN;Acc:ZDB-GENE-030131-3831]</t>
  </si>
  <si>
    <t>aplnrb</t>
  </si>
  <si>
    <t>ENSDARG00000036670</t>
  </si>
  <si>
    <t>apelin receptor b [Source:ZFIN;Acc:ZDB-GENE-050913-90]</t>
  </si>
  <si>
    <t>nip7</t>
  </si>
  <si>
    <t>ENSDARG00000059075</t>
  </si>
  <si>
    <t>NIP7, nucleolar pre-rRNA processing protein [Source:ZFIN;Acc:ZDB-GENE-050522-256]</t>
  </si>
  <si>
    <t>nop56</t>
  </si>
  <si>
    <t>ENSDARG00000012820</t>
  </si>
  <si>
    <t>NOP56 ribonucleoprotein homolog [Source:ZFIN;Acc:ZDB-GENE-040109-1]</t>
  </si>
  <si>
    <t>uqcc2</t>
  </si>
  <si>
    <t>ENSDARG00000011272</t>
  </si>
  <si>
    <t>ubiquinol-cytochrome c reductase complex assembly factor 2 [Source:ZFIN;Acc:ZDB-GENE-040426-1726]</t>
  </si>
  <si>
    <t>ebna1bp2</t>
  </si>
  <si>
    <t>ENSDARG00000054980</t>
  </si>
  <si>
    <t>EBNA1 binding protein 2 [Source:ZFIN;Acc:ZDB-GENE-030131-6989]</t>
  </si>
  <si>
    <t>nup43</t>
  </si>
  <si>
    <t>ENSDARG00000043884</t>
  </si>
  <si>
    <t>nucleoporin 43 [Source:ZFIN;Acc:ZDB-GENE-040426-2533]</t>
  </si>
  <si>
    <t>bxdc2</t>
  </si>
  <si>
    <t>ENSDARG00000098935</t>
  </si>
  <si>
    <t>brix domain containing 2 [Source:ZFIN;Acc:ZDB-GENE-060518-1]</t>
  </si>
  <si>
    <t>tubg1</t>
  </si>
  <si>
    <t>ENSDARG00000015610</t>
  </si>
  <si>
    <t>tubulin, gamma 1 [Source:ZFIN;Acc:ZDB-GENE-040426-836]</t>
  </si>
  <si>
    <t>bysl</t>
  </si>
  <si>
    <t>ENSDARG00000001057</t>
  </si>
  <si>
    <t>bystin-like [Source:ZFIN;Acc:ZDB-GENE-040426-1287]</t>
  </si>
  <si>
    <t>carm1</t>
  </si>
  <si>
    <t>ENSDARG00000018698</t>
  </si>
  <si>
    <t>coactivator-associated arginine methyltransferase 1 [Source:ZFIN;Acc:ZDB-GENE-040724-77]</t>
  </si>
  <si>
    <t>rad51</t>
  </si>
  <si>
    <t>ENSDARG00000041411</t>
  </si>
  <si>
    <t>RAD51 recombinase [Source:ZFIN;Acc:ZDB-GENE-040426-2286]</t>
  </si>
  <si>
    <t>pwp2h</t>
  </si>
  <si>
    <t>ENSDARG00000037109</t>
  </si>
  <si>
    <t>PWP2 periodic tryptophan protein homolog (yeast) [Source:ZFIN;Acc:ZDB-GENE-021031-3]</t>
  </si>
  <si>
    <t>rpl5a</t>
  </si>
  <si>
    <t>ENSDARG00000020197</t>
  </si>
  <si>
    <t>ribosomal protein L5a [Source:ZFIN;Acc:ZDB-GENE-030131-5161]</t>
  </si>
  <si>
    <t>hnrnpr</t>
  </si>
  <si>
    <t>ENSDARG00000014569</t>
  </si>
  <si>
    <t>heterogeneous nuclear ribonucleoprotein R [Source:ZFIN;Acc:ZDB-GENE-040426-2766]</t>
  </si>
  <si>
    <t>adi1</t>
  </si>
  <si>
    <t>ENSDARG00000020448</t>
  </si>
  <si>
    <t>acireductone dioxygenase 1 [Source:ZFIN;Acc:ZDB-GENE-030131-2799]</t>
  </si>
  <si>
    <t>hspd1</t>
  </si>
  <si>
    <t>ENSDARG00000056160</t>
  </si>
  <si>
    <t>heat shock 60 protein 1 [Source:ZFIN;Acc:ZDB-GENE-021206-1]</t>
  </si>
  <si>
    <t>wdr36</t>
  </si>
  <si>
    <t>ENSDARG00000004774</t>
  </si>
  <si>
    <t>WD repeat domain 36 [Source:ZFIN;Acc:ZDB-GENE-030131-464]</t>
  </si>
  <si>
    <t>prps1a</t>
  </si>
  <si>
    <t>ENSDARG00000015524</t>
  </si>
  <si>
    <t>phosphoribosyl pyrophosphate synthetase 1A [Source:ZFIN;Acc:ZDB-GENE-011212-5]</t>
  </si>
  <si>
    <t>nol12</t>
  </si>
  <si>
    <t>ENSDARG00000038027</t>
  </si>
  <si>
    <t>nucleolar protein 12 [Source:ZFIN;Acc:ZDB-GENE-040426-1035]</t>
  </si>
  <si>
    <t>mcm5</t>
  </si>
  <si>
    <t>ENSDARG00000019507</t>
  </si>
  <si>
    <t>minichromosome maintenance complex component 5 [Source:ZFIN;Acc:ZDB-GENE-021209-1]</t>
  </si>
  <si>
    <t>ncl</t>
  </si>
  <si>
    <t>ENSDARG00000002710</t>
  </si>
  <si>
    <t>nucleolin [Source:ZFIN;Acc:ZDB-GENE-030131-6986]</t>
  </si>
  <si>
    <t>plgrkt</t>
  </si>
  <si>
    <t>ENSDARG00000100789</t>
  </si>
  <si>
    <t>plasminogen receptor, C-terminal lysine transmembrane protein [Source:ZFIN;Acc:ZDB-GENE-050809-125]</t>
  </si>
  <si>
    <t>ndc1</t>
  </si>
  <si>
    <t>ENSDARG00000021120</t>
  </si>
  <si>
    <t>NDC1 transmembrane nucleoporin [Source:ZFIN;Acc:ZDB-GENE-030131-7176]</t>
  </si>
  <si>
    <t>eif6</t>
  </si>
  <si>
    <t>ENSDARG00000020232</t>
  </si>
  <si>
    <t>eukaryotic translation initiation factor 6 [Source:ZFIN;Acc:ZDB-GENE-031118-110]</t>
  </si>
  <si>
    <t>mxd3</t>
  </si>
  <si>
    <t>ENSDARG00000098350</t>
  </si>
  <si>
    <t>MAX dimerization protein 3 [Source:ZFIN;Acc:ZDB-GENE-040426-1588]</t>
  </si>
  <si>
    <t>uck2b</t>
  </si>
  <si>
    <t>ENSDARG00000022213</t>
  </si>
  <si>
    <t>uridine-cytidine kinase 2b [Source:ZFIN;Acc:ZDB-GENE-030131-5265]</t>
  </si>
  <si>
    <t>tsr1</t>
  </si>
  <si>
    <t>ENSDARG00000007744</t>
  </si>
  <si>
    <t>TSR1, 20S rRNA accumulation, homolog (S. cerevisiae) [Source:ZFIN;Acc:ZDB-GENE-030131-3762]</t>
  </si>
  <si>
    <t>oscp1a</t>
  </si>
  <si>
    <t>ENSDARG00000102209</t>
  </si>
  <si>
    <t>organic solute carrier partner 1a [Source:ZFIN;Acc:ZDB-GENE-080204-2]</t>
  </si>
  <si>
    <t>noc3l</t>
  </si>
  <si>
    <t>ENSDARG00000002487</t>
  </si>
  <si>
    <t>NOC3-like DNA replication regulator [Source:ZFIN;Acc:ZDB-GENE-030131-9878]</t>
  </si>
  <si>
    <t>nup37</t>
  </si>
  <si>
    <t>ENSDARG00000094191</t>
  </si>
  <si>
    <t>nucleoporin 37 [Source:ZFIN;Acc:ZDB-GENE-040718-363]</t>
  </si>
  <si>
    <t>supt16h</t>
  </si>
  <si>
    <t>ENSDARG00000079949</t>
  </si>
  <si>
    <t>SPT16 homolog, facilitates chromatin remodeling subunit [Source:ZFIN;Acc:ZDB-GENE-031118-96]</t>
  </si>
  <si>
    <t>RRP8</t>
  </si>
  <si>
    <t>ENSDARG00000071652</t>
  </si>
  <si>
    <t>si:ch211-149e23.3 [Source:ZFIN;Acc:ZDB-GENE-030131-8898]</t>
  </si>
  <si>
    <t>dtwd1</t>
  </si>
  <si>
    <t>ENSDARG00000059386</t>
  </si>
  <si>
    <t>DTW domain containing 1 [Source:ZFIN;Acc:ZDB-GENE-041010-23]</t>
  </si>
  <si>
    <t>emg1</t>
  </si>
  <si>
    <t>ENSDARG00000056914</t>
  </si>
  <si>
    <t>EMG1 N1-specific pseudouridine methyltransferase [Source:ZFIN;Acc:ZDB-GENE-060421-2909]</t>
  </si>
  <si>
    <t>snu13a</t>
  </si>
  <si>
    <t>ENSDARG00000069878</t>
  </si>
  <si>
    <t>SNU13 homolog, small nuclear ribonucleoprotein a (U4/U6.U5) [Source:ZFIN;Acc:ZDB-GENE-040426-879]</t>
  </si>
  <si>
    <t>si:ch211-14a11.5</t>
  </si>
  <si>
    <t>ENSDARG00000094846</t>
  </si>
  <si>
    <t>si:ch211-14a11.5 [Source:ZFIN;Acc:ZDB-GENE-050420-289]</t>
  </si>
  <si>
    <t>smarca4a</t>
  </si>
  <si>
    <t>ENSDARG00000077226</t>
  </si>
  <si>
    <t>SWI/SNF related, matrix associated, actin dependent regulator of chromatin, subfamily a, member 4a [Source:ZFIN;Acc:ZDB-GENE-030605-1]</t>
  </si>
  <si>
    <t>trit1</t>
  </si>
  <si>
    <t>ENSDARG00000032876</t>
  </si>
  <si>
    <t>tRNA isopentenyltransferase 1 [Source:ZFIN;Acc:ZDB-GENE-060503-297]</t>
  </si>
  <si>
    <t>mapkapk2a</t>
  </si>
  <si>
    <t>ENSDARG00000002552</t>
  </si>
  <si>
    <t>mitogen-activated protein kinase-activated protein kinase 2a [Source:ZFIN;Acc:ZDB-GENE-030131-5532]</t>
  </si>
  <si>
    <t>wdr43</t>
  </si>
  <si>
    <t>ENSDARG00000077264</t>
  </si>
  <si>
    <t>WD repeat domain 43 [Source:ZFIN;Acc:ZDB-GENE-021231-3]</t>
  </si>
  <si>
    <t>rsl1d1</t>
  </si>
  <si>
    <t>ENSDARG00000055868</t>
  </si>
  <si>
    <t>ribosomal L1 domain containing 1 [Source:ZFIN;Acc:ZDB-GENE-130603-67]</t>
  </si>
  <si>
    <t>c1qbp</t>
  </si>
  <si>
    <t>ENSDARG00000039887</t>
  </si>
  <si>
    <t>complement component 1, q subcomponent binding protein [Source:ZFIN;Acc:ZDB-GENE-050417-408]</t>
  </si>
  <si>
    <t>exosc3.1</t>
  </si>
  <si>
    <t>ENSDARG00000104246</t>
  </si>
  <si>
    <t>si:dkey-106c17.3</t>
  </si>
  <si>
    <t>ENSDARG00000059747</t>
  </si>
  <si>
    <t>si:dkey-106c17.3 [Source:ZFIN;Acc:ZDB-GENE-060503-706]</t>
  </si>
  <si>
    <t>utp3</t>
  </si>
  <si>
    <t>ENSDARG00000056720</t>
  </si>
  <si>
    <t>UTP3, small subunit (SSU) processome component, homolog (S. cerevisiae) [Source:ZFIN;Acc:ZDB-GENE-040912-163]</t>
  </si>
  <si>
    <t>timm8b</t>
  </si>
  <si>
    <t>ENSDARG00000055708</t>
  </si>
  <si>
    <t>translocase of inner mitochondrial membrane 8 homolog B (yeast) [Source:ZFIN;Acc:ZDB-GENE-031019-1]</t>
  </si>
  <si>
    <t>pprc1</t>
  </si>
  <si>
    <t>ENSDARG00000090337</t>
  </si>
  <si>
    <t>peroxisome proliferator-activated receptor gamma, coactivator-related 1 [Source:ZFIN;Acc:ZDB-GENE-030131-9858]</t>
  </si>
  <si>
    <t>nol10</t>
  </si>
  <si>
    <t>ENSDARG00000020077</t>
  </si>
  <si>
    <t>nucleolar protein 10 [Source:ZFIN;Acc:ZDB-GENE-040426-764]</t>
  </si>
  <si>
    <t>rpf1</t>
  </si>
  <si>
    <t>ENSDARG00000005738</t>
  </si>
  <si>
    <t>ribosome production factor 1 homolog [Source:ZFIN;Acc:ZDB-GENE-040625-177]</t>
  </si>
  <si>
    <t>gemin2</t>
  </si>
  <si>
    <t>ENSDARG00000015638</t>
  </si>
  <si>
    <t>gem (nuclear organelle) associated protein 2 [Source:ZFIN;Acc:ZDB-GENE-030131-3756]</t>
  </si>
  <si>
    <t>polr2eb</t>
  </si>
  <si>
    <t>ENSDARG00000026183</t>
  </si>
  <si>
    <t>polymerase (RNA) II (DNA directed) polypeptide E, b [Source:ZFIN;Acc:ZDB-GENE-040801-83]</t>
  </si>
  <si>
    <t>tomm5</t>
  </si>
  <si>
    <t>ENSDARG00000068265</t>
  </si>
  <si>
    <t>translocase of outer mitochondrial membrane 5 homolog (yeast) [Source:ZFIN;Acc:ZDB-GENE-040724-90]</t>
  </si>
  <si>
    <t>ddx18</t>
  </si>
  <si>
    <t>ENSDARG00000030789</t>
  </si>
  <si>
    <t>DEAD (Asp-Glu-Ala-Asp) box polypeptide 18 [Source:ZFIN;Acc:ZDB-GENE-030131-9685]</t>
  </si>
  <si>
    <t>gas5</t>
  </si>
  <si>
    <t>ENSDARG00000092337</t>
  </si>
  <si>
    <t>growth arrest-specific 5 [Source:ZFIN;Acc:ZDB-GENE-081104-166]</t>
  </si>
  <si>
    <t>drg1</t>
  </si>
  <si>
    <t>ENSDARG00000039345</t>
  </si>
  <si>
    <t>developmentally regulated GTP binding protein 1 [Source:ZFIN;Acc:ZDB-GENE-030131-8767]</t>
  </si>
  <si>
    <t>plxna4</t>
  </si>
  <si>
    <t>ENSDARG00000019328</t>
  </si>
  <si>
    <t>plexin A4 [Source:ZFIN;Acc:ZDB-GENE-030131-4663]</t>
  </si>
  <si>
    <t>utp23</t>
  </si>
  <si>
    <t>ENSDARG00000105012</t>
  </si>
  <si>
    <t>UTP23, small subunit (SSU) processome component, homolog (yeast) [Source:ZFIN;Acc:ZDB-GENE-050417-353]</t>
  </si>
  <si>
    <t>cad</t>
  </si>
  <si>
    <t>ENSDARG00000041895</t>
  </si>
  <si>
    <t>carbamoyl-phosphate synthetase 2, aspartate transcarbamylase, and dihydroorotase [Source:ZFIN;Acc:ZDB-GENE-021030-4]</t>
  </si>
  <si>
    <t>ctps1a</t>
  </si>
  <si>
    <t>ENSDARG00000030700</t>
  </si>
  <si>
    <t>CTP synthase 1a [Source:ZFIN;Acc:ZDB-GENE-030131-808]</t>
  </si>
  <si>
    <t>tgif1</t>
  </si>
  <si>
    <t>ENSDARG00000059337</t>
  </si>
  <si>
    <t>TGFB-induced factor homeobox 1 [Source:ZFIN;Acc:ZDB-GENE-030131-475]</t>
  </si>
  <si>
    <t>clns1a</t>
  </si>
  <si>
    <t>ENSDARG00000103027</t>
  </si>
  <si>
    <t>chloride channel, nucleotide-sensitive, 1A [Source:ZFIN;Acc:ZDB-GENE-990415-259]</t>
  </si>
  <si>
    <t>znf593</t>
  </si>
  <si>
    <t>ENSDARG00000044102</t>
  </si>
  <si>
    <t>zinc finger protein 593 [Source:ZFIN;Acc:ZDB-GENE-040426-1789]</t>
  </si>
  <si>
    <t>nop2</t>
  </si>
  <si>
    <t>ENSDARG00000043304</t>
  </si>
  <si>
    <t>NOP2 nucleolar protein homolog (yeast) [Source:ZFIN;Acc:ZDB-GENE-050309-7]</t>
  </si>
  <si>
    <t>adsl</t>
  </si>
  <si>
    <t>ENSDARG00000017049</t>
  </si>
  <si>
    <t>adenylosuccinate lyase [Source:ZFIN;Acc:ZDB-GENE-030131-6363]</t>
  </si>
  <si>
    <t>cdca7a</t>
  </si>
  <si>
    <t>ENSDARG00000077620</t>
  </si>
  <si>
    <t>cell division cycle associated 7a [Source:ZFIN;Acc:ZDB-GENE-050417-29]</t>
  </si>
  <si>
    <t>naa50</t>
  </si>
  <si>
    <t>ENSDARG00000027825</t>
  </si>
  <si>
    <t>N(alpha)-acetyltransferase 50, NatE catalytic subunit [Source:ZFIN;Acc:ZDB-GENE-040801-142]</t>
  </si>
  <si>
    <t>pagr1</t>
  </si>
  <si>
    <t>ENSDARG00000076966</t>
  </si>
  <si>
    <t>PAXIP1 associated glutamate-rich protein 1 [Source:ZFIN;Acc:ZDB-GENE-030131-4801]</t>
  </si>
  <si>
    <t>thoc6</t>
  </si>
  <si>
    <t>ENSDARG00000037966</t>
  </si>
  <si>
    <t>THO complex 6 [Source:ZFIN;Acc:ZDB-GENE-041010-198]</t>
  </si>
  <si>
    <t>rbb4l</t>
  </si>
  <si>
    <t>ENSDARG00000015208</t>
  </si>
  <si>
    <t>retinoblastoma binding protein 4, like [Source:ZFIN;Acc:ZDB-GENE-030131-848]</t>
  </si>
  <si>
    <t>rangap1a</t>
  </si>
  <si>
    <t>ENSDARG00000041317</t>
  </si>
  <si>
    <t>RAN GTPase activating protein 1a [Source:ZFIN;Acc:ZDB-GENE-060929-492]</t>
  </si>
  <si>
    <t>polr3h</t>
  </si>
  <si>
    <t>ENSDARG00000102590</t>
  </si>
  <si>
    <t>polymerase (RNA) III (DNA directed) polypeptide H [Source:ZFIN;Acc:ZDB-GENE-040718-179]</t>
  </si>
  <si>
    <t>nifk</t>
  </si>
  <si>
    <t>ENSDARG00000040666</t>
  </si>
  <si>
    <t>nucleolar protein interacting with the FHA domain of MKI67 [Source:ZFIN;Acc:ZDB-GENE-021231-4]</t>
  </si>
  <si>
    <t>gnl3l</t>
  </si>
  <si>
    <t>ENSDARG00000020595</t>
  </si>
  <si>
    <t>guanine nucleotide binding protein-like 3 (nucleolar)-like [Source:ZFIN;Acc:ZDB-GENE-040723-1]</t>
  </si>
  <si>
    <t>rraga</t>
  </si>
  <si>
    <t>ENSDARG00000104149</t>
  </si>
  <si>
    <t>Ras-related GTP binding A [Source:ZFIN;Acc:ZDB-GENE-030131-4083]</t>
  </si>
  <si>
    <t>mrpl43</t>
  </si>
  <si>
    <t>ENSDARG00000076334</t>
  </si>
  <si>
    <t>mitochondrial ribosomal protein L43 [Source:ZFIN;Acc:ZDB-GENE-040718-125]</t>
  </si>
  <si>
    <t>uchl5</t>
  </si>
  <si>
    <t>ENSDARG00000103404</t>
  </si>
  <si>
    <t>ubiquitin carboxyl-terminal hydrolase L5 [Source:ZFIN;Acc:ZDB-GENE-040426-2051]</t>
  </si>
  <si>
    <t>mgmt</t>
  </si>
  <si>
    <t>ENSDARG00000043275</t>
  </si>
  <si>
    <t>O-6-methylguanine-DNA methyltransferase [Source:ZFIN;Acc:ZDB-GENE-120614-1]</t>
  </si>
  <si>
    <t>mycn</t>
  </si>
  <si>
    <t>ENSDARG00000006837</t>
  </si>
  <si>
    <t>v-myc avian myelocytomatosis viral oncogene neuroblastoma derived homolog [Source:ZFIN;Acc:ZDB-GENE-020711-1]</t>
  </si>
  <si>
    <t>mapre1a</t>
  </si>
  <si>
    <t>ENSDARG00000042927</t>
  </si>
  <si>
    <t>microtubule-associated protein, RP/EB family, member 1a [Source:ZFIN;Acc:ZDB-GENE-030131-6067]</t>
  </si>
  <si>
    <t>pop5</t>
  </si>
  <si>
    <t>ENSDARG00000053452</t>
  </si>
  <si>
    <t>POP5 homolog, ribonuclease P/MRP subunit [Source:ZFIN;Acc:ZDB-GENE-050320-123]</t>
  </si>
  <si>
    <t>etf1b</t>
  </si>
  <si>
    <t>ENSDARG00000043976</t>
  </si>
  <si>
    <t>eukaryotic translation termination factor 1b [Source:ZFIN;Acc:ZDB-GENE-021029-1]</t>
  </si>
  <si>
    <t>bccip</t>
  </si>
  <si>
    <t>ENSDARG00000004948</t>
  </si>
  <si>
    <t>BRCA2 and CDKN1A interacting protein [Source:ZFIN;Acc:ZDB-GENE-050320-39]</t>
  </si>
  <si>
    <t>ddx56</t>
  </si>
  <si>
    <t>ENSDARG00000020913</t>
  </si>
  <si>
    <t>DEAD (Asp-Glu-Ala-Asp) box helicase 56 [Source:ZFIN;Acc:ZDB-GENE-040825-3]</t>
  </si>
  <si>
    <t>bms1</t>
  </si>
  <si>
    <t>ENSDARG00000054154</t>
  </si>
  <si>
    <t>BMS1 ribosome biogenesis factor [Source:ZFIN;Acc:ZDB-GENE-060720-2]</t>
  </si>
  <si>
    <t>larp4ab</t>
  </si>
  <si>
    <t>ENSDARG00000074979</t>
  </si>
  <si>
    <t>La ribonucleoprotein domain family, member 4Ab [Source:ZFIN;Acc:ZDB-GENE-100729-2]</t>
  </si>
  <si>
    <t>ubr7</t>
  </si>
  <si>
    <t>ENSDARG00000005536</t>
  </si>
  <si>
    <t>ubiquitin protein ligase E3 component n-recognin 7 [Source:ZFIN;Acc:ZDB-GENE-030131-1535]</t>
  </si>
  <si>
    <t>pfn2l</t>
  </si>
  <si>
    <t>ENSDARG00000012682</t>
  </si>
  <si>
    <t>profilin 2 like [Source:ZFIN;Acc:ZDB-GENE-030131-34]</t>
  </si>
  <si>
    <t>ccdc25</t>
  </si>
  <si>
    <t>ENSDARG00000021753</t>
  </si>
  <si>
    <t>coiled-coil domain containing 25 [Source:ZFIN;Acc:ZDB-GENE-040426-1389]</t>
  </si>
  <si>
    <t>rpl7l1</t>
  </si>
  <si>
    <t>ENSDARG00000042864</t>
  </si>
  <si>
    <t>ribosomal protein L7-like 1 [Source:ZFIN;Acc:ZDB-GENE-030131-970]</t>
  </si>
  <si>
    <t>anxa4</t>
  </si>
  <si>
    <t>ENSDARG00000036456</t>
  </si>
  <si>
    <t>annexin A4 [Source:ZFIN;Acc:ZDB-GENE-030707-1]</t>
  </si>
  <si>
    <t>mphosph10</t>
  </si>
  <si>
    <t>ENSDARG00000012495</t>
  </si>
  <si>
    <t>M-phase phosphoprotein 10 (U3 small nucleolar ribonucleoprotein) [Source:ZFIN;Acc:ZDB-GENE-030131-2146]</t>
  </si>
  <si>
    <t>slc20a1b</t>
  </si>
  <si>
    <t>ENSDARG00000010641</t>
  </si>
  <si>
    <t>solute carrier family 20 (phosphate transporter), member 1b [Source:ZFIN;Acc:ZDB-GENE-030131-260]</t>
  </si>
  <si>
    <t>UTP14C</t>
  </si>
  <si>
    <t>ENSDARG00000042520</t>
  </si>
  <si>
    <t>si:dkey-251i10.3 [Source:ZFIN;Acc:ZDB-GENE-060526-271]</t>
  </si>
  <si>
    <t>rpl6</t>
  </si>
  <si>
    <t>ENSDARG00000058451</t>
  </si>
  <si>
    <t>ribosomal protein L6 [Source:ZFIN;Acc:ZDB-GENE-030131-8671]</t>
  </si>
  <si>
    <t>tspan7</t>
  </si>
  <si>
    <t>ENSDARG00000015759</t>
  </si>
  <si>
    <t>tetraspanin 7 [Source:ZFIN;Acc:ZDB-GENE-030131-5435]</t>
  </si>
  <si>
    <t>mrpl13</t>
  </si>
  <si>
    <t>ENSDARG00000056903</t>
  </si>
  <si>
    <t>mitochondrial ribosomal protein L13 [Source:ZFIN;Acc:ZDB-GENE-050522-167]</t>
  </si>
  <si>
    <t>si:ch73-234b20.4</t>
  </si>
  <si>
    <t>ENSDARG00000093688</t>
  </si>
  <si>
    <t>si:ch73-234b20.4 [Source:ZFIN;Acc:ZDB-GENE-090313-145]</t>
  </si>
  <si>
    <t>metap2b</t>
  </si>
  <si>
    <t>ENSDARG00000102571</t>
  </si>
  <si>
    <t>methionyl aminopeptidase 2b [Source:ZFIN;Acc:ZDB-GENE-030131-2172]</t>
  </si>
  <si>
    <t>rpf2</t>
  </si>
  <si>
    <t>ENSDARG00000043960</t>
  </si>
  <si>
    <t>ribosome production factor 2 homolog [Source:ZFIN;Acc:ZDB-GENE-040426-2501]</t>
  </si>
  <si>
    <t>si:zfos-1451h6.1</t>
  </si>
  <si>
    <t>ENSDARG00000097452</t>
  </si>
  <si>
    <t>si:zfos-1451h6.1 [Source:ZFIN;Acc:ZDB-GENE-131121-245]</t>
  </si>
  <si>
    <t>pwp1</t>
  </si>
  <si>
    <t>ENSDARG00000015921</t>
  </si>
  <si>
    <t>PWP1 homolog (S. cerevisiae) [Source:ZFIN;Acc:ZDB-GENE-040426-1049]</t>
  </si>
  <si>
    <t>si:dkeyp-55f12.3</t>
  </si>
  <si>
    <t>ENSDARG00000042345</t>
  </si>
  <si>
    <t>si:dkeyp-55f12.3 [Source:ZFIN;Acc:ZDB-GENE-041001-118]</t>
  </si>
  <si>
    <t>parp1</t>
  </si>
  <si>
    <t>ENSDARG00000019529</t>
  </si>
  <si>
    <t>poly (ADP-ribose) polymerase 1 [Source:ZFIN;Acc:ZDB-GENE-030131-3955]</t>
  </si>
  <si>
    <t>llph</t>
  </si>
  <si>
    <t>ENSDARG00000055360</t>
  </si>
  <si>
    <t>LLP homolog, long-term synaptic facilitation (Aplysia) [Source:ZFIN;Acc:ZDB-GENE-051030-30]</t>
  </si>
  <si>
    <t>rbm34</t>
  </si>
  <si>
    <t>ENSDARG00000101877</t>
  </si>
  <si>
    <t>RNA binding motif protein 34 [Source:ZFIN;Acc:ZDB-GENE-040718-77]</t>
  </si>
  <si>
    <t>pes</t>
  </si>
  <si>
    <t>ENSDARG00000018902</t>
  </si>
  <si>
    <t>pescadillo [Source:ZFIN;Acc:ZDB-GENE-990415-206]</t>
  </si>
  <si>
    <t>exosc9</t>
  </si>
  <si>
    <t>ENSDARG00000006392</t>
  </si>
  <si>
    <t>exosome component 9 [Source:ZFIN;Acc:ZDB-GENE-041010-180]</t>
  </si>
  <si>
    <t>nup188</t>
  </si>
  <si>
    <t>ENSDARG00000030022</t>
  </si>
  <si>
    <t>nucleoporin 188 [Source:ZFIN;Acc:ZDB-GENE-030131-7184]</t>
  </si>
  <si>
    <t>srek1ip1</t>
  </si>
  <si>
    <t>ENSDARG00000043728</t>
  </si>
  <si>
    <t>SREK1-interacting protein 1 [Source:ZFIN;Acc:ZDB-GENE-051030-24]</t>
  </si>
  <si>
    <t>rbm28</t>
  </si>
  <si>
    <t>ENSDARG00000025332</t>
  </si>
  <si>
    <t>RNA binding motif protein 28 [Source:ZFIN;Acc:ZDB-GENE-040426-960]</t>
  </si>
  <si>
    <t>rnf44</t>
  </si>
  <si>
    <t>ENSDARG00000068582</t>
  </si>
  <si>
    <t>ring finger protein 44 [Source:ZFIN;Acc:ZDB-GENE-060929-604]</t>
  </si>
  <si>
    <t>mrpl4</t>
  </si>
  <si>
    <t>ENSDARG00000058824</t>
  </si>
  <si>
    <t>mitochondrial ribosomal protein L4 [Source:ZFIN;Acc:ZDB-GENE-050522-388]</t>
  </si>
  <si>
    <t>rrp36</t>
  </si>
  <si>
    <t>ENSDARG00000032516</t>
  </si>
  <si>
    <t>ribosomal RNA processing 36 [Source:ZFIN;Acc:ZDB-GENE-030131-9751]</t>
  </si>
  <si>
    <t>nolc1</t>
  </si>
  <si>
    <t>ENSDARG00000024561</t>
  </si>
  <si>
    <t>nucleolar and coiled-body phosphoprotein 1 [Source:ZFIN;Acc:ZDB-GENE-030131-6349]</t>
  </si>
  <si>
    <t>eif4ebp3l</t>
  </si>
  <si>
    <t>ENSDARG00000041607</t>
  </si>
  <si>
    <t>eukaryotic translation initiation factor 4E binding protein 3, like [Source:ZFIN;Acc:ZDB-GENE-030826-26]</t>
  </si>
  <si>
    <t>ddx27</t>
  </si>
  <si>
    <t>ENSDARG00000091831</t>
  </si>
  <si>
    <t>DEAD (Asp-Glu-Ala-Asp) box polypeptide 27 [Source:ZFIN;Acc:ZDB-GENE-031001-8]</t>
  </si>
  <si>
    <t>eif3ba</t>
  </si>
  <si>
    <t>ENSDARG00000059654</t>
  </si>
  <si>
    <t>eukaryotic translation initiation factor 3, subunit Ba [Source:ZFIN;Acc:ZDB-GENE-030131-2748]</t>
  </si>
  <si>
    <t>eed</t>
  </si>
  <si>
    <t>ENSDARG00000099640</t>
  </si>
  <si>
    <t>embryonic ectoderm development [Source:ZFIN;Acc:ZDB-GENE-050417-287]</t>
  </si>
  <si>
    <t>fam60al</t>
  </si>
  <si>
    <t>ENSDARG00000095007</t>
  </si>
  <si>
    <t>coa3b</t>
  </si>
  <si>
    <t>ENSDARG00000097456</t>
  </si>
  <si>
    <t>cytochrome C oxidase assembly factor 3b [Source:ZFIN;Acc:ZDB-GENE-030131-7433]</t>
  </si>
  <si>
    <t>utp11l</t>
  </si>
  <si>
    <t>ENSDARG00000039958</t>
  </si>
  <si>
    <t>UTP11-like, U3 small nucleolar ribonucleoprotein (yeast) [Source:ZFIN;Acc:ZDB-GENE-030131-8093]</t>
  </si>
  <si>
    <t>kars</t>
  </si>
  <si>
    <t>ENSDARG00000103799</t>
  </si>
  <si>
    <t>lysyl-tRNA synthetase [Source:ZFIN;Acc:ZDB-GENE-021115-8]</t>
  </si>
  <si>
    <t>cnbpa</t>
  </si>
  <si>
    <t>ENSDARG00000045776</t>
  </si>
  <si>
    <t>CCHC-type zinc finger, nucleic acid binding protein a [Source:ZFIN;Acc:ZDB-GENE-030131-5045]</t>
  </si>
  <si>
    <t>sfpq</t>
  </si>
  <si>
    <t>ENSDARG00000011564</t>
  </si>
  <si>
    <t>splicing factor proline/glutamine-rich [Source:ZFIN;Acc:ZDB-GENE-040426-2452]</t>
  </si>
  <si>
    <t>rbbp9</t>
  </si>
  <si>
    <t>ENSDARG00000040713</t>
  </si>
  <si>
    <t>retinoblastoma binding protein 9 [Source:ZFIN;Acc:ZDB-GENE-050208-692]</t>
  </si>
  <si>
    <t>si:dkey-264b2.3</t>
  </si>
  <si>
    <t>ENSDARG00000092875</t>
  </si>
  <si>
    <t>si:dkey-264b2.3 [Source:ZFIN;Acc:ZDB-GENE-070912-485]</t>
  </si>
  <si>
    <t>si:dkey-67c22.2</t>
  </si>
  <si>
    <t>ENSDARG00000055389</t>
  </si>
  <si>
    <t>si:dkey-67c22.2 [Source:ZFIN;Acc:ZDB-GENE-030131-5845]</t>
  </si>
  <si>
    <t>enosf1</t>
  </si>
  <si>
    <t>ENSDARG00000038359</t>
  </si>
  <si>
    <t>enolase superfamily member 1 [Source:ZFIN;Acc:ZDB-GENE-060929-780]</t>
  </si>
  <si>
    <t>atp1b1a</t>
  </si>
  <si>
    <t>ENSDARG00000013144</t>
  </si>
  <si>
    <t>ATPase, Na+/K+ transporting, beta 1a polypeptide [Source:ZFIN;Acc:ZDB-GENE-001127-3]</t>
  </si>
  <si>
    <t>fosab</t>
  </si>
  <si>
    <t>ENSDARG00000031683</t>
  </si>
  <si>
    <t>v-fos FBJ murine osteosarcoma viral oncogene homolog Ab [Source:ZFIN;Acc:ZDB-GENE-031222-4]</t>
  </si>
  <si>
    <t>junba</t>
  </si>
  <si>
    <t>ENSDARG00000074378</t>
  </si>
  <si>
    <t>jun B proto-oncogene a [Source:ZFIN;Acc:ZDB-GENE-040426-2172]</t>
  </si>
  <si>
    <t>junbb</t>
  </si>
  <si>
    <t>ENSDARG00000104773</t>
  </si>
  <si>
    <t>jun B proto-oncogene b [Source:ZFIN;Acc:ZDB-GENE-040426-2666]</t>
  </si>
  <si>
    <t>btg2</t>
  </si>
  <si>
    <t>ENSDARG00000020298</t>
  </si>
  <si>
    <t>B-cell translocation gene 2 [Source:ZFIN;Acc:ZDB-GENE-000210-15]</t>
  </si>
  <si>
    <t>jun</t>
  </si>
  <si>
    <t>ENSDARG00000043531</t>
  </si>
  <si>
    <t>jun proto-oncogene [Source:ZFIN;Acc:ZDB-GENE-030131-7859]</t>
  </si>
  <si>
    <t>dusp2</t>
  </si>
  <si>
    <t>ENSDARG00000098108</t>
  </si>
  <si>
    <t>dual specificity phosphatase 2 [Source:ZFIN;Acc:ZDB-GENE-040801-188]</t>
  </si>
  <si>
    <t>mcl1a</t>
  </si>
  <si>
    <t>ENSDARG00000009779</t>
  </si>
  <si>
    <t>myeloid cell leukemia 1a [Source:ZFIN;Acc:ZDB-GENE-000511-7]</t>
  </si>
  <si>
    <t>fosl1a</t>
  </si>
  <si>
    <t>ENSDARG00000015355</t>
  </si>
  <si>
    <t>FOS-like antigen 1a [Source:ZFIN;Acc:ZDB-GENE-061207-7]</t>
  </si>
  <si>
    <t>si:ch73-335l21.4</t>
  </si>
  <si>
    <t>ENSDARG00000091234</t>
  </si>
  <si>
    <t>si:ch73-335l21.4 [Source:ZFIN;Acc:ZDB-GENE-160728-105]</t>
  </si>
  <si>
    <t>zgc:153911</t>
  </si>
  <si>
    <t>ENSDARG00000002509</t>
  </si>
  <si>
    <t>zgc:153911 [Source:ZFIN;Acc:ZDB-GENE-061013-174]</t>
  </si>
  <si>
    <t>jdp2b</t>
  </si>
  <si>
    <t>ENSDARG00000020133</t>
  </si>
  <si>
    <t>Jun dimerization protein 2b [Source:ZFIN;Acc:ZDB-GENE-040718-197]</t>
  </si>
  <si>
    <t>gadd45ba</t>
  </si>
  <si>
    <t>ENSDARG00000027744</t>
  </si>
  <si>
    <t>growth arrest and DNA-damage-inducible, beta a [Source:ZFIN;Acc:ZDB-GENE-040426-1971]</t>
  </si>
  <si>
    <t>palm1a</t>
  </si>
  <si>
    <t>ENSDARG00000026882</t>
  </si>
  <si>
    <t>paralemmin 1a [Source:ZFIN;Acc:ZDB-GENE-050417-409]</t>
  </si>
  <si>
    <t>zgc:162730</t>
  </si>
  <si>
    <t>ENSDARG00000103720</t>
  </si>
  <si>
    <t>zgc:162730 [Source:ZFIN;Acc:ZDB-GENE-030131-6366]</t>
  </si>
  <si>
    <t>CABZ01067232.1</t>
  </si>
  <si>
    <t>ENSDARG00000057408</t>
  </si>
  <si>
    <t>ppp1r15a</t>
  </si>
  <si>
    <t>ENSDARG00000069135</t>
  </si>
  <si>
    <t>protein phosphatase 1, regulatory subunit 15A [Source:ZFIN;Acc:ZDB-GENE-030131-4408]</t>
  </si>
  <si>
    <t>aplnra</t>
  </si>
  <si>
    <t>ENSDARG00000002172</t>
  </si>
  <si>
    <t>apelin receptor a [Source:ZFIN;Acc:ZDB-GENE-060929-512]</t>
  </si>
  <si>
    <t>ubc</t>
  </si>
  <si>
    <t>ENSDARG00000102632</t>
  </si>
  <si>
    <t>ubiquitin C [Source:ZFIN;Acc:ZDB-GENE-061110-88]</t>
  </si>
  <si>
    <t>sat1a.2</t>
  </si>
  <si>
    <t>ENSDARG00000095908</t>
  </si>
  <si>
    <t>spermidine/spermine N1-acetyltransferase 1a, duplicate 2 [Source:ZFIN;Acc:ZDB-GENE-040704-4]</t>
  </si>
  <si>
    <t>egr1</t>
  </si>
  <si>
    <t>ENSDARG00000037421</t>
  </si>
  <si>
    <t>early growth response 1 [Source:ZFIN;Acc:ZDB-GENE-980526-320]</t>
  </si>
  <si>
    <t>pim1</t>
  </si>
  <si>
    <t>ENSDARG00000100020</t>
  </si>
  <si>
    <t>Pim-1 proto-oncogene, serine/threonine kinase [Source:ZFIN;Acc:ZDB-GENE-061013-139]</t>
  </si>
  <si>
    <t>ier5</t>
  </si>
  <si>
    <t>ENSDARG00000009881</t>
  </si>
  <si>
    <t>immediate early response 5 [Source:ZFIN;Acc:ZDB-GENE-030616-127]</t>
  </si>
  <si>
    <t>angptl4</t>
  </si>
  <si>
    <t>ENSDARG00000035859</t>
  </si>
  <si>
    <t>angiopoietin-like 4 [Source:ZFIN;Acc:ZDB-GENE-041111-222]</t>
  </si>
  <si>
    <t>mycb</t>
  </si>
  <si>
    <t>ENSDARG00000007241</t>
  </si>
  <si>
    <t>v-myc avian myelocytomatosis viral oncogene homolog b [Source:ZFIN;Acc:ZDB-GENE-040426-780]</t>
  </si>
  <si>
    <t>pmaip1</t>
  </si>
  <si>
    <t>ENSDARG00000089307</t>
  </si>
  <si>
    <t>phorbol-12-myristate-13-acetate-induced protein 1 [Source:ZFIN;Acc:ZDB-GENE-070119-3]</t>
  </si>
  <si>
    <t>abcg4b</t>
  </si>
  <si>
    <t>ENSDARG00000078068</t>
  </si>
  <si>
    <t>ATP-binding cassette, sub-family G (WHITE), member 4b [Source:ZFIN;Acc:ZDB-GENE-080215-10]</t>
  </si>
  <si>
    <t>si:ch73-380n15.2</t>
  </si>
  <si>
    <t>ENSDARG00000087224</t>
  </si>
  <si>
    <t>si:ch73-380n15.2 [Source:ZFIN;Acc:ZDB-GENE-090313-161]</t>
  </si>
  <si>
    <t>cbln18</t>
  </si>
  <si>
    <t>ENSDARG00000090969</t>
  </si>
  <si>
    <t>cerebellin 18 [Source:ZFIN;Acc:ZDB-GENE-111109-3]</t>
  </si>
  <si>
    <t>GRAMD2</t>
  </si>
  <si>
    <t>ENSDARG00000103736</t>
  </si>
  <si>
    <t>GRAM domain containing 2 [Source:HGNC Symbol;Acc:HGNC:27287]</t>
  </si>
  <si>
    <t>atf4b</t>
  </si>
  <si>
    <t>ENSDARG00000038141</t>
  </si>
  <si>
    <t>activating transcription factor 4b [Source:ZFIN;Acc:ZDB-GENE-070928-23]</t>
  </si>
  <si>
    <t>arl5c</t>
  </si>
  <si>
    <t>ENSDARG00000035719</t>
  </si>
  <si>
    <t>ADP-ribosylation factor-like 5C [Source:ZFIN;Acc:ZDB-GENE-040426-1866]</t>
  </si>
  <si>
    <t>dhrs3a</t>
  </si>
  <si>
    <t>ENSDARG00000044982</t>
  </si>
  <si>
    <t>dehydrogenase/reductase (SDR family) member 3a [Source:ZFIN;Acc:ZDB-GENE-040801-217]</t>
  </si>
  <si>
    <t>atf3</t>
  </si>
  <si>
    <t>ENSDARG00000007823</t>
  </si>
  <si>
    <t>activating transcription factor 3 [Source:ZFIN;Acc:ZDB-GENE-040426-728]</t>
  </si>
  <si>
    <t>si:ch73-52f24.4</t>
  </si>
  <si>
    <t>ENSDARG00000100697</t>
  </si>
  <si>
    <t>si:ch73-52f24.4 [Source:ZFIN;Acc:ZDB-GENE-030131-2681]</t>
  </si>
  <si>
    <t>cebpd</t>
  </si>
  <si>
    <t>ENSDARG00000087303</t>
  </si>
  <si>
    <t>CCAAT/enhancer binding protein (C/EBP), delta [Source:ZFIN;Acc:ZDB-GENE-020111-4]</t>
  </si>
  <si>
    <t>dusp1</t>
  </si>
  <si>
    <t>ENSDARG00000100515</t>
  </si>
  <si>
    <t>dual specificity phosphatase 1 [Source:ZFIN;Acc:ZDB-GENE-040426-2018]</t>
  </si>
  <si>
    <t>chac1</t>
  </si>
  <si>
    <t>ENSDARG00000070426</t>
  </si>
  <si>
    <t>ChaC, cation transport regulator homolog 1 (E. coli) [Source:ZFIN;Acc:ZDB-GENE-030131-1957]</t>
  </si>
  <si>
    <t>si:ch211-195b13.1</t>
  </si>
  <si>
    <t>ENSDARG00000016623</t>
  </si>
  <si>
    <t>si:ch211-195b13.1 [Source:ZFIN;Acc:ZDB-GENE-030131-7626]</t>
  </si>
  <si>
    <t>relt</t>
  </si>
  <si>
    <t>ENSDARG00000099724</t>
  </si>
  <si>
    <t>RELT tumor necrosis factor receptor [Source:ZFIN;Acc:ZDB-GENE-040426-2361]</t>
  </si>
  <si>
    <t>igfbp5a</t>
  </si>
  <si>
    <t>ENSDARG00000039264</t>
  </si>
  <si>
    <t>insulin-like growth factor binding protein 5a [Source:ZFIN;Acc:ZDB-GENE-070620-8]</t>
  </si>
  <si>
    <t>efhd1</t>
  </si>
  <si>
    <t>ENSDARG00000043446</t>
  </si>
  <si>
    <t>EF-hand domain family, member D1 [Source:ZFIN;Acc:ZDB-GENE-030131-7461]</t>
  </si>
  <si>
    <t>tdh</t>
  </si>
  <si>
    <t>ENSDARG00000002745</t>
  </si>
  <si>
    <t>L-threonine dehydrogenase [Source:ZFIN;Acc:ZDB-GENE-040426-2379]</t>
  </si>
  <si>
    <t>hey1</t>
  </si>
  <si>
    <t>ENSDARG00000070538</t>
  </si>
  <si>
    <t>hes-related family bHLH transcription factor with YRPW motif 1 [Source:ZFIN;Acc:ZDB-GENE-000607-70]</t>
  </si>
  <si>
    <t>CABZ01086806.1</t>
  </si>
  <si>
    <t>ENSDARG00000021566</t>
  </si>
  <si>
    <t>crabp2a</t>
  </si>
  <si>
    <t>ENSDARG00000073978</t>
  </si>
  <si>
    <t>cellular retinoic acid binding protein 2, a [Source:ZFIN;Acc:ZDB-GENE-020320-4]</t>
  </si>
  <si>
    <t>arhgap10</t>
  </si>
  <si>
    <t>ENSDARG00000078326</t>
  </si>
  <si>
    <t>Rho GTPase activating protein 10 [Source:ZFIN;Acc:ZDB-GENE-060512-221]</t>
  </si>
  <si>
    <t>si:ch211-193l2.5</t>
  </si>
  <si>
    <t>ENSDARG00000103339</t>
  </si>
  <si>
    <t>si:ch211-193l2.5 [Source:ZFIN;Acc:ZDB-GENE-141216-226]</t>
  </si>
  <si>
    <t>ubb</t>
  </si>
  <si>
    <t>ENSDARG00000093313</t>
  </si>
  <si>
    <t>ubiquitin B [Source:ZFIN;Acc:ZDB-GENE-050411-10]</t>
  </si>
  <si>
    <t>nr1d1</t>
  </si>
  <si>
    <t>ENSDARG00000033160</t>
  </si>
  <si>
    <t>nuclear receptor subfamily 1, group d, member 1 [Source:ZFIN;Acc:ZDB-GENE-050105-1]</t>
  </si>
  <si>
    <t>tppp3</t>
  </si>
  <si>
    <t>ENSDARG00000030463</t>
  </si>
  <si>
    <t>tubulin polymerization-promoting protein family member 3 [Source:ZFIN;Acc:ZDB-GENE-040426-1909]</t>
  </si>
  <si>
    <t>hbegfb</t>
  </si>
  <si>
    <t>ENSDARG00000031246</t>
  </si>
  <si>
    <t>heparin-binding EGF-like growth factor b [Source:ZFIN;Acc:ZDB-GENE-070820-6]</t>
  </si>
  <si>
    <t>bada</t>
  </si>
  <si>
    <t>ENSDARG00000087993</t>
  </si>
  <si>
    <t>BCL2-associated agonist of cell death a [Source:ZFIN;Acc:ZDB-GENE-030131-2378]</t>
  </si>
  <si>
    <t>cxcl20</t>
  </si>
  <si>
    <t>ENSDARG00000075163</t>
  </si>
  <si>
    <t>chemokine (C-X-C motif) ligand 20 [Source:ZFIN;Acc:ZDB-GENE-111004-2]</t>
  </si>
  <si>
    <t>cst3</t>
  </si>
  <si>
    <t>ENSDARG00000007795</t>
  </si>
  <si>
    <t>cystatin C (amyloid angiopathy and cerebral hemorrhage) [Source:ZFIN;Acc:ZDB-GENE-030131-373]</t>
  </si>
  <si>
    <t>krt91</t>
  </si>
  <si>
    <t>ENSDARG00000036830</t>
  </si>
  <si>
    <t>keratin 91 [Source:ZFIN;Acc:ZDB-GENE-040801-181]</t>
  </si>
  <si>
    <t>gata2a</t>
  </si>
  <si>
    <t>ENSDARG00000059327</t>
  </si>
  <si>
    <t>GATA binding protein 2a [Source:ZFIN;Acc:ZDB-GENE-980526-260]</t>
  </si>
  <si>
    <t>ddit4</t>
  </si>
  <si>
    <t>ENSDARG00000037618</t>
  </si>
  <si>
    <t>DNA-damage-inducible transcript 4 [Source:ZFIN;Acc:ZDB-GENE-031002-35]</t>
  </si>
  <si>
    <t>CABZ01041812.1</t>
  </si>
  <si>
    <t>ENSDARG00000061481</t>
  </si>
  <si>
    <t>fkbp1b</t>
  </si>
  <si>
    <t>ENSDARG00000052625</t>
  </si>
  <si>
    <t>FK506 binding protein 1b [Source:ZFIN;Acc:ZDB-GENE-040426-1785]</t>
  </si>
  <si>
    <t>snx22</t>
  </si>
  <si>
    <t>ENSDARG00000053204</t>
  </si>
  <si>
    <t>sorting nexin 22 [Source:ZFIN;Acc:ZDB-GENE-060825-154]</t>
  </si>
  <si>
    <t>irg1l</t>
  </si>
  <si>
    <t>ENSDARG00000062788</t>
  </si>
  <si>
    <t>immunoresponsive gene 1, like [Source:ZFIN;Acc:ZDB-GENE-061103-301]</t>
  </si>
  <si>
    <t>si:ch211-202f5.3</t>
  </si>
  <si>
    <t>ENSDARG00000092998</t>
  </si>
  <si>
    <t>si:ch211-202f5.3 [Source:ZFIN;Acc:ZDB-GENE-030131-1042]</t>
  </si>
  <si>
    <t>ivns1abpa</t>
  </si>
  <si>
    <t>ENSDARG00000031100</t>
  </si>
  <si>
    <t>influenza virus NS1A binding protein a [Source:ZFIN;Acc:ZDB-GENE-031222-2]</t>
  </si>
  <si>
    <t>rasl11b</t>
  </si>
  <si>
    <t>ENSDARG00000015611</t>
  </si>
  <si>
    <t>RAS-like, family 11, member B [Source:ZFIN;Acc:ZDB-GENE-040426-793]</t>
  </si>
  <si>
    <t>cd81a</t>
  </si>
  <si>
    <t>ENSDARG00000036080</t>
  </si>
  <si>
    <t>CD81 molecule a [Source:ZFIN;Acc:ZDB-GENE-000831-5]</t>
  </si>
  <si>
    <t>crfb17</t>
  </si>
  <si>
    <t>ENSDARG00000074771</t>
  </si>
  <si>
    <t>cytokine receptor family member B17 [Source:ZFIN;Acc:ZDB-GENE-081022-158]</t>
  </si>
  <si>
    <t>si:ch73-141c7.1</t>
  </si>
  <si>
    <t>ENSDARG00000009040</t>
  </si>
  <si>
    <t>si:ch73-141c7.1 [Source:ZFIN;Acc:ZDB-GENE-040426-1760]</t>
  </si>
  <si>
    <t>cyt1</t>
  </si>
  <si>
    <t>ENSDARG00000092947</t>
  </si>
  <si>
    <t>type I cytokeratin, enveloping layer [Source:ZFIN;Acc:ZDB-GENE-991008-6]</t>
  </si>
  <si>
    <t>lgals3bpa</t>
  </si>
  <si>
    <t>ENSDARG00000037805</t>
  </si>
  <si>
    <t>lectin, galactoside-binding, soluble, 3 binding protein a [Source:ZFIN;Acc:ZDB-GENE-060331-57]</t>
  </si>
  <si>
    <t>ciarta</t>
  </si>
  <si>
    <t>ENSDARG00000058094</t>
  </si>
  <si>
    <t>circadian associated repressor of transcription a [Source:ZFIN;Acc:ZDB-GENE-030131-7016]</t>
  </si>
  <si>
    <t>dkk2</t>
  </si>
  <si>
    <t>ENSDARG00000076420</t>
  </si>
  <si>
    <t>dickkopf WNT signaling pathway inhibitor 2 [Source:ZFIN;Acc:ZDB-GENE-080204-14]</t>
  </si>
  <si>
    <t>rdh10a</t>
  </si>
  <si>
    <t>ENSDARG00000058730</t>
  </si>
  <si>
    <t>retinol dehydrogenase 10a [Source:ZFIN;Acc:ZDB-GENE-070112-2242]</t>
  </si>
  <si>
    <t>il13ra2</t>
  </si>
  <si>
    <t>ENSDARG00000039436</t>
  </si>
  <si>
    <t>interleukin 13 receptor, alpha 2 [Source:ZFIN;Acc:ZDB-GENE-030521-10]</t>
  </si>
  <si>
    <t>gdnfb</t>
  </si>
  <si>
    <t>ENSDARG00000103764</t>
  </si>
  <si>
    <t>glial cell derived neurotrophic factor b [Source:ZFIN;Acc:ZDB-GENE-110609-2]</t>
  </si>
  <si>
    <t>kitlga</t>
  </si>
  <si>
    <t>ENSDARG00000070917</t>
  </si>
  <si>
    <t>kit ligand a [Source:ZFIN;Acc:ZDB-GENE-070424-1]</t>
  </si>
  <si>
    <t>hey2</t>
  </si>
  <si>
    <t>ENSDARG00000013441</t>
  </si>
  <si>
    <t>hes-related family bHLH transcription factor with YRPW motif 2 [Source:ZFIN;Acc:ZDB-GENE-000526-1]</t>
  </si>
  <si>
    <t>cav1</t>
  </si>
  <si>
    <t>ENSDARG00000103747</t>
  </si>
  <si>
    <t>caveolin 1 [Source:ZFIN;Acc:ZDB-GENE-030131-2415]</t>
  </si>
  <si>
    <t>ptprz1a</t>
  </si>
  <si>
    <t>ENSDARG00000051814</t>
  </si>
  <si>
    <t>protein tyrosine phosphatase, receptor-type, Z polypeptide 1a [Source:ZFIN;Acc:ZDB-GENE-090406-1]</t>
  </si>
  <si>
    <t>entpd1</t>
  </si>
  <si>
    <t>ENSDARG00000045066</t>
  </si>
  <si>
    <t>ectonucleoside triphosphate diphosphohydrolase 1 [Source:ZFIN;Acc:ZDB-GENE-040801-58]</t>
  </si>
  <si>
    <t>spry2</t>
  </si>
  <si>
    <t>ENSDARG00000078308</t>
  </si>
  <si>
    <t>sprouty RTK signaling antagonist 2 [Source:ZFIN;Acc:ZDB-GENE-030131-7038]</t>
  </si>
  <si>
    <t>cmah</t>
  </si>
  <si>
    <t>ENSDARG00000057714</t>
  </si>
  <si>
    <t>cytidine monophospho-N-acetylneuraminic acid hydroxylase [Source:ZFIN;Acc:ZDB-GENE-040704-33]</t>
  </si>
  <si>
    <t>si:dkeyp-86h10.3</t>
  </si>
  <si>
    <t>ENSDARG00000095615</t>
  </si>
  <si>
    <t>si:dkeyp-86h10.3 [Source:ZFIN;Acc:ZDB-GENE-100922-65]</t>
  </si>
  <si>
    <t>AL954146.2</t>
  </si>
  <si>
    <t>ENSDARG00000052517</t>
  </si>
  <si>
    <t>ccl19a.1</t>
  </si>
  <si>
    <t>ENSDARG00000058389</t>
  </si>
  <si>
    <t>chemokine (C-C motif) ligand 19a, tandem duplicate 1 [Source:ZFIN;Acc:ZDB-GENE-060526-181]</t>
  </si>
  <si>
    <t>chst2a</t>
  </si>
  <si>
    <t>ENSDARG00000075007</t>
  </si>
  <si>
    <t>carbohydrate (N-acetylglucosamine-6-O) sulfotransferase 2a [Source:ZFIN;Acc:ZDB-GENE-060929-40]</t>
  </si>
  <si>
    <t>itgb4</t>
  </si>
  <si>
    <t>ENSDARG00000028507</t>
  </si>
  <si>
    <t>integrin, beta 4 [Source:ZFIN;Acc:ZDB-GENE-030131-7209]</t>
  </si>
  <si>
    <t>col18a1</t>
  </si>
  <si>
    <t>ENSDARG00000036558</t>
  </si>
  <si>
    <t>collagen type XVIII, alpha 1 [Source:ZFIN;Acc:ZDB-GENE-030516-3]</t>
  </si>
  <si>
    <t>gmds</t>
  </si>
  <si>
    <t>ENSDARG00000026629</t>
  </si>
  <si>
    <t>GDP-mannose 4,6-dehydratase [Source:ZFIN;Acc:ZDB-GENE-050419-45]</t>
  </si>
  <si>
    <t>hhla2a.1</t>
  </si>
  <si>
    <t>ENSDARG00000043182</t>
  </si>
  <si>
    <t>HERV-H LTR-associating 2a, tandem duplicate 1 [Source:ZFIN;Acc:ZDB-GENE-050327-45]</t>
  </si>
  <si>
    <t>eya2</t>
  </si>
  <si>
    <t>ENSDARG00000018984</t>
  </si>
  <si>
    <t>EYA transcriptional coactivator and phosphatase 2 [Source:ZFIN;Acc:ZDB-GENE-040912-24]</t>
  </si>
  <si>
    <t>arhgef10la</t>
  </si>
  <si>
    <t>ENSDARG00000088630</t>
  </si>
  <si>
    <t>Rho guanine nucleotide exchange factor (GEF) 10-like a [Source:ZFIN;Acc:ZDB-GENE-120814-1]</t>
  </si>
  <si>
    <t>socs3b</t>
  </si>
  <si>
    <t>ENSDARG00000026611</t>
  </si>
  <si>
    <t>suppressor of cytokine signaling 3b [Source:ZFIN;Acc:ZDB-GENE-040426-2528]</t>
  </si>
  <si>
    <t>arl1</t>
  </si>
  <si>
    <t>ENSDARG00000101680</t>
  </si>
  <si>
    <t>ADP-ribosylation factor-like 1 [Source:ZFIN;Acc:ZDB-GENE-040718-175]</t>
  </si>
  <si>
    <t>ms4a17a.1</t>
  </si>
  <si>
    <t>ENSDARG00000043798</t>
  </si>
  <si>
    <t>membrane-spanning 4-domains, subfamily A, member 17A.1 [Source:ZFIN;Acc:ZDB-GENE-050417-307]</t>
  </si>
  <si>
    <t>clstn1</t>
  </si>
  <si>
    <t>ENSDARG00000031720</t>
  </si>
  <si>
    <t>calsyntenin 1 [Source:ZFIN;Acc:ZDB-GENE-040426-1064]</t>
  </si>
  <si>
    <t>sgk1</t>
  </si>
  <si>
    <t>ENSDARG00000025522</t>
  </si>
  <si>
    <t>serum/glucocorticoid regulated kinase 1 [Source:ZFIN;Acc:ZDB-GENE-030131-2860]</t>
  </si>
  <si>
    <t>apela</t>
  </si>
  <si>
    <t>ENSDARG00000094729</t>
  </si>
  <si>
    <t>apelin receptor early endogenous ligand [Source:ZFIN;Acc:ZDB-GENE-090313-116]</t>
  </si>
  <si>
    <t>dixdc1a</t>
  </si>
  <si>
    <t>ENSDARG00000025302</t>
  </si>
  <si>
    <t>DIX domain containing 1a [Source:ZFIN;Acc:ZDB-GENE-030721-2]</t>
  </si>
  <si>
    <t>BX649497.2</t>
  </si>
  <si>
    <t>ENSDARG00000099359</t>
  </si>
  <si>
    <t>hmgn3</t>
  </si>
  <si>
    <t>ENSDARG00000036754</t>
  </si>
  <si>
    <t>high mobility group nucleosomal binding domain 3 [Source:ZFIN;Acc:ZDB-GENE-041114-180]</t>
  </si>
  <si>
    <t>bloc1s4</t>
  </si>
  <si>
    <t>ENSDARG00000007597</t>
  </si>
  <si>
    <t>biogenesis of lysosomal organelles complex-1, subunit 4, cappuccino [Source:ZFIN;Acc:ZDB-GENE-040801-215]</t>
  </si>
  <si>
    <t>si:dkey-207b20.2</t>
  </si>
  <si>
    <t>ENSDARG00000101201</t>
  </si>
  <si>
    <t>si:dkey-207b20.2 [Source:ZFIN;Acc:ZDB-GENE-141216-467]</t>
  </si>
  <si>
    <t>ms4a17a.10.1</t>
  </si>
  <si>
    <t>ENSDARG00000095695</t>
  </si>
  <si>
    <t>membrane-spanning 4-domains, subfamily A, member 17A.10 [Source:ZFIN;Acc:ZDB-GENE-080829-3]</t>
  </si>
  <si>
    <t>mtpn</t>
  </si>
  <si>
    <t>ENSDARG00000104018</t>
  </si>
  <si>
    <t>myotrophin [Source:ZFIN;Acc:ZDB-GENE-040426-2166]</t>
  </si>
  <si>
    <t>plekhf1</t>
  </si>
  <si>
    <t>ENSDARG00000102435</t>
  </si>
  <si>
    <t>pleckstrin homology domain containing, family F (with FYVE domain) member 1 [Source:ZFIN;Acc:ZDB-GENE-040426-1289]</t>
  </si>
  <si>
    <t>her15.2</t>
  </si>
  <si>
    <t>ENSDARG00000054560</t>
  </si>
  <si>
    <t>hairy and enhancer of split-related 15, tandem duplicate 2 [Source:ZFIN;Acc:ZDB-GENE-070627-1]</t>
  </si>
  <si>
    <t>vgll4b</t>
  </si>
  <si>
    <t>ENSDARG00000103730</t>
  </si>
  <si>
    <t>vestigial-like family member 4b [Source:ZFIN;Acc:ZDB-GENE-040426-2445]</t>
  </si>
  <si>
    <t>znf536</t>
  </si>
  <si>
    <t>ENSDARG00000103648</t>
  </si>
  <si>
    <t>zinc finger protein 536 [Source:ZFIN;Acc:ZDB-GENE-030616-624]</t>
  </si>
  <si>
    <t>fabp2</t>
  </si>
  <si>
    <t>ENSDARG00000006427</t>
  </si>
  <si>
    <t>fatty acid binding protein 2, intestinal [Source:ZFIN;Acc:ZDB-GENE-991019-5]</t>
  </si>
  <si>
    <t>tmem54a</t>
  </si>
  <si>
    <t>ENSDARG00000059247</t>
  </si>
  <si>
    <t>transmembrane protein 54a [Source:ZFIN;Acc:ZDB-GENE-040426-1304]</t>
  </si>
  <si>
    <t>lhfp</t>
  </si>
  <si>
    <t>ENSDARG00000004363</t>
  </si>
  <si>
    <t>lipoma HMGIC fusion partner [Source:ZFIN;Acc:ZDB-GENE-041212-82]</t>
  </si>
  <si>
    <t>arg2</t>
  </si>
  <si>
    <t>ENSDARG00000039269</t>
  </si>
  <si>
    <t>arginase 2 [Source:ZFIN;Acc:ZDB-GENE-030131-1334]</t>
  </si>
  <si>
    <t>zgc:101785</t>
  </si>
  <si>
    <t>ENSDARG00000100104</t>
  </si>
  <si>
    <t>zgc:101785 [Source:ZFIN;Acc:ZDB-GENE-041010-152]</t>
  </si>
  <si>
    <t>jag1b</t>
  </si>
  <si>
    <t>ENSDARG00000013168</t>
  </si>
  <si>
    <t>jagged 1b [Source:ZFIN;Acc:ZDB-GENE-011128-4]</t>
  </si>
  <si>
    <t>zgc:110796</t>
  </si>
  <si>
    <t>ENSDARG00000041299</t>
  </si>
  <si>
    <t>zgc:110796 [Source:ZFIN;Acc:ZDB-GENE-050306-36]</t>
  </si>
  <si>
    <t>pik3r2</t>
  </si>
  <si>
    <t>ENSDARG00000018060</t>
  </si>
  <si>
    <t>phosphoinositide-3-kinase, regulatory subunit 2 (beta) [Source:ZFIN;Acc:ZDB-GENE-040309-1]</t>
  </si>
  <si>
    <t>porb</t>
  </si>
  <si>
    <t>ENSDARG00000059035</t>
  </si>
  <si>
    <t>P450 (cytochrome) oxidoreductase b [Source:ZFIN;Acc:ZDB-GENE-030131-5767]</t>
  </si>
  <si>
    <t>appa</t>
  </si>
  <si>
    <t>ENSDARG00000104279</t>
  </si>
  <si>
    <t>amyloid beta (A4) precursor protein a [Source:ZFIN;Acc:ZDB-GENE-000616-13]</t>
  </si>
  <si>
    <t>s100a11</t>
  </si>
  <si>
    <t>ENSDARG00000093628</t>
  </si>
  <si>
    <t>S100 calcium binding protein A11 [Source:ZFIN;Acc:ZDB-GENE-070717-5]</t>
  </si>
  <si>
    <t>mt-co1</t>
  </si>
  <si>
    <t>ENSDARG00000063905</t>
  </si>
  <si>
    <t>cytochrome c oxidase I, mitochondrial [Source:ZFIN;Acc:ZDB-GENE-011205-14]</t>
  </si>
  <si>
    <t>mt-nd4</t>
  </si>
  <si>
    <t>ENSDARG00000063917</t>
  </si>
  <si>
    <t>NADH dehydrogenase 4, mitochondrial [Source:ZFIN;Acc:ZDB-GENE-011205-10]</t>
  </si>
  <si>
    <t>p4hb</t>
  </si>
  <si>
    <t>ENSDARG00000105116</t>
  </si>
  <si>
    <t>prolyl 4-hydroxylase, beta polypeptide [Source:ZFIN;Acc:ZDB-GENE-080610-1]</t>
  </si>
  <si>
    <t>gadd45aa</t>
  </si>
  <si>
    <t>ENSDARG00000043581</t>
  </si>
  <si>
    <t>growth arrest and DNA-damage-inducible, alpha, a [Source:ZFIN;Acc:ZDB-GENE-040426-1501]</t>
  </si>
  <si>
    <t>snap23.2</t>
  </si>
  <si>
    <t>ENSDARG00000055252</t>
  </si>
  <si>
    <t>synaptosomal-associated protein 23.2 [Source:ZFIN;Acc:ZDB-GENE-051030-75]</t>
  </si>
  <si>
    <t>si:ch211-153b23.3</t>
  </si>
  <si>
    <t>ENSDARG00000104919</t>
  </si>
  <si>
    <t>si:ch211-153b23.3 [Source:ZFIN;Acc:ZDB-GENE-141216-408]</t>
  </si>
  <si>
    <t>ms4a17a.4</t>
  </si>
  <si>
    <t>ENSDARG00000014024</t>
  </si>
  <si>
    <t>membrane-spanning 4-domains, subfamily A, member 17A.4 [Source:ZFIN;Acc:ZDB-GENE-070822-16]</t>
  </si>
  <si>
    <t>cbx7a</t>
  </si>
  <si>
    <t>ENSDARG00000038025</t>
  </si>
  <si>
    <t>chromobox homolog 7a [Source:ZFIN;Acc:ZDB-GENE-050417-400]</t>
  </si>
  <si>
    <t>zgc:174917</t>
  </si>
  <si>
    <t>ENSDARG00000073820</t>
  </si>
  <si>
    <t>zgc:174917 [Source:ZFIN;Acc:ZDB-GENE-070928-42]</t>
  </si>
  <si>
    <t>ms4a17a.2</t>
  </si>
  <si>
    <t>ENSDARG00000093546</t>
  </si>
  <si>
    <t>membrane-spanning 4-domains, subfamily A, member 17a.2 [Source:ZFIN;Acc:ZDB-GENE-070705-367]</t>
  </si>
  <si>
    <t>noxo1a</t>
  </si>
  <si>
    <t>ENSDARG00000041294</t>
  </si>
  <si>
    <t>NADPH oxidase organizer 1a [Source:ZFIN;Acc:ZDB-GENE-030131-9700]</t>
  </si>
  <si>
    <t>il13ra1</t>
  </si>
  <si>
    <t>ENSDARG00000080020</t>
  </si>
  <si>
    <t>interleukin 13 receptor, alpha 1 [Source:ZFIN;Acc:ZDB-GENE-060503-103]</t>
  </si>
  <si>
    <t>tnfrsf1a</t>
  </si>
  <si>
    <t>ENSDARG00000018569</t>
  </si>
  <si>
    <t>tumor necrosis factor receptor superfamily, member 1a [Source:ZFIN;Acc:ZDB-GENE-040426-2252]</t>
  </si>
  <si>
    <t>si:dkey-23i12.7</t>
  </si>
  <si>
    <t>ENSDARG00000105562</t>
  </si>
  <si>
    <t>si:dkey-23i12.7 [Source:ZFIN;Acc:ZDB-GENE-160728-52]</t>
  </si>
  <si>
    <t>ms4a17a.12</t>
  </si>
  <si>
    <t>ENSDARG00000053563</t>
  </si>
  <si>
    <t>membrane-spanning 4-domains, subfamily A, member 17A.12 [Source:ZFIN;Acc:ZDB-GENE-080829-4]</t>
  </si>
  <si>
    <t>zgc:194101</t>
  </si>
  <si>
    <t>ENSDARG00000076828</t>
  </si>
  <si>
    <t>zgc:194101 [Source:ZFIN;Acc:ZDB-GENE-080723-68]</t>
  </si>
  <si>
    <t>CABZ01089151.1</t>
  </si>
  <si>
    <t>ENSDARG00000088062</t>
  </si>
  <si>
    <t>ctsk</t>
  </si>
  <si>
    <t>ENSDARG00000040251</t>
  </si>
  <si>
    <t>cathepsin K [Source:ZFIN;Acc:ZDB-GENE-001205-4]</t>
  </si>
  <si>
    <t>cebpb</t>
  </si>
  <si>
    <t>ENSDARG00000042725</t>
  </si>
  <si>
    <t>CCAAT/enhancer binding protein (C/EBP), beta [Source:ZFIN;Acc:ZDB-GENE-020111-3]</t>
  </si>
  <si>
    <t>si:dkey-25e12.3</t>
  </si>
  <si>
    <t>ENSDARG00000055365</t>
  </si>
  <si>
    <t>si:dkey-25e12.3 [Source:ZFIN;Acc:ZDB-GENE-041001-132]</t>
  </si>
  <si>
    <t>si:dkey-251i10.2</t>
  </si>
  <si>
    <t>ENSDARG00000093957</t>
  </si>
  <si>
    <t>si:dkey-251i10.2 [Source:ZFIN;Acc:ZDB-GENE-050506-102]</t>
  </si>
  <si>
    <t>ms4a17a.10</t>
  </si>
  <si>
    <t>ENSDARG00000105674</t>
  </si>
  <si>
    <t>si:dkey-79d12.5</t>
  </si>
  <si>
    <t>ENSDARG00000040284</t>
  </si>
  <si>
    <t>si:dkey-79d12.5 [Source:ZFIN;Acc:ZDB-GENE-131127-429]</t>
  </si>
  <si>
    <t>leng9</t>
  </si>
  <si>
    <t>ENSDARG00000062374</t>
  </si>
  <si>
    <t>leukocyte receptor cluster (LRC) member 9 [Source:ZFIN;Acc:ZDB-GENE-061013-607]</t>
  </si>
  <si>
    <t>gnpnat1</t>
  </si>
  <si>
    <t>ENSDARG00000039892</t>
  </si>
  <si>
    <t>glucosamine-phosphate N-acetyltransferase 1 [Source:ZFIN;Acc:ZDB-GENE-050522-450]</t>
  </si>
  <si>
    <t>igfbp1a</t>
  </si>
  <si>
    <t>ENSDARG00000099351</t>
  </si>
  <si>
    <t>insulin-like growth factor binding protein 1a [Source:ZFIN;Acc:ZDB-GENE-021231-1]</t>
  </si>
  <si>
    <t>si:ch1073-392o20.2</t>
  </si>
  <si>
    <t>ENSDARG00000102599</t>
  </si>
  <si>
    <t>si:ch1073-392o20.2 [Source:ZFIN;Acc:ZDB-GENE-091204-431]</t>
  </si>
  <si>
    <t>socs3a</t>
  </si>
  <si>
    <t>ENSDARG00000025428</t>
  </si>
  <si>
    <t>suppressor of cytokine signaling 3a [Source:ZFIN;Acc:ZDB-GENE-030131-7349]</t>
  </si>
  <si>
    <t>ccl20a.3</t>
  </si>
  <si>
    <t>ENSDARG00000101040</t>
  </si>
  <si>
    <t>chemokine (C-C motif) ligand 20a, duplicate 3 [Source:ZFIN;Acc:ZDB-GENE-081022-193]</t>
  </si>
  <si>
    <t>gadd45bb</t>
  </si>
  <si>
    <t>ENSDARG00000013576</t>
  </si>
  <si>
    <t>growth arrest and DNA-damage-inducible, beta b [Source:ZFIN;Acc:ZDB-GENE-050223-1]</t>
  </si>
  <si>
    <t>si:dkey-31f5.8</t>
  </si>
  <si>
    <t>ENSDARG00000094428</t>
  </si>
  <si>
    <t>si:dkey-31f5.8 [Source:ZFIN;Acc:ZDB-GENE-041210-182]</t>
  </si>
  <si>
    <t>mvp</t>
  </si>
  <si>
    <t>ENSDARG00000021242</t>
  </si>
  <si>
    <t>major vault protein [Source:ZFIN;Acc:ZDB-GENE-030826-33]</t>
  </si>
  <si>
    <t>proca1</t>
  </si>
  <si>
    <t>ENSDARG00000069823</t>
  </si>
  <si>
    <t>protein interacting with cyclin A1 [Source:ZFIN;Acc:ZDB-GENE-110418-1]</t>
  </si>
  <si>
    <t>il4r.1</t>
  </si>
  <si>
    <t>ENSDARG00000102583</t>
  </si>
  <si>
    <t>interleukin 4 receptor, tandem duplicate 1 [Source:ZFIN;Acc:ZDB-GENE-050227-5]</t>
  </si>
  <si>
    <t>lima1a</t>
  </si>
  <si>
    <t>ENSDARG00000101441</t>
  </si>
  <si>
    <t>LIM domain and actin binding 1a [Source:ZFIN;Acc:ZDB-GENE-001120-1]</t>
  </si>
  <si>
    <t>si:ch211-183d21.1</t>
  </si>
  <si>
    <t>ENSDARG00000092499</t>
  </si>
  <si>
    <t>si:ch211-183d21.1 [Source:ZFIN;Acc:ZDB-GENE-030131-8516]</t>
  </si>
  <si>
    <t>ncaldb</t>
  </si>
  <si>
    <t>ENSDARG00000011334</t>
  </si>
  <si>
    <t>neurocalcin delta b [Source:ZFIN;Acc:ZDB-GENE-040808-37]</t>
  </si>
  <si>
    <t>si:dkey-220o10.1</t>
  </si>
  <si>
    <t>ENSDARG00000092448</t>
  </si>
  <si>
    <t>si:dkey-220o10.1 [Source:ZFIN;Acc:ZDB-GENE-060531-108]</t>
  </si>
  <si>
    <t>zgc:91890</t>
  </si>
  <si>
    <t>ENSDARG00000018980</t>
  </si>
  <si>
    <t>zgc:91890 [Source:ZFIN;Acc:ZDB-GENE-040704-21]</t>
  </si>
  <si>
    <t>cdca7b</t>
  </si>
  <si>
    <t>ENSDARG00000076659</t>
  </si>
  <si>
    <t>cell division cycle associated 7b [Source:ZFIN;Acc:ZDB-GENE-030131-607]</t>
  </si>
  <si>
    <t>msh2</t>
  </si>
  <si>
    <t>ENSDARG00000018022</t>
  </si>
  <si>
    <t>mutS homolog 2 (E. coli) [Source:ZFIN;Acc:ZDB-GENE-040426-2932]</t>
  </si>
  <si>
    <t>ckma</t>
  </si>
  <si>
    <t>ENSDARG00000035327</t>
  </si>
  <si>
    <t>creatine kinase, muscle a [Source:ZFIN;Acc:ZDB-GENE-980526-109]</t>
  </si>
  <si>
    <t>fsta</t>
  </si>
  <si>
    <t>ENSDARG00000052846</t>
  </si>
  <si>
    <t>follistatin a [Source:ZFIN;Acc:ZDB-GENE-990714-11]</t>
  </si>
  <si>
    <t>lpin1</t>
  </si>
  <si>
    <t>ENSDARG00000020239</t>
  </si>
  <si>
    <t>lipin 1 [Source:ZFIN;Acc:ZDB-GENE-080722-2]</t>
  </si>
  <si>
    <t>cdk2</t>
  </si>
  <si>
    <t>ENSDARG00000026577</t>
  </si>
  <si>
    <t>cyclin-dependent kinase 2 [Source:ZFIN;Acc:ZDB-GENE-040426-2741]</t>
  </si>
  <si>
    <t>six1b</t>
  </si>
  <si>
    <t>ENSDARG00000026473</t>
  </si>
  <si>
    <t>SIX homeobox 1b [Source:ZFIN;Acc:ZDB-GENE-040426-2308]</t>
  </si>
  <si>
    <t>map1lc3a</t>
  </si>
  <si>
    <t>ENSDARG00000033609</t>
  </si>
  <si>
    <t>microtubule-associated protein 1 light chain 3 alpha [Source:ZFIN;Acc:ZDB-GENE-040426-2232]</t>
  </si>
  <si>
    <t>alpl</t>
  </si>
  <si>
    <t>ENSDARG00000015546</t>
  </si>
  <si>
    <t>alkaline phosphatase, liver/bone/kidney [Source:ZFIN;Acc:ZDB-GENE-040420-1]</t>
  </si>
  <si>
    <t>SYCE3</t>
  </si>
  <si>
    <t>ENSDARG00000092889</t>
  </si>
  <si>
    <t>zgc:194246 [Source:ZFIN;Acc:ZDB-GENE-081022-85]</t>
  </si>
  <si>
    <t>dtnba</t>
  </si>
  <si>
    <t>ENSDARG00000077694</t>
  </si>
  <si>
    <t>dystrobrevin, beta a [Source:ZFIN;Acc:ZDB-GENE-030131-3967]</t>
  </si>
  <si>
    <t>polr1c</t>
  </si>
  <si>
    <t>ENSDARG00000039400</t>
  </si>
  <si>
    <t>polymerase (RNA) I polypeptide C [Source:ZFIN;Acc:ZDB-GENE-040426-1495]</t>
  </si>
  <si>
    <t>tsc22d1</t>
  </si>
  <si>
    <t>ENSDARG00000038306</t>
  </si>
  <si>
    <t>TSC22 domain family, member 1 [Source:ZFIN;Acc:ZDB-GENE-030131-7785]</t>
  </si>
  <si>
    <t>srprb</t>
  </si>
  <si>
    <t>ENSDARG00000030949</t>
  </si>
  <si>
    <t>signal recognition particle receptor, B subunit [Source:ZFIN;Acc:ZDB-GENE-040718-311]</t>
  </si>
  <si>
    <t>timm13</t>
  </si>
  <si>
    <t>ENSDARG00000058297</t>
  </si>
  <si>
    <t>translocase of inner mitochondrial membrane 13 homolog (yeast) [Source:ZFIN;Acc:ZDB-GENE-040718-167]</t>
  </si>
  <si>
    <t>mcf2lb</t>
  </si>
  <si>
    <t>ENSDARG00000076480</t>
  </si>
  <si>
    <t>mcf.2 cell line derived transforming sequence-like b [Source:ZFIN;Acc:ZDB-GENE-081104-416]</t>
  </si>
  <si>
    <t>cx44.2</t>
  </si>
  <si>
    <t>ENSDARG00000077765</t>
  </si>
  <si>
    <t>connexin 44.2 [Source:ZFIN;Acc:ZDB-GENE-010619-1]</t>
  </si>
  <si>
    <t>zgc:101846</t>
  </si>
  <si>
    <t>ENSDARG00000068995</t>
  </si>
  <si>
    <t>zgc:101846 [Source:ZFIN;Acc:ZDB-GENE-041010-42]</t>
  </si>
  <si>
    <t>pdgfaa</t>
  </si>
  <si>
    <t>ENSDARG00000055505</t>
  </si>
  <si>
    <t>platelet-derived growth factor alpha polypeptide a [Source:ZFIN;Acc:ZDB-GENE-030918-2]</t>
  </si>
  <si>
    <t>esrp1</t>
  </si>
  <si>
    <t>ENSDARG00000011245</t>
  </si>
  <si>
    <t>epithelial splicing regulatory protein 1 [Source:ZFIN;Acc:ZDB-GENE-070112-1732]</t>
  </si>
  <si>
    <t>hmx2</t>
  </si>
  <si>
    <t>ENSDARG00000070954</t>
  </si>
  <si>
    <t>H6 family homeobox 2 [Source:ZFIN;Acc:ZDB-GENE-080506-2]</t>
  </si>
  <si>
    <t>map1lc3cl</t>
  </si>
  <si>
    <t>ENSDARG00000075727</t>
  </si>
  <si>
    <t>microtubule-associated protein 1 light chain 3 gamma, like [Source:ZFIN;Acc:ZDB-GENE-140819-1]</t>
  </si>
  <si>
    <t>pip5k1bb</t>
  </si>
  <si>
    <t>ENSDARG00000006508</t>
  </si>
  <si>
    <t>phosphatidylinositol-4-phosphate 5-kinase, type I, beta b [Source:ZFIN;Acc:ZDB-GENE-040912-141]</t>
  </si>
  <si>
    <t>rnd3a</t>
  </si>
  <si>
    <t>ENSDARG00000076799</t>
  </si>
  <si>
    <t>Rho family GTPase 3a [Source:ZFIN;Acc:ZDB-GENE-010319-40]</t>
  </si>
  <si>
    <t>tmprss5</t>
  </si>
  <si>
    <t>ENSDARG00000087717</t>
  </si>
  <si>
    <t>transmembrane protease, serine 5 [Source:ZFIN;Acc:ZDB-GENE-131121-184]</t>
  </si>
  <si>
    <t>tnnt2a</t>
  </si>
  <si>
    <t>ENSDARG00000020610</t>
  </si>
  <si>
    <t>troponin T type 2a (cardiac) [Source:ZFIN;Acc:ZDB-GENE-000626-1]</t>
  </si>
  <si>
    <t>herpud1</t>
  </si>
  <si>
    <t>ENSDARG00000024314</t>
  </si>
  <si>
    <t>homocysteine-inducible, endoplasmic reticulum stress-inducible, ubiquitin-like domain member 1 [Source:ZFIN;Acc:ZDB-GENE-050913-47]</t>
  </si>
  <si>
    <t>igfbp2a</t>
  </si>
  <si>
    <t>ENSDARG00000052470</t>
  </si>
  <si>
    <t>insulin-like growth factor binding protein 2a [Source:ZFIN;Acc:ZDB-GENE-000125-12]</t>
  </si>
  <si>
    <t>her8a</t>
  </si>
  <si>
    <t>ENSDARG00000016363</t>
  </si>
  <si>
    <t>hairy-related 8a [Source:ZFIN;Acc:ZDB-GENE-030131-2376]</t>
  </si>
  <si>
    <t>si:dkey-93m18.3</t>
  </si>
  <si>
    <t>ENSDARG00000092664</t>
  </si>
  <si>
    <t>si:dkey-93m18.3 [Source:ZFIN;Acc:ZDB-GENE-091204-346]</t>
  </si>
  <si>
    <t>rac2</t>
  </si>
  <si>
    <t>ENSDARG00000038010</t>
  </si>
  <si>
    <t>ras-related C3 botulinum toxin substrate 2 (rho family, small GTP binding protein Rac2) [Source:ZFIN;Acc:ZDB-GENE-040625-27]</t>
  </si>
  <si>
    <t>gpc1a</t>
  </si>
  <si>
    <t>ENSDARG00000019341</t>
  </si>
  <si>
    <t>glypican 1a [Source:ZFIN;Acc:ZDB-GENE-051120-147]</t>
  </si>
  <si>
    <t>tmprss4a</t>
  </si>
  <si>
    <t>ENSDARG00000103117</t>
  </si>
  <si>
    <t>transmembrane protease, serine 4a [Source:ZFIN;Acc:ZDB-GENE-061103-631]</t>
  </si>
  <si>
    <t>tmem59</t>
  </si>
  <si>
    <t>ENSDARG00000019033</t>
  </si>
  <si>
    <t>transmembrane protein 59 [Source:ZFIN;Acc:ZDB-GENE-070912-397]</t>
  </si>
  <si>
    <t>ebf1b</t>
  </si>
  <si>
    <t>ENSDARG00000069196</t>
  </si>
  <si>
    <t>early B-cell factor 1b [Source:ZFIN;Acc:ZDB-GENE-090814-2]</t>
  </si>
  <si>
    <t>nfasca</t>
  </si>
  <si>
    <t>ENSDARG00000061099</t>
  </si>
  <si>
    <t>neurofascin homolog (chicken) a [Source:ZFIN;Acc:ZDB-GENE-080229-6]</t>
  </si>
  <si>
    <t>pvalb9</t>
  </si>
  <si>
    <t>ENSDARG00000071601</t>
  </si>
  <si>
    <t>parvalbumin 9 [Source:ZFIN;Acc:ZDB-GENE-030805-4]</t>
  </si>
  <si>
    <t>cst14a.2</t>
  </si>
  <si>
    <t>ENSDARG00000045352</t>
  </si>
  <si>
    <t>cystatin 14a, tandem duplicate 2 [Source:ZFIN;Acc:ZDB-GENE-040426-1065]</t>
  </si>
  <si>
    <t>hmx3a</t>
  </si>
  <si>
    <t>ENSDARG00000070955</t>
  </si>
  <si>
    <t>H6 family homeobox 3a [Source:ZFIN;Acc:ZDB-GENE-001020-1]</t>
  </si>
  <si>
    <t>zgc:162944</t>
  </si>
  <si>
    <t>ENSDARG00000069846</t>
  </si>
  <si>
    <t>zgc:162944 [Source:ZFIN;Acc:ZDB-GENE-070424-75]</t>
  </si>
  <si>
    <t>vamp8</t>
  </si>
  <si>
    <t>ENSDARG00000024116</t>
  </si>
  <si>
    <t>vesicle-associated membrane protein 8 (endobrevin) [Source:ZFIN;Acc:ZDB-GENE-030131-5215]</t>
  </si>
  <si>
    <t>sult1st1</t>
  </si>
  <si>
    <t>ENSDARG00000028275</t>
  </si>
  <si>
    <t>sulfotransferase family 1, cytosolic sulfotransferase 1 [Source:ZFIN;Acc:ZDB-GENE-030131-2144]</t>
  </si>
  <si>
    <t>nenf</t>
  </si>
  <si>
    <t>ENSDARG00000040192</t>
  </si>
  <si>
    <t>neudesin neurotrophic factor [Source:ZFIN;Acc:ZDB-GENE-050320-129]</t>
  </si>
  <si>
    <t>irf2bp2b</t>
  </si>
  <si>
    <t>ENSDARG00000098635</t>
  </si>
  <si>
    <t>interferon regulatory factor 2 binding protein 2b [Source:ZFIN;Acc:ZDB-GENE-040426-2574]</t>
  </si>
  <si>
    <t>dcdc2b</t>
  </si>
  <si>
    <t>ENSDARG00000053744</t>
  </si>
  <si>
    <t>doublecortin domain containing 2B [Source:ZFIN;Acc:ZDB-GENE-051113-124]</t>
  </si>
  <si>
    <t>stk35</t>
  </si>
  <si>
    <t>ENSDARG00000086856</t>
  </si>
  <si>
    <t>serine/threonine kinase 35 [Source:ZFIN;Acc:ZDB-GENE-061103-553]</t>
  </si>
  <si>
    <t>lmo1</t>
  </si>
  <si>
    <t>ENSDARG00000034504</t>
  </si>
  <si>
    <t>LIM domain only 1 [Source:ZFIN;Acc:ZDB-GENE-021115-6]</t>
  </si>
  <si>
    <t>grp</t>
  </si>
  <si>
    <t>ENSDARG00000043074</t>
  </si>
  <si>
    <t>gastrin-releasing peptide [Source:ZFIN;Acc:ZDB-GENE-060526-117]</t>
  </si>
  <si>
    <t>ifnlr1</t>
  </si>
  <si>
    <t>ENSDARG00000087131</t>
  </si>
  <si>
    <t>interferon lambda receptor 1 [Source:ZFIN;Acc:ZDB-GENE-071120-5]</t>
  </si>
  <si>
    <t>mapk12a</t>
  </si>
  <si>
    <t>ENSDARG00000042021</t>
  </si>
  <si>
    <t>mitogen-activated protein kinase 12a [Source:ZFIN;Acc:ZDB-GENE-990415-257]</t>
  </si>
  <si>
    <t>svopl</t>
  </si>
  <si>
    <t>ENSDARG00000057983</t>
  </si>
  <si>
    <t>SVOP-like [Source:ZFIN;Acc:ZDB-GENE-041114-109]</t>
  </si>
  <si>
    <t>tmc4</t>
  </si>
  <si>
    <t>ENSDARG00000031757</t>
  </si>
  <si>
    <t>transmembrane channel-like 4 [Source:ZFIN;Acc:ZDB-GENE-030131-7489]</t>
  </si>
  <si>
    <t>tagapa</t>
  </si>
  <si>
    <t>ENSDARG00000002353</t>
  </si>
  <si>
    <t>T-cell activation RhoGTPase activating protein a [Source:ZFIN;Acc:ZDB-GENE-040426-1877]</t>
  </si>
  <si>
    <t>ckba</t>
  </si>
  <si>
    <t>ENSDARG00000069752</t>
  </si>
  <si>
    <t>creatine kinase, brain a [Source:ZFIN;Acc:ZDB-GENE-060929-902]</t>
  </si>
  <si>
    <t>ezra</t>
  </si>
  <si>
    <t>ENSDARG00000020944</t>
  </si>
  <si>
    <t>ezrin a [Source:ZFIN;Acc:ZDB-GENE-050522-18]</t>
  </si>
  <si>
    <t>tax1bp3</t>
  </si>
  <si>
    <t>ENSDARG00000059177</t>
  </si>
  <si>
    <t>Tax1 (human T-cell leukemia virus type I) binding protein 3 [Source:ZFIN;Acc:ZDB-GENE-040426-2830]</t>
  </si>
  <si>
    <t>rab25a</t>
  </si>
  <si>
    <t>ENSDARG00000058800</t>
  </si>
  <si>
    <t>RAB25, member RAS oncogene family a [Source:ZFIN;Acc:ZDB-GENE-041212-69]</t>
  </si>
  <si>
    <t>zgc:85975</t>
  </si>
  <si>
    <t>ENSDARG00000032405</t>
  </si>
  <si>
    <t>zgc:85975 [Source:ZFIN;Acc:ZDB-GENE-040426-2417]</t>
  </si>
  <si>
    <t>trafd1</t>
  </si>
  <si>
    <t>ENSDARG00000075123</t>
  </si>
  <si>
    <t>TRAF-type zinc finger domain containing 1 [Source:ZFIN;Acc:ZDB-GENE-070410-43]</t>
  </si>
  <si>
    <t>igf2a</t>
  </si>
  <si>
    <t>ENSDARG00000018643</t>
  </si>
  <si>
    <t>insulin-like growth factor 2a [Source:ZFIN;Acc:ZDB-GENE-991111-3]</t>
  </si>
  <si>
    <t>ptgs2b</t>
  </si>
  <si>
    <t>ENSDARG00000010276</t>
  </si>
  <si>
    <t>prostaglandin-endoperoxide synthase 2b [Source:ZFIN;Acc:ZDB-GENE-041014-323]</t>
  </si>
  <si>
    <t>ebf1a</t>
  </si>
  <si>
    <t>ENSDARG00000099849</t>
  </si>
  <si>
    <t>early B-cell factor 1a [Source:ZFIN;Acc:ZDB-GENE-081028-51]</t>
  </si>
  <si>
    <t>si:ch1073-443f11.2</t>
  </si>
  <si>
    <t>ENSDARG00000105068</t>
  </si>
  <si>
    <t>si:ch1073-443f11.2 [Source:ZFIN;Acc:ZDB-GENE-120215-185]</t>
  </si>
  <si>
    <t>fut9b</t>
  </si>
  <si>
    <t>ENSDARG00000067524</t>
  </si>
  <si>
    <t>fucosyltransferase 9b [Source:ZFIN;Acc:ZDB-GENE-030131-9925]</t>
  </si>
  <si>
    <t>vamp3</t>
  </si>
  <si>
    <t>ENSDARG00000070161</t>
  </si>
  <si>
    <t>vesicle-associated membrane protein 3 (cellubrevin) [Source:ZFIN;Acc:ZDB-GENE-040625-45]</t>
  </si>
  <si>
    <t>efna1a</t>
  </si>
  <si>
    <t>ENSDARG00000030326</t>
  </si>
  <si>
    <t>ephrin-A1a [Source:ZFIN;Acc:ZDB-GENE-040426-1135]</t>
  </si>
  <si>
    <t>ccdc85b</t>
  </si>
  <si>
    <t>ENSDARG00000061543</t>
  </si>
  <si>
    <t>coiled-coil domain containing 85B [Source:ZFIN;Acc:ZDB-GENE-060130-56]</t>
  </si>
  <si>
    <t>tmem198b</t>
  </si>
  <si>
    <t>ENSDARG00000034685</t>
  </si>
  <si>
    <t>transmembrane protein 198b [Source:ZFIN;Acc:ZDB-GENE-050809-123]</t>
  </si>
  <si>
    <t>nkx2.7</t>
  </si>
  <si>
    <t>ENSDARG00000021232</t>
  </si>
  <si>
    <t>NK2 transcription factor related 7 [Source:ZFIN;Acc:ZDB-GENE-990415-179]</t>
  </si>
  <si>
    <t>arhgdig</t>
  </si>
  <si>
    <t>ENSDARG00000004034</t>
  </si>
  <si>
    <t>Rho GDP dissociation inhibitor (GDI) gamma [Source:ZFIN;Acc:ZDB-GENE-040426-1493]</t>
  </si>
  <si>
    <t>cav2</t>
  </si>
  <si>
    <t>ENSDARG00000052000</t>
  </si>
  <si>
    <t>caveolin 2 [Source:ZFIN;Acc:ZDB-GENE-040625-164]</t>
  </si>
  <si>
    <t>zgc:56525</t>
  </si>
  <si>
    <t>ENSDARG00000025858</t>
  </si>
  <si>
    <t>zgc:56525 [Source:ZFIN;Acc:ZDB-GENE-040426-1060]</t>
  </si>
  <si>
    <t>vps4b</t>
  </si>
  <si>
    <t>ENSDARG00000069175</t>
  </si>
  <si>
    <t>vacuolar protein sorting 4b homolog B (S. cerevisiae) [Source:ZFIN;Acc:ZDB-GENE-040426-1235]</t>
  </si>
  <si>
    <t>erp44</t>
  </si>
  <si>
    <t>ENSDARG00000019008</t>
  </si>
  <si>
    <t>endoplasmic reticulum protein 44 [Source:ZFIN;Acc:ZDB-GENE-040426-1902]</t>
  </si>
  <si>
    <t>clic3</t>
  </si>
  <si>
    <t>ENSDARG00000044776</t>
  </si>
  <si>
    <t>chloride intracellular channel 3 [Source:ZFIN;Acc:ZDB-GENE-010507-2]</t>
  </si>
  <si>
    <t>CABZ01032488.1</t>
  </si>
  <si>
    <t>ENSDARG00000099154</t>
  </si>
  <si>
    <t>atl3</t>
  </si>
  <si>
    <t>ENSDARG00000004270</t>
  </si>
  <si>
    <t>atlastin 3 [Source:ZFIN;Acc:ZDB-GENE-041010-109]</t>
  </si>
  <si>
    <t>gale</t>
  </si>
  <si>
    <t>ENSDARG00000002401</t>
  </si>
  <si>
    <t>UDP-galactose-4-epimerase [Source:ZFIN;Acc:ZDB-GENE-060421-6479]</t>
  </si>
  <si>
    <t>gdpd2</t>
  </si>
  <si>
    <t>ENSDARG00000073870</t>
  </si>
  <si>
    <t>glycerophosphodiester phosphodiesterase domain containing 2 [Source:ZFIN;Acc:ZDB-GENE-081107-62]</t>
  </si>
  <si>
    <t>To perform differential expression between each cluster, we used the Seurat function FindAllMarkers() and retained all genes with an adjusted p-value less than 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</si>
</sst>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F040F-7328-694D-9650-754AC0D8916C}">
  <dimension ref="A1"/>
  <sheetViews>
    <sheetView tabSelected="1" workbookViewId="0">
      <selection activeCell="G8" sqref="G8"/>
    </sheetView>
  </sheetViews>
  <sheetFormatPr baseColWidth="10" defaultRowHeight="15" x14ac:dyDescent="0.2"/>
  <sheetData>
    <row r="1" spans="1:1" s="2" customFormat="1" ht="19" x14ac:dyDescent="0.25">
      <c r="A1" s="1" t="s">
        <v>7052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56"/>
  <sheetViews>
    <sheetView topLeftCell="A13"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8.5" customWidth="1"/>
    <col min="7" max="8" width="20.5" customWidth="1"/>
    <col min="9" max="9" width="8.5" customWidth="1"/>
    <col min="10" max="10" width="166.832031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0</v>
      </c>
      <c r="B2">
        <v>2.1245096065823699</v>
      </c>
      <c r="C2">
        <v>0.98599999999999999</v>
      </c>
      <c r="D2">
        <v>4.1000000000000002E-2</v>
      </c>
      <c r="E2">
        <v>0</v>
      </c>
      <c r="F2">
        <v>1</v>
      </c>
      <c r="G2" t="s">
        <v>10</v>
      </c>
      <c r="H2" t="s">
        <v>11</v>
      </c>
      <c r="I2" t="str">
        <f>HYPERLINK("https://zfin.org/ZDB-GENE-110406-5")</f>
        <v>https://zfin.org/ZDB-GENE-110406-5</v>
      </c>
      <c r="J2" t="s">
        <v>12</v>
      </c>
    </row>
    <row r="3" spans="1:10" x14ac:dyDescent="0.2">
      <c r="A3">
        <v>0</v>
      </c>
      <c r="B3">
        <v>1.9762669424091801</v>
      </c>
      <c r="C3">
        <v>0.96399999999999997</v>
      </c>
      <c r="D3">
        <v>0.04</v>
      </c>
      <c r="E3">
        <v>0</v>
      </c>
      <c r="F3">
        <v>1</v>
      </c>
      <c r="G3" t="s">
        <v>13</v>
      </c>
      <c r="H3" t="s">
        <v>14</v>
      </c>
      <c r="I3" t="str">
        <f>HYPERLINK("https://zfin.org/ZDB-GENE-070718-1")</f>
        <v>https://zfin.org/ZDB-GENE-070718-1</v>
      </c>
      <c r="J3" t="s">
        <v>15</v>
      </c>
    </row>
    <row r="4" spans="1:10" x14ac:dyDescent="0.2">
      <c r="A4">
        <v>0</v>
      </c>
      <c r="B4">
        <v>1.81983041367376</v>
      </c>
      <c r="C4">
        <v>0.89300000000000002</v>
      </c>
      <c r="D4">
        <v>3.4000000000000002E-2</v>
      </c>
      <c r="E4">
        <v>0</v>
      </c>
      <c r="F4">
        <v>1</v>
      </c>
      <c r="G4" t="s">
        <v>16</v>
      </c>
      <c r="H4" t="s">
        <v>17</v>
      </c>
      <c r="I4" t="str">
        <f>HYPERLINK("https://zfin.org/ZDB-GENE-131127-514")</f>
        <v>https://zfin.org/ZDB-GENE-131127-514</v>
      </c>
      <c r="J4" t="s">
        <v>18</v>
      </c>
    </row>
    <row r="5" spans="1:10" x14ac:dyDescent="0.2">
      <c r="A5">
        <v>0</v>
      </c>
      <c r="B5">
        <v>1.81393601344021</v>
      </c>
      <c r="C5">
        <v>0.95</v>
      </c>
      <c r="D5">
        <v>2.9000000000000001E-2</v>
      </c>
      <c r="E5">
        <v>0</v>
      </c>
      <c r="F5">
        <v>1</v>
      </c>
      <c r="G5" t="s">
        <v>19</v>
      </c>
      <c r="H5" t="s">
        <v>20</v>
      </c>
      <c r="I5" t="str">
        <f>HYPERLINK("https://zfin.org/ZDB-GENE-050413-1")</f>
        <v>https://zfin.org/ZDB-GENE-050413-1</v>
      </c>
      <c r="J5" t="s">
        <v>21</v>
      </c>
    </row>
    <row r="6" spans="1:10" x14ac:dyDescent="0.2">
      <c r="A6">
        <v>0</v>
      </c>
      <c r="B6">
        <v>1.58355733783092</v>
      </c>
      <c r="C6">
        <v>0.74299999999999999</v>
      </c>
      <c r="D6">
        <v>1.7000000000000001E-2</v>
      </c>
      <c r="E6">
        <v>0</v>
      </c>
      <c r="F6">
        <v>1</v>
      </c>
      <c r="G6" t="s">
        <v>22</v>
      </c>
      <c r="H6" t="s">
        <v>23</v>
      </c>
      <c r="I6" t="str">
        <f>HYPERLINK("https://zfin.org/ZDB-GENE-030131-9116")</f>
        <v>https://zfin.org/ZDB-GENE-030131-9116</v>
      </c>
      <c r="J6" t="s">
        <v>24</v>
      </c>
    </row>
    <row r="7" spans="1:10" x14ac:dyDescent="0.2">
      <c r="A7">
        <v>0</v>
      </c>
      <c r="B7">
        <v>1.51334845280543</v>
      </c>
      <c r="C7">
        <v>0.82099999999999995</v>
      </c>
      <c r="D7">
        <v>2.5000000000000001E-2</v>
      </c>
      <c r="E7">
        <v>0</v>
      </c>
      <c r="F7">
        <v>1</v>
      </c>
      <c r="G7" t="s">
        <v>25</v>
      </c>
      <c r="H7" t="s">
        <v>26</v>
      </c>
      <c r="I7" t="str">
        <f>HYPERLINK("https://zfin.org/")</f>
        <v>https://zfin.org/</v>
      </c>
    </row>
    <row r="8" spans="1:10" x14ac:dyDescent="0.2">
      <c r="A8">
        <v>0</v>
      </c>
      <c r="B8">
        <v>1.43003580411483</v>
      </c>
      <c r="C8">
        <v>0.82899999999999996</v>
      </c>
      <c r="D8">
        <v>1.4E-2</v>
      </c>
      <c r="E8">
        <v>0</v>
      </c>
      <c r="F8">
        <v>1</v>
      </c>
      <c r="G8" t="s">
        <v>27</v>
      </c>
      <c r="H8" t="s">
        <v>28</v>
      </c>
      <c r="I8" t="str">
        <f>HYPERLINK("https://zfin.org/ZDB-GENE-041014-83")</f>
        <v>https://zfin.org/ZDB-GENE-041014-83</v>
      </c>
      <c r="J8" t="s">
        <v>29</v>
      </c>
    </row>
    <row r="9" spans="1:10" x14ac:dyDescent="0.2">
      <c r="A9">
        <v>0</v>
      </c>
      <c r="B9">
        <v>1.4175822070537301</v>
      </c>
      <c r="C9">
        <v>0.8</v>
      </c>
      <c r="D9">
        <v>1.2999999999999999E-2</v>
      </c>
      <c r="E9">
        <v>0</v>
      </c>
      <c r="F9">
        <v>1</v>
      </c>
      <c r="G9" t="s">
        <v>30</v>
      </c>
      <c r="H9" t="s">
        <v>31</v>
      </c>
      <c r="I9" t="str">
        <f>HYPERLINK("https://zfin.org/ZDB-GENE-050419-255")</f>
        <v>https://zfin.org/ZDB-GENE-050419-255</v>
      </c>
      <c r="J9" t="s">
        <v>32</v>
      </c>
    </row>
    <row r="10" spans="1:10" x14ac:dyDescent="0.2">
      <c r="A10">
        <v>0</v>
      </c>
      <c r="B10">
        <v>1.3519125758736901</v>
      </c>
      <c r="C10">
        <v>0.85</v>
      </c>
      <c r="D10">
        <v>2.4E-2</v>
      </c>
      <c r="E10">
        <v>0</v>
      </c>
      <c r="F10">
        <v>1</v>
      </c>
      <c r="G10" t="s">
        <v>33</v>
      </c>
      <c r="H10" t="s">
        <v>34</v>
      </c>
      <c r="I10" t="str">
        <f>HYPERLINK("https://zfin.org/ZDB-GENE-040718-221")</f>
        <v>https://zfin.org/ZDB-GENE-040718-221</v>
      </c>
      <c r="J10" t="s">
        <v>35</v>
      </c>
    </row>
    <row r="11" spans="1:10" x14ac:dyDescent="0.2">
      <c r="A11">
        <v>0</v>
      </c>
      <c r="B11">
        <v>1.3155346934385801</v>
      </c>
      <c r="C11">
        <v>0.75</v>
      </c>
      <c r="D11">
        <v>1.7999999999999999E-2</v>
      </c>
      <c r="E11">
        <v>0</v>
      </c>
      <c r="F11">
        <v>1</v>
      </c>
      <c r="G11" t="s">
        <v>36</v>
      </c>
      <c r="H11" t="s">
        <v>37</v>
      </c>
      <c r="I11" t="str">
        <f>HYPERLINK("https://zfin.org/ZDB-GENE-040426-1687")</f>
        <v>https://zfin.org/ZDB-GENE-040426-1687</v>
      </c>
      <c r="J11" t="s">
        <v>38</v>
      </c>
    </row>
    <row r="12" spans="1:10" x14ac:dyDescent="0.2">
      <c r="A12">
        <v>0</v>
      </c>
      <c r="B12">
        <v>1.3078926965426301</v>
      </c>
      <c r="C12">
        <v>0.71399999999999997</v>
      </c>
      <c r="D12">
        <v>5.0000000000000001E-3</v>
      </c>
      <c r="E12">
        <v>0</v>
      </c>
      <c r="F12">
        <v>1</v>
      </c>
      <c r="G12" t="s">
        <v>39</v>
      </c>
      <c r="H12" t="s">
        <v>40</v>
      </c>
      <c r="I12" t="str">
        <f>HYPERLINK("https://zfin.org/ZDB-GENE-060526-262")</f>
        <v>https://zfin.org/ZDB-GENE-060526-262</v>
      </c>
      <c r="J12" t="s">
        <v>41</v>
      </c>
    </row>
    <row r="13" spans="1:10" x14ac:dyDescent="0.2">
      <c r="A13">
        <v>0</v>
      </c>
      <c r="B13">
        <v>1.20079409837729</v>
      </c>
      <c r="C13">
        <v>0.70699999999999996</v>
      </c>
      <c r="D13">
        <v>1.4E-2</v>
      </c>
      <c r="E13">
        <v>0</v>
      </c>
      <c r="F13">
        <v>1</v>
      </c>
      <c r="G13" t="s">
        <v>42</v>
      </c>
      <c r="H13" t="s">
        <v>43</v>
      </c>
      <c r="I13" t="str">
        <f>HYPERLINK("https://zfin.org/ZDB-GENE-070705-453")</f>
        <v>https://zfin.org/ZDB-GENE-070705-453</v>
      </c>
      <c r="J13" t="s">
        <v>44</v>
      </c>
    </row>
    <row r="14" spans="1:10" x14ac:dyDescent="0.2">
      <c r="A14">
        <v>0</v>
      </c>
      <c r="B14">
        <v>1.16870543544072</v>
      </c>
      <c r="C14">
        <v>0.65700000000000003</v>
      </c>
      <c r="D14">
        <v>0.01</v>
      </c>
      <c r="E14">
        <v>0</v>
      </c>
      <c r="F14">
        <v>1</v>
      </c>
      <c r="G14" t="s">
        <v>45</v>
      </c>
      <c r="H14" t="s">
        <v>46</v>
      </c>
      <c r="I14" t="str">
        <f>HYPERLINK("https://zfin.org/ZDB-GENE-061027-337")</f>
        <v>https://zfin.org/ZDB-GENE-061027-337</v>
      </c>
      <c r="J14" t="s">
        <v>47</v>
      </c>
    </row>
    <row r="15" spans="1:10" x14ac:dyDescent="0.2">
      <c r="A15">
        <v>0</v>
      </c>
      <c r="B15">
        <v>1.14578097380303</v>
      </c>
      <c r="C15">
        <v>0.71399999999999997</v>
      </c>
      <c r="D15">
        <v>1.2999999999999999E-2</v>
      </c>
      <c r="E15">
        <v>0</v>
      </c>
      <c r="F15">
        <v>1</v>
      </c>
      <c r="G15" t="s">
        <v>48</v>
      </c>
      <c r="H15" t="s">
        <v>49</v>
      </c>
      <c r="I15" t="str">
        <f>HYPERLINK("https://zfin.org/ZDB-GENE-041114-99")</f>
        <v>https://zfin.org/ZDB-GENE-041114-99</v>
      </c>
      <c r="J15" t="s">
        <v>50</v>
      </c>
    </row>
    <row r="16" spans="1:10" x14ac:dyDescent="0.2">
      <c r="A16">
        <v>0</v>
      </c>
      <c r="B16">
        <v>1.1040372966677101</v>
      </c>
      <c r="C16">
        <v>0.67100000000000004</v>
      </c>
      <c r="D16">
        <v>1.0999999999999999E-2</v>
      </c>
      <c r="E16">
        <v>0</v>
      </c>
      <c r="F16">
        <v>1</v>
      </c>
      <c r="G16" t="s">
        <v>51</v>
      </c>
      <c r="H16" t="s">
        <v>52</v>
      </c>
      <c r="I16" t="str">
        <f>HYPERLINK("https://zfin.org/ZDB-GENE-050522-534")</f>
        <v>https://zfin.org/ZDB-GENE-050522-534</v>
      </c>
      <c r="J16" t="s">
        <v>53</v>
      </c>
    </row>
    <row r="17" spans="1:10" x14ac:dyDescent="0.2">
      <c r="A17">
        <v>0</v>
      </c>
      <c r="B17">
        <v>1.0715251659723599</v>
      </c>
      <c r="C17">
        <v>0.70699999999999996</v>
      </c>
      <c r="D17">
        <v>1.2E-2</v>
      </c>
      <c r="E17">
        <v>0</v>
      </c>
      <c r="F17">
        <v>1</v>
      </c>
      <c r="G17" t="s">
        <v>54</v>
      </c>
      <c r="H17" t="s">
        <v>55</v>
      </c>
      <c r="I17" t="str">
        <f>HYPERLINK("https://zfin.org/ZDB-GENE-041114-100")</f>
        <v>https://zfin.org/ZDB-GENE-041114-100</v>
      </c>
      <c r="J17" t="s">
        <v>56</v>
      </c>
    </row>
    <row r="18" spans="1:10" x14ac:dyDescent="0.2">
      <c r="A18">
        <v>0</v>
      </c>
      <c r="B18">
        <v>1.0646211355898501</v>
      </c>
      <c r="C18">
        <v>0.67900000000000005</v>
      </c>
      <c r="D18">
        <v>1.2999999999999999E-2</v>
      </c>
      <c r="E18">
        <v>0</v>
      </c>
      <c r="F18">
        <v>1</v>
      </c>
      <c r="G18" t="s">
        <v>57</v>
      </c>
      <c r="H18" t="s">
        <v>58</v>
      </c>
      <c r="I18" t="str">
        <f>HYPERLINK("https://zfin.org/ZDB-GENE-050522-311")</f>
        <v>https://zfin.org/ZDB-GENE-050522-311</v>
      </c>
      <c r="J18" t="s">
        <v>59</v>
      </c>
    </row>
    <row r="19" spans="1:10" x14ac:dyDescent="0.2">
      <c r="A19">
        <v>0</v>
      </c>
      <c r="B19">
        <v>1.0536825109734</v>
      </c>
      <c r="C19">
        <v>0.65700000000000003</v>
      </c>
      <c r="D19">
        <v>7.0000000000000001E-3</v>
      </c>
      <c r="E19">
        <v>0</v>
      </c>
      <c r="F19">
        <v>1</v>
      </c>
      <c r="G19" t="s">
        <v>60</v>
      </c>
      <c r="H19" t="s">
        <v>61</v>
      </c>
      <c r="I19" t="str">
        <f>HYPERLINK("https://zfin.org/ZDB-GENE-070822-21")</f>
        <v>https://zfin.org/ZDB-GENE-070822-21</v>
      </c>
      <c r="J19" t="s">
        <v>62</v>
      </c>
    </row>
    <row r="20" spans="1:10" x14ac:dyDescent="0.2">
      <c r="A20">
        <v>0</v>
      </c>
      <c r="B20">
        <v>1.0517857075897901</v>
      </c>
      <c r="C20">
        <v>0.65</v>
      </c>
      <c r="D20">
        <v>7.0000000000000001E-3</v>
      </c>
      <c r="E20">
        <v>0</v>
      </c>
      <c r="F20">
        <v>1</v>
      </c>
      <c r="G20" t="s">
        <v>63</v>
      </c>
      <c r="H20" t="s">
        <v>64</v>
      </c>
      <c r="I20" t="str">
        <f>HYPERLINK("https://zfin.org/ZDB-GENE-040704-24")</f>
        <v>https://zfin.org/ZDB-GENE-040704-24</v>
      </c>
      <c r="J20" t="s">
        <v>65</v>
      </c>
    </row>
    <row r="21" spans="1:10" x14ac:dyDescent="0.2">
      <c r="A21">
        <v>0</v>
      </c>
      <c r="B21">
        <v>0.92458827641390795</v>
      </c>
      <c r="C21">
        <v>0.59299999999999997</v>
      </c>
      <c r="D21">
        <v>2E-3</v>
      </c>
      <c r="E21">
        <v>0</v>
      </c>
      <c r="F21">
        <v>1</v>
      </c>
      <c r="G21" t="s">
        <v>66</v>
      </c>
      <c r="H21" t="s">
        <v>67</v>
      </c>
      <c r="I21" t="str">
        <f>HYPERLINK("https://zfin.org/ZDB-GENE-070912-70")</f>
        <v>https://zfin.org/ZDB-GENE-070912-70</v>
      </c>
      <c r="J21" t="s">
        <v>68</v>
      </c>
    </row>
    <row r="22" spans="1:10" x14ac:dyDescent="0.2">
      <c r="A22">
        <v>1.2100562075506501E-306</v>
      </c>
      <c r="B22">
        <v>0.954295670729154</v>
      </c>
      <c r="C22">
        <v>0.63600000000000001</v>
      </c>
      <c r="D22">
        <v>0.01</v>
      </c>
      <c r="E22">
        <v>1.6817361172538899E-302</v>
      </c>
      <c r="F22">
        <v>1</v>
      </c>
      <c r="G22" t="s">
        <v>69</v>
      </c>
      <c r="H22" t="s">
        <v>70</v>
      </c>
      <c r="I22" t="str">
        <f>HYPERLINK("https://zfin.org/ZDB-GENE-060526-106")</f>
        <v>https://zfin.org/ZDB-GENE-060526-106</v>
      </c>
      <c r="J22" t="s">
        <v>71</v>
      </c>
    </row>
    <row r="23" spans="1:10" x14ac:dyDescent="0.2">
      <c r="A23">
        <v>8.6630187769948701E-305</v>
      </c>
      <c r="B23">
        <v>1.6412393859671299</v>
      </c>
      <c r="C23">
        <v>0.83599999999999997</v>
      </c>
      <c r="D23">
        <v>3.1E-2</v>
      </c>
      <c r="E23">
        <v>1.2039863496267499E-300</v>
      </c>
      <c r="F23">
        <v>1</v>
      </c>
      <c r="G23" t="s">
        <v>72</v>
      </c>
      <c r="H23" t="s">
        <v>73</v>
      </c>
      <c r="I23" t="str">
        <f>HYPERLINK("https://zfin.org/ZDB-GENE-050522-319")</f>
        <v>https://zfin.org/ZDB-GENE-050522-319</v>
      </c>
      <c r="J23" t="s">
        <v>74</v>
      </c>
    </row>
    <row r="24" spans="1:10" x14ac:dyDescent="0.2">
      <c r="A24">
        <v>3.3346655444712099E-302</v>
      </c>
      <c r="B24">
        <v>1.1888324692476</v>
      </c>
      <c r="C24">
        <v>0.75</v>
      </c>
      <c r="D24">
        <v>2.1000000000000001E-2</v>
      </c>
      <c r="E24">
        <v>4.6345181737060903E-298</v>
      </c>
      <c r="F24">
        <v>1</v>
      </c>
      <c r="G24" t="s">
        <v>75</v>
      </c>
      <c r="H24" t="s">
        <v>76</v>
      </c>
      <c r="I24" t="str">
        <f>HYPERLINK("https://zfin.org/ZDB-GENE-041014-353")</f>
        <v>https://zfin.org/ZDB-GENE-041014-353</v>
      </c>
      <c r="J24" t="s">
        <v>77</v>
      </c>
    </row>
    <row r="25" spans="1:10" x14ac:dyDescent="0.2">
      <c r="A25">
        <v>9.1674968458386603E-302</v>
      </c>
      <c r="B25">
        <v>1.0744737572268199</v>
      </c>
      <c r="C25">
        <v>0.7</v>
      </c>
      <c r="D25">
        <v>1.6E-2</v>
      </c>
      <c r="E25">
        <v>1.27409871163466E-297</v>
      </c>
      <c r="F25">
        <v>1</v>
      </c>
      <c r="G25" t="s">
        <v>78</v>
      </c>
      <c r="H25" t="s">
        <v>79</v>
      </c>
      <c r="I25" t="str">
        <f>HYPERLINK("https://zfin.org/ZDB-GENE-041014-39")</f>
        <v>https://zfin.org/ZDB-GENE-041014-39</v>
      </c>
      <c r="J25" t="s">
        <v>80</v>
      </c>
    </row>
    <row r="26" spans="1:10" x14ac:dyDescent="0.2">
      <c r="A26">
        <v>1.7440666612971799E-299</v>
      </c>
      <c r="B26">
        <v>1.1610799358388599</v>
      </c>
      <c r="C26">
        <v>0.73599999999999999</v>
      </c>
      <c r="D26">
        <v>0.02</v>
      </c>
      <c r="E26">
        <v>2.42390384587081E-295</v>
      </c>
      <c r="F26">
        <v>1</v>
      </c>
      <c r="G26" t="s">
        <v>81</v>
      </c>
      <c r="H26" t="s">
        <v>82</v>
      </c>
      <c r="I26" t="str">
        <f>HYPERLINK("https://zfin.org/ZDB-GENE-080220-51")</f>
        <v>https://zfin.org/ZDB-GENE-080220-51</v>
      </c>
      <c r="J26" t="s">
        <v>83</v>
      </c>
    </row>
    <row r="27" spans="1:10" x14ac:dyDescent="0.2">
      <c r="A27">
        <v>3.1546812483298901E-299</v>
      </c>
      <c r="B27">
        <v>0.75245077686959805</v>
      </c>
      <c r="C27">
        <v>0.52900000000000003</v>
      </c>
      <c r="D27">
        <v>4.0000000000000001E-3</v>
      </c>
      <c r="E27">
        <v>4.3843759989288896E-295</v>
      </c>
      <c r="F27">
        <v>1</v>
      </c>
      <c r="G27" t="s">
        <v>84</v>
      </c>
      <c r="H27" t="s">
        <v>85</v>
      </c>
      <c r="I27" t="str">
        <f>HYPERLINK("https://zfin.org/ZDB-GENE-070912-59")</f>
        <v>https://zfin.org/ZDB-GENE-070912-59</v>
      </c>
      <c r="J27" t="s">
        <v>86</v>
      </c>
    </row>
    <row r="28" spans="1:10" x14ac:dyDescent="0.2">
      <c r="A28">
        <v>8.54618462385535E-299</v>
      </c>
      <c r="B28">
        <v>1.75890802197412</v>
      </c>
      <c r="C28">
        <v>0.8</v>
      </c>
      <c r="D28">
        <v>2.8000000000000001E-2</v>
      </c>
      <c r="E28">
        <v>1.18774873902342E-294</v>
      </c>
      <c r="F28">
        <v>1</v>
      </c>
      <c r="G28" t="s">
        <v>87</v>
      </c>
      <c r="H28" t="s">
        <v>88</v>
      </c>
      <c r="I28" t="str">
        <f>HYPERLINK("https://zfin.org/ZDB-GENE-081028-50")</f>
        <v>https://zfin.org/ZDB-GENE-081028-50</v>
      </c>
      <c r="J28" t="s">
        <v>89</v>
      </c>
    </row>
    <row r="29" spans="1:10" x14ac:dyDescent="0.2">
      <c r="A29">
        <v>1.22901866571365E-297</v>
      </c>
      <c r="B29">
        <v>0.89391136956199002</v>
      </c>
      <c r="C29">
        <v>0.61399999999999999</v>
      </c>
      <c r="D29">
        <v>0.01</v>
      </c>
      <c r="E29">
        <v>1.7080901416088299E-293</v>
      </c>
      <c r="F29">
        <v>1</v>
      </c>
      <c r="G29" t="s">
        <v>90</v>
      </c>
      <c r="H29" t="s">
        <v>91</v>
      </c>
      <c r="I29" t="str">
        <f>HYPERLINK("https://zfin.org/ZDB-GENE-060526-173")</f>
        <v>https://zfin.org/ZDB-GENE-060526-173</v>
      </c>
      <c r="J29" t="s">
        <v>92</v>
      </c>
    </row>
    <row r="30" spans="1:10" x14ac:dyDescent="0.2">
      <c r="A30">
        <v>4.9817165569392802E-294</v>
      </c>
      <c r="B30">
        <v>1.18748006475151</v>
      </c>
      <c r="C30">
        <v>0.67900000000000005</v>
      </c>
      <c r="D30">
        <v>1.6E-2</v>
      </c>
      <c r="E30">
        <v>6.9235896708342201E-290</v>
      </c>
      <c r="F30">
        <v>1</v>
      </c>
      <c r="G30" t="s">
        <v>93</v>
      </c>
      <c r="H30" t="s">
        <v>94</v>
      </c>
      <c r="I30" t="str">
        <f>HYPERLINK("https://zfin.org/ZDB-GENE-030804-7")</f>
        <v>https://zfin.org/ZDB-GENE-030804-7</v>
      </c>
      <c r="J30" t="s">
        <v>95</v>
      </c>
    </row>
    <row r="31" spans="1:10" x14ac:dyDescent="0.2">
      <c r="A31">
        <v>3.6991230479892901E-291</v>
      </c>
      <c r="B31">
        <v>0.851461550654388</v>
      </c>
      <c r="C31">
        <v>0.55000000000000004</v>
      </c>
      <c r="D31">
        <v>6.0000000000000001E-3</v>
      </c>
      <c r="E31">
        <v>5.1410412120955099E-287</v>
      </c>
      <c r="F31">
        <v>1</v>
      </c>
      <c r="G31" t="s">
        <v>96</v>
      </c>
      <c r="H31" t="s">
        <v>97</v>
      </c>
      <c r="I31" t="str">
        <f>HYPERLINK("https://zfin.org/ZDB-GENE-050417-327")</f>
        <v>https://zfin.org/ZDB-GENE-050417-327</v>
      </c>
      <c r="J31" t="s">
        <v>98</v>
      </c>
    </row>
    <row r="32" spans="1:10" x14ac:dyDescent="0.2">
      <c r="A32">
        <v>2.98202364417375E-288</v>
      </c>
      <c r="B32">
        <v>1.67448533471543</v>
      </c>
      <c r="C32">
        <v>0.79300000000000004</v>
      </c>
      <c r="D32">
        <v>0.03</v>
      </c>
      <c r="E32">
        <v>4.1444164606726801E-284</v>
      </c>
      <c r="F32">
        <v>1</v>
      </c>
      <c r="G32" t="s">
        <v>99</v>
      </c>
      <c r="H32" t="s">
        <v>100</v>
      </c>
      <c r="I32" t="str">
        <f>HYPERLINK("https://zfin.org/ZDB-GENE-061013-378")</f>
        <v>https://zfin.org/ZDB-GENE-061013-378</v>
      </c>
      <c r="J32" t="s">
        <v>101</v>
      </c>
    </row>
    <row r="33" spans="1:10" x14ac:dyDescent="0.2">
      <c r="A33">
        <v>1.9655827821254399E-287</v>
      </c>
      <c r="B33">
        <v>1.2577829534562499</v>
      </c>
      <c r="C33">
        <v>0.67900000000000005</v>
      </c>
      <c r="D33">
        <v>1.7000000000000001E-2</v>
      </c>
      <c r="E33">
        <v>2.7317669505979299E-283</v>
      </c>
      <c r="F33">
        <v>1</v>
      </c>
      <c r="G33" t="s">
        <v>102</v>
      </c>
      <c r="H33" t="s">
        <v>103</v>
      </c>
      <c r="I33" t="str">
        <f>HYPERLINK("https://zfin.org/")</f>
        <v>https://zfin.org/</v>
      </c>
      <c r="J33" t="s">
        <v>104</v>
      </c>
    </row>
    <row r="34" spans="1:10" x14ac:dyDescent="0.2">
      <c r="A34">
        <v>9.1612180076646302E-287</v>
      </c>
      <c r="B34">
        <v>1.23960263155799</v>
      </c>
      <c r="C34">
        <v>0.78600000000000003</v>
      </c>
      <c r="D34">
        <v>2.8000000000000001E-2</v>
      </c>
      <c r="E34">
        <v>1.2732260787052301E-282</v>
      </c>
      <c r="F34">
        <v>1</v>
      </c>
      <c r="G34" t="s">
        <v>105</v>
      </c>
      <c r="H34" t="s">
        <v>106</v>
      </c>
      <c r="I34" t="str">
        <f>HYPERLINK("https://zfin.org/")</f>
        <v>https://zfin.org/</v>
      </c>
      <c r="J34" t="s">
        <v>107</v>
      </c>
    </row>
    <row r="35" spans="1:10" x14ac:dyDescent="0.2">
      <c r="A35">
        <v>3.6311529586259598E-285</v>
      </c>
      <c r="B35">
        <v>1.04859942480571</v>
      </c>
      <c r="C35">
        <v>0.55000000000000004</v>
      </c>
      <c r="D35">
        <v>6.0000000000000001E-3</v>
      </c>
      <c r="E35">
        <v>5.04657638189836E-281</v>
      </c>
      <c r="F35">
        <v>1</v>
      </c>
      <c r="G35" t="s">
        <v>108</v>
      </c>
      <c r="H35" t="s">
        <v>109</v>
      </c>
      <c r="I35" t="str">
        <f>HYPERLINK("https://zfin.org/ZDB-GENE-160114-52")</f>
        <v>https://zfin.org/ZDB-GENE-160114-52</v>
      </c>
      <c r="J35" t="s">
        <v>110</v>
      </c>
    </row>
    <row r="36" spans="1:10" x14ac:dyDescent="0.2">
      <c r="A36">
        <v>9.0798171897487397E-284</v>
      </c>
      <c r="B36">
        <v>1.9322969378013299</v>
      </c>
      <c r="C36">
        <v>0.98599999999999999</v>
      </c>
      <c r="D36">
        <v>6.3E-2</v>
      </c>
      <c r="E36">
        <v>1.2619129930312801E-279</v>
      </c>
      <c r="F36">
        <v>1</v>
      </c>
      <c r="G36" t="s">
        <v>111</v>
      </c>
      <c r="H36" t="s">
        <v>112</v>
      </c>
      <c r="I36" t="str">
        <f>HYPERLINK("https://zfin.org/ZDB-GENE-050320-33")</f>
        <v>https://zfin.org/ZDB-GENE-050320-33</v>
      </c>
      <c r="J36" t="s">
        <v>113</v>
      </c>
    </row>
    <row r="37" spans="1:10" x14ac:dyDescent="0.2">
      <c r="A37">
        <v>1.2926002051711399E-280</v>
      </c>
      <c r="B37">
        <v>0.86483356204802797</v>
      </c>
      <c r="C37">
        <v>0.54300000000000004</v>
      </c>
      <c r="D37">
        <v>6.0000000000000001E-3</v>
      </c>
      <c r="E37">
        <v>1.7964557651468501E-276</v>
      </c>
      <c r="F37">
        <v>1</v>
      </c>
      <c r="G37" t="s">
        <v>114</v>
      </c>
      <c r="H37" t="s">
        <v>115</v>
      </c>
      <c r="I37" t="str">
        <f>HYPERLINK("https://zfin.org/")</f>
        <v>https://zfin.org/</v>
      </c>
      <c r="J37" t="s">
        <v>116</v>
      </c>
    </row>
    <row r="38" spans="1:10" x14ac:dyDescent="0.2">
      <c r="A38">
        <v>1.5833381493779101E-277</v>
      </c>
      <c r="B38">
        <v>1.55217323202017</v>
      </c>
      <c r="C38">
        <v>0.9</v>
      </c>
      <c r="D38">
        <v>4.7E-2</v>
      </c>
      <c r="E38">
        <v>2.20052336000542E-273</v>
      </c>
      <c r="F38">
        <v>1</v>
      </c>
      <c r="G38" t="s">
        <v>117</v>
      </c>
      <c r="H38" t="s">
        <v>118</v>
      </c>
      <c r="I38" t="str">
        <f>HYPERLINK("https://zfin.org/ZDB-GENE-041010-45")</f>
        <v>https://zfin.org/ZDB-GENE-041010-45</v>
      </c>
      <c r="J38" t="s">
        <v>119</v>
      </c>
    </row>
    <row r="39" spans="1:10" x14ac:dyDescent="0.2">
      <c r="A39">
        <v>8.6411831591285604E-277</v>
      </c>
      <c r="B39">
        <v>1.2968831791269899</v>
      </c>
      <c r="C39">
        <v>0.66400000000000003</v>
      </c>
      <c r="D39">
        <v>1.7000000000000001E-2</v>
      </c>
      <c r="E39">
        <v>1.20095163545569E-272</v>
      </c>
      <c r="F39">
        <v>1</v>
      </c>
      <c r="G39" t="s">
        <v>120</v>
      </c>
      <c r="H39" t="s">
        <v>121</v>
      </c>
      <c r="I39" t="str">
        <f>HYPERLINK("https://zfin.org/ZDB-GENE-081022-199")</f>
        <v>https://zfin.org/ZDB-GENE-081022-199</v>
      </c>
      <c r="J39" t="s">
        <v>122</v>
      </c>
    </row>
    <row r="40" spans="1:10" x14ac:dyDescent="0.2">
      <c r="A40">
        <v>1.23898416803369E-274</v>
      </c>
      <c r="B40">
        <v>0.87968350089556002</v>
      </c>
      <c r="C40">
        <v>0.51400000000000001</v>
      </c>
      <c r="D40">
        <v>5.0000000000000001E-3</v>
      </c>
      <c r="E40">
        <v>1.72194019673322E-270</v>
      </c>
      <c r="F40">
        <v>1</v>
      </c>
      <c r="G40" t="s">
        <v>123</v>
      </c>
      <c r="H40" t="s">
        <v>124</v>
      </c>
      <c r="I40" t="str">
        <f>HYPERLINK("https://zfin.org/")</f>
        <v>https://zfin.org/</v>
      </c>
    </row>
    <row r="41" spans="1:10" x14ac:dyDescent="0.2">
      <c r="A41">
        <v>1.4145632779402301E-272</v>
      </c>
      <c r="B41">
        <v>1.39453672047646</v>
      </c>
      <c r="C41">
        <v>0.86399999999999999</v>
      </c>
      <c r="D41">
        <v>4.1000000000000002E-2</v>
      </c>
      <c r="E41">
        <v>1.9659600436813301E-268</v>
      </c>
      <c r="F41">
        <v>1</v>
      </c>
      <c r="G41" t="s">
        <v>125</v>
      </c>
      <c r="H41" t="s">
        <v>126</v>
      </c>
      <c r="I41" t="str">
        <f>HYPERLINK("https://zfin.org/ZDB-GENE-070705-158")</f>
        <v>https://zfin.org/ZDB-GENE-070705-158</v>
      </c>
      <c r="J41" t="s">
        <v>127</v>
      </c>
    </row>
    <row r="42" spans="1:10" x14ac:dyDescent="0.2">
      <c r="A42">
        <v>5.3845830139872201E-271</v>
      </c>
      <c r="B42">
        <v>0.86618904064240698</v>
      </c>
      <c r="C42">
        <v>0.6</v>
      </c>
      <c r="D42">
        <v>1.2E-2</v>
      </c>
      <c r="E42">
        <v>7.4834934728394402E-267</v>
      </c>
      <c r="F42">
        <v>1</v>
      </c>
      <c r="G42" t="s">
        <v>128</v>
      </c>
      <c r="H42" t="s">
        <v>129</v>
      </c>
      <c r="I42" t="str">
        <f>HYPERLINK("https://zfin.org/ZDB-GENE-040426-1804")</f>
        <v>https://zfin.org/ZDB-GENE-040426-1804</v>
      </c>
      <c r="J42" t="s">
        <v>130</v>
      </c>
    </row>
    <row r="43" spans="1:10" x14ac:dyDescent="0.2">
      <c r="A43">
        <v>5.7017854313237399E-267</v>
      </c>
      <c r="B43">
        <v>0.840817173488697</v>
      </c>
      <c r="C43">
        <v>0.52900000000000003</v>
      </c>
      <c r="D43">
        <v>7.0000000000000001E-3</v>
      </c>
      <c r="E43">
        <v>7.9243413924537398E-263</v>
      </c>
      <c r="F43">
        <v>1</v>
      </c>
      <c r="G43" t="s">
        <v>131</v>
      </c>
      <c r="H43" t="s">
        <v>132</v>
      </c>
      <c r="I43" t="str">
        <f>HYPERLINK("https://zfin.org/")</f>
        <v>https://zfin.org/</v>
      </c>
    </row>
    <row r="44" spans="1:10" x14ac:dyDescent="0.2">
      <c r="A44">
        <v>1.10161552506169E-266</v>
      </c>
      <c r="B44">
        <v>1.03743451904284</v>
      </c>
      <c r="C44">
        <v>0.65700000000000003</v>
      </c>
      <c r="D44">
        <v>1.7999999999999999E-2</v>
      </c>
      <c r="E44">
        <v>1.5310252567307401E-262</v>
      </c>
      <c r="F44">
        <v>1</v>
      </c>
      <c r="G44" t="s">
        <v>133</v>
      </c>
      <c r="H44" t="s">
        <v>134</v>
      </c>
      <c r="I44" t="str">
        <f>HYPERLINK("https://zfin.org/ZDB-GENE-050417-153")</f>
        <v>https://zfin.org/ZDB-GENE-050417-153</v>
      </c>
      <c r="J44" t="s">
        <v>135</v>
      </c>
    </row>
    <row r="45" spans="1:10" x14ac:dyDescent="0.2">
      <c r="A45">
        <v>2.62785625803682E-263</v>
      </c>
      <c r="B45">
        <v>1.3071337797924101</v>
      </c>
      <c r="C45">
        <v>0.74299999999999999</v>
      </c>
      <c r="D45">
        <v>2.8000000000000001E-2</v>
      </c>
      <c r="E45">
        <v>3.6521946274195702E-259</v>
      </c>
      <c r="F45">
        <v>1</v>
      </c>
      <c r="G45" t="s">
        <v>136</v>
      </c>
      <c r="H45" t="s">
        <v>137</v>
      </c>
      <c r="I45" t="str">
        <f>HYPERLINK("https://zfin.org/ZDB-GENE-040426-1903")</f>
        <v>https://zfin.org/ZDB-GENE-040426-1903</v>
      </c>
      <c r="J45" t="s">
        <v>138</v>
      </c>
    </row>
    <row r="46" spans="1:10" x14ac:dyDescent="0.2">
      <c r="A46">
        <v>2.1562816585598699E-262</v>
      </c>
      <c r="B46">
        <v>0.88702588387486003</v>
      </c>
      <c r="C46">
        <v>0.57099999999999995</v>
      </c>
      <c r="D46">
        <v>1.0999999999999999E-2</v>
      </c>
      <c r="E46">
        <v>2.9968002490665002E-258</v>
      </c>
      <c r="F46">
        <v>1</v>
      </c>
      <c r="G46" t="s">
        <v>139</v>
      </c>
      <c r="H46" t="s">
        <v>140</v>
      </c>
      <c r="I46" t="str">
        <f>HYPERLINK("https://zfin.org/ZDB-GENE-051120-129")</f>
        <v>https://zfin.org/ZDB-GENE-051120-129</v>
      </c>
      <c r="J46" t="s">
        <v>141</v>
      </c>
    </row>
    <row r="47" spans="1:10" x14ac:dyDescent="0.2">
      <c r="A47">
        <v>4.5848953789854098E-258</v>
      </c>
      <c r="B47">
        <v>0.77655430500957801</v>
      </c>
      <c r="C47">
        <v>0.52900000000000003</v>
      </c>
      <c r="D47">
        <v>8.0000000000000002E-3</v>
      </c>
      <c r="E47">
        <v>6.3720875977139199E-254</v>
      </c>
      <c r="F47">
        <v>1</v>
      </c>
      <c r="G47" t="s">
        <v>142</v>
      </c>
      <c r="H47" t="s">
        <v>143</v>
      </c>
      <c r="I47" t="str">
        <f>HYPERLINK("https://zfin.org/ZDB-GENE-061013-787")</f>
        <v>https://zfin.org/ZDB-GENE-061013-787</v>
      </c>
      <c r="J47" t="s">
        <v>144</v>
      </c>
    </row>
    <row r="48" spans="1:10" x14ac:dyDescent="0.2">
      <c r="A48">
        <v>6.9080067868313401E-257</v>
      </c>
      <c r="B48">
        <v>1.74485953820644</v>
      </c>
      <c r="C48">
        <v>0.94299999999999995</v>
      </c>
      <c r="D48">
        <v>6.4000000000000001E-2</v>
      </c>
      <c r="E48">
        <v>9.6007478323382003E-253</v>
      </c>
      <c r="F48">
        <v>1</v>
      </c>
      <c r="G48" t="s">
        <v>145</v>
      </c>
      <c r="H48" t="s">
        <v>146</v>
      </c>
      <c r="I48" t="str">
        <f>HYPERLINK("https://zfin.org/ZDB-GENE-050522-238")</f>
        <v>https://zfin.org/ZDB-GENE-050522-238</v>
      </c>
      <c r="J48" t="s">
        <v>147</v>
      </c>
    </row>
    <row r="49" spans="1:10" x14ac:dyDescent="0.2">
      <c r="A49">
        <v>1.88477736460171E-256</v>
      </c>
      <c r="B49">
        <v>1.0547799529652799</v>
      </c>
      <c r="C49">
        <v>0.59299999999999997</v>
      </c>
      <c r="D49">
        <v>1.2999999999999999E-2</v>
      </c>
      <c r="E49">
        <v>2.6194635813234501E-252</v>
      </c>
      <c r="F49">
        <v>1</v>
      </c>
      <c r="G49" t="s">
        <v>148</v>
      </c>
      <c r="H49" t="s">
        <v>149</v>
      </c>
      <c r="I49" t="str">
        <f>HYPERLINK("https://zfin.org/ZDB-GENE-131127-474")</f>
        <v>https://zfin.org/ZDB-GENE-131127-474</v>
      </c>
      <c r="J49" t="s">
        <v>150</v>
      </c>
    </row>
    <row r="50" spans="1:10" x14ac:dyDescent="0.2">
      <c r="A50">
        <v>1.9082658138167E-254</v>
      </c>
      <c r="B50">
        <v>1.9160360238165</v>
      </c>
      <c r="C50">
        <v>0.82899999999999996</v>
      </c>
      <c r="D50">
        <v>4.2999999999999997E-2</v>
      </c>
      <c r="E50">
        <v>2.65210782804245E-250</v>
      </c>
      <c r="F50">
        <v>1</v>
      </c>
      <c r="G50" t="s">
        <v>151</v>
      </c>
      <c r="H50" t="s">
        <v>152</v>
      </c>
      <c r="I50" t="str">
        <f>HYPERLINK("https://zfin.org/ZDB-GENE-081028-70")</f>
        <v>https://zfin.org/ZDB-GENE-081028-70</v>
      </c>
      <c r="J50" t="s">
        <v>153</v>
      </c>
    </row>
    <row r="51" spans="1:10" x14ac:dyDescent="0.2">
      <c r="A51">
        <v>4.6464178635011904E-254</v>
      </c>
      <c r="B51">
        <v>2.0098060613817301</v>
      </c>
      <c r="C51">
        <v>0.75</v>
      </c>
      <c r="D51">
        <v>3.2000000000000001E-2</v>
      </c>
      <c r="E51">
        <v>6.4575915466939604E-250</v>
      </c>
      <c r="F51">
        <v>1</v>
      </c>
      <c r="G51" t="s">
        <v>154</v>
      </c>
      <c r="H51" t="s">
        <v>155</v>
      </c>
      <c r="I51" t="str">
        <f>HYPERLINK("https://zfin.org/ZDB-GENE-030131-7540")</f>
        <v>https://zfin.org/ZDB-GENE-030131-7540</v>
      </c>
      <c r="J51" t="s">
        <v>156</v>
      </c>
    </row>
    <row r="52" spans="1:10" x14ac:dyDescent="0.2">
      <c r="A52">
        <v>6.1124359709911101E-251</v>
      </c>
      <c r="B52">
        <v>2.51541266126367</v>
      </c>
      <c r="C52">
        <v>0.97899999999999998</v>
      </c>
      <c r="D52">
        <v>8.3000000000000004E-2</v>
      </c>
      <c r="E52">
        <v>8.4950635124834497E-247</v>
      </c>
      <c r="F52">
        <v>1</v>
      </c>
      <c r="G52" t="s">
        <v>157</v>
      </c>
      <c r="H52" t="s">
        <v>158</v>
      </c>
      <c r="I52" t="str">
        <f>HYPERLINK("https://zfin.org/ZDB-GENE-131121-321")</f>
        <v>https://zfin.org/ZDB-GENE-131121-321</v>
      </c>
      <c r="J52" t="s">
        <v>159</v>
      </c>
    </row>
    <row r="53" spans="1:10" x14ac:dyDescent="0.2">
      <c r="A53">
        <v>1.2515119271778301E-249</v>
      </c>
      <c r="B53">
        <v>0.85466895334819304</v>
      </c>
      <c r="C53">
        <v>0.52900000000000003</v>
      </c>
      <c r="D53">
        <v>8.9999999999999993E-3</v>
      </c>
      <c r="E53">
        <v>1.73935127639175E-245</v>
      </c>
      <c r="F53">
        <v>1</v>
      </c>
      <c r="G53" t="s">
        <v>160</v>
      </c>
      <c r="H53" t="s">
        <v>161</v>
      </c>
      <c r="I53" t="str">
        <f>HYPERLINK("https://zfin.org/ZDB-GENE-100913-3")</f>
        <v>https://zfin.org/ZDB-GENE-100913-3</v>
      </c>
      <c r="J53" t="s">
        <v>162</v>
      </c>
    </row>
    <row r="54" spans="1:10" x14ac:dyDescent="0.2">
      <c r="A54">
        <v>1.83234050082107E-249</v>
      </c>
      <c r="B54">
        <v>0.72500737060259002</v>
      </c>
      <c r="C54">
        <v>0.48599999999999999</v>
      </c>
      <c r="D54">
        <v>6.0000000000000001E-3</v>
      </c>
      <c r="E54">
        <v>2.54658682804113E-245</v>
      </c>
      <c r="F54">
        <v>1</v>
      </c>
      <c r="G54" t="s">
        <v>163</v>
      </c>
      <c r="H54" t="s">
        <v>164</v>
      </c>
      <c r="I54" t="str">
        <f>HYPERLINK("https://zfin.org/ZDB-GENE-070410-98")</f>
        <v>https://zfin.org/ZDB-GENE-070410-98</v>
      </c>
      <c r="J54" t="s">
        <v>165</v>
      </c>
    </row>
    <row r="55" spans="1:10" x14ac:dyDescent="0.2">
      <c r="A55">
        <v>7.0492938148076004E-249</v>
      </c>
      <c r="B55">
        <v>1.23955562180592</v>
      </c>
      <c r="C55">
        <v>0.81399999999999995</v>
      </c>
      <c r="D55">
        <v>0.04</v>
      </c>
      <c r="E55">
        <v>9.7971085438196107E-245</v>
      </c>
      <c r="F55">
        <v>1</v>
      </c>
      <c r="G55" t="s">
        <v>166</v>
      </c>
      <c r="H55" t="s">
        <v>167</v>
      </c>
      <c r="I55" t="str">
        <f>HYPERLINK("https://zfin.org/ZDB-GENE-010718-1")</f>
        <v>https://zfin.org/ZDB-GENE-010718-1</v>
      </c>
      <c r="J55" t="s">
        <v>168</v>
      </c>
    </row>
    <row r="56" spans="1:10" x14ac:dyDescent="0.2">
      <c r="A56">
        <v>1.1415637103090801E-247</v>
      </c>
      <c r="B56">
        <v>0.964134324769372</v>
      </c>
      <c r="C56">
        <v>0.51400000000000001</v>
      </c>
      <c r="D56">
        <v>8.0000000000000002E-3</v>
      </c>
      <c r="E56">
        <v>1.58654524458756E-243</v>
      </c>
      <c r="F56">
        <v>1</v>
      </c>
      <c r="G56" t="s">
        <v>169</v>
      </c>
      <c r="H56" t="s">
        <v>170</v>
      </c>
      <c r="I56" t="str">
        <f>HYPERLINK("https://zfin.org/ZDB-GENE-130531-42")</f>
        <v>https://zfin.org/ZDB-GENE-130531-42</v>
      </c>
      <c r="J56" t="s">
        <v>171</v>
      </c>
    </row>
    <row r="57" spans="1:10" x14ac:dyDescent="0.2">
      <c r="A57">
        <v>5.0955208890556999E-247</v>
      </c>
      <c r="B57">
        <v>0.96635557223466195</v>
      </c>
      <c r="C57">
        <v>0.5</v>
      </c>
      <c r="D57">
        <v>7.0000000000000001E-3</v>
      </c>
      <c r="E57">
        <v>7.0817549316096103E-243</v>
      </c>
      <c r="F57">
        <v>1</v>
      </c>
      <c r="G57" t="s">
        <v>172</v>
      </c>
      <c r="H57" t="s">
        <v>173</v>
      </c>
      <c r="I57" t="str">
        <f>HYPERLINK("https://zfin.org/ZDB-GENE-081105-176")</f>
        <v>https://zfin.org/ZDB-GENE-081105-176</v>
      </c>
      <c r="J57" t="s">
        <v>174</v>
      </c>
    </row>
    <row r="58" spans="1:10" x14ac:dyDescent="0.2">
      <c r="A58">
        <v>2.2246038606760401E-246</v>
      </c>
      <c r="B58">
        <v>3.56170455991843</v>
      </c>
      <c r="C58">
        <v>0.99299999999999999</v>
      </c>
      <c r="D58">
        <v>9.2999999999999999E-2</v>
      </c>
      <c r="E58">
        <v>3.0917544455675701E-242</v>
      </c>
      <c r="F58">
        <v>1</v>
      </c>
      <c r="G58" t="s">
        <v>175</v>
      </c>
      <c r="H58" t="s">
        <v>176</v>
      </c>
      <c r="I58" t="str">
        <f>HYPERLINK("https://zfin.org/")</f>
        <v>https://zfin.org/</v>
      </c>
    </row>
    <row r="59" spans="1:10" x14ac:dyDescent="0.2">
      <c r="A59">
        <v>3.6073306021498402E-246</v>
      </c>
      <c r="B59">
        <v>0.68305562826814703</v>
      </c>
      <c r="C59">
        <v>0.443</v>
      </c>
      <c r="D59">
        <v>3.0000000000000001E-3</v>
      </c>
      <c r="E59">
        <v>5.0134680708678399E-242</v>
      </c>
      <c r="F59">
        <v>1</v>
      </c>
      <c r="G59" t="s">
        <v>177</v>
      </c>
      <c r="H59" t="s">
        <v>178</v>
      </c>
      <c r="I59" t="str">
        <f>HYPERLINK("https://zfin.org/ZDB-GENE-081104-375")</f>
        <v>https://zfin.org/ZDB-GENE-081104-375</v>
      </c>
      <c r="J59" t="s">
        <v>179</v>
      </c>
    </row>
    <row r="60" spans="1:10" x14ac:dyDescent="0.2">
      <c r="A60">
        <v>7.8422305630725E-246</v>
      </c>
      <c r="B60">
        <v>1.35660596745745</v>
      </c>
      <c r="C60">
        <v>0.629</v>
      </c>
      <c r="D60">
        <v>1.9E-2</v>
      </c>
      <c r="E60">
        <v>1.0899132036558201E-241</v>
      </c>
      <c r="F60">
        <v>1</v>
      </c>
      <c r="G60" t="s">
        <v>180</v>
      </c>
      <c r="H60" t="s">
        <v>181</v>
      </c>
      <c r="I60" t="str">
        <f>HYPERLINK("https://zfin.org/ZDB-GENE-060526-265")</f>
        <v>https://zfin.org/ZDB-GENE-060526-265</v>
      </c>
      <c r="J60" t="s">
        <v>182</v>
      </c>
    </row>
    <row r="61" spans="1:10" x14ac:dyDescent="0.2">
      <c r="A61">
        <v>4.1328152988195702E-245</v>
      </c>
      <c r="B61">
        <v>0.80761029084428304</v>
      </c>
      <c r="C61">
        <v>0.60699999999999998</v>
      </c>
      <c r="D61">
        <v>1.6E-2</v>
      </c>
      <c r="E61">
        <v>5.7437867022994402E-241</v>
      </c>
      <c r="F61">
        <v>1</v>
      </c>
      <c r="G61" t="s">
        <v>183</v>
      </c>
      <c r="H61" t="s">
        <v>184</v>
      </c>
      <c r="I61" t="str">
        <f>HYPERLINK("https://zfin.org/ZDB-GENE-041111-13")</f>
        <v>https://zfin.org/ZDB-GENE-041111-13</v>
      </c>
      <c r="J61" t="s">
        <v>185</v>
      </c>
    </row>
    <row r="62" spans="1:10" x14ac:dyDescent="0.2">
      <c r="A62">
        <v>3.6108014225686102E-243</v>
      </c>
      <c r="B62">
        <v>1.2558902041856099</v>
      </c>
      <c r="C62">
        <v>0.60699999999999998</v>
      </c>
      <c r="D62">
        <v>1.7000000000000001E-2</v>
      </c>
      <c r="E62">
        <v>5.0182918170858598E-239</v>
      </c>
      <c r="F62">
        <v>1</v>
      </c>
      <c r="G62" t="s">
        <v>186</v>
      </c>
      <c r="H62" t="s">
        <v>187</v>
      </c>
      <c r="I62" t="str">
        <f>HYPERLINK("https://zfin.org/ZDB-GENE-030131-7778")</f>
        <v>https://zfin.org/ZDB-GENE-030131-7778</v>
      </c>
      <c r="J62" t="s">
        <v>188</v>
      </c>
    </row>
    <row r="63" spans="1:10" x14ac:dyDescent="0.2">
      <c r="A63">
        <v>1.3560521303503699E-242</v>
      </c>
      <c r="B63">
        <v>0.96112894459354004</v>
      </c>
      <c r="C63">
        <v>0.52900000000000003</v>
      </c>
      <c r="D63">
        <v>0.01</v>
      </c>
      <c r="E63">
        <v>1.88464125076095E-238</v>
      </c>
      <c r="F63">
        <v>1</v>
      </c>
      <c r="G63" t="s">
        <v>189</v>
      </c>
      <c r="H63" t="s">
        <v>190</v>
      </c>
      <c r="I63" t="str">
        <f>HYPERLINK("https://zfin.org/ZDB-GENE-081104-296")</f>
        <v>https://zfin.org/ZDB-GENE-081104-296</v>
      </c>
      <c r="J63" t="s">
        <v>191</v>
      </c>
    </row>
    <row r="64" spans="1:10" x14ac:dyDescent="0.2">
      <c r="A64">
        <v>7.7655937635197203E-240</v>
      </c>
      <c r="B64">
        <v>2.2456780469166202</v>
      </c>
      <c r="C64">
        <v>1</v>
      </c>
      <c r="D64">
        <v>9.5000000000000001E-2</v>
      </c>
      <c r="E64">
        <v>1.0792622212539699E-235</v>
      </c>
      <c r="F64">
        <v>1</v>
      </c>
      <c r="G64" t="s">
        <v>192</v>
      </c>
      <c r="H64" t="s">
        <v>193</v>
      </c>
      <c r="I64" t="str">
        <f>HYPERLINK("https://zfin.org/ZDB-GENE-081022-9")</f>
        <v>https://zfin.org/ZDB-GENE-081022-9</v>
      </c>
      <c r="J64" t="s">
        <v>194</v>
      </c>
    </row>
    <row r="65" spans="1:10" x14ac:dyDescent="0.2">
      <c r="A65">
        <v>1.31078956113081E-238</v>
      </c>
      <c r="B65">
        <v>0.66741388911835198</v>
      </c>
      <c r="C65">
        <v>0.47899999999999998</v>
      </c>
      <c r="D65">
        <v>6.0000000000000001E-3</v>
      </c>
      <c r="E65">
        <v>1.8217353320595901E-234</v>
      </c>
      <c r="F65">
        <v>1</v>
      </c>
      <c r="G65" t="s">
        <v>195</v>
      </c>
      <c r="H65" t="s">
        <v>196</v>
      </c>
      <c r="I65" t="str">
        <f>HYPERLINK("https://zfin.org/ZDB-GENE-040704-43")</f>
        <v>https://zfin.org/ZDB-GENE-040704-43</v>
      </c>
      <c r="J65" t="s">
        <v>197</v>
      </c>
    </row>
    <row r="66" spans="1:10" x14ac:dyDescent="0.2">
      <c r="A66">
        <v>1.8917124146962601E-237</v>
      </c>
      <c r="B66">
        <v>0.77673063410792698</v>
      </c>
      <c r="C66">
        <v>0.57099999999999995</v>
      </c>
      <c r="D66">
        <v>1.4E-2</v>
      </c>
      <c r="E66">
        <v>2.62910191394486E-233</v>
      </c>
      <c r="F66">
        <v>1</v>
      </c>
      <c r="G66" t="s">
        <v>198</v>
      </c>
      <c r="H66" t="s">
        <v>199</v>
      </c>
      <c r="I66" t="str">
        <f>HYPERLINK("https://zfin.org/ZDB-GENE-060825-357")</f>
        <v>https://zfin.org/ZDB-GENE-060825-357</v>
      </c>
      <c r="J66" t="s">
        <v>200</v>
      </c>
    </row>
    <row r="67" spans="1:10" x14ac:dyDescent="0.2">
      <c r="A67">
        <v>3.5806276980409902E-237</v>
      </c>
      <c r="B67">
        <v>1.10481701621805</v>
      </c>
      <c r="C67">
        <v>0.63600000000000001</v>
      </c>
      <c r="D67">
        <v>2.1000000000000001E-2</v>
      </c>
      <c r="E67">
        <v>4.9763563747373701E-233</v>
      </c>
      <c r="F67">
        <v>1</v>
      </c>
      <c r="G67" t="s">
        <v>201</v>
      </c>
      <c r="H67" t="s">
        <v>202</v>
      </c>
      <c r="I67" t="str">
        <f>HYPERLINK("https://zfin.org/ZDB-GENE-030131-7291")</f>
        <v>https://zfin.org/ZDB-GENE-030131-7291</v>
      </c>
      <c r="J67" t="s">
        <v>203</v>
      </c>
    </row>
    <row r="68" spans="1:10" x14ac:dyDescent="0.2">
      <c r="A68">
        <v>2.23945729408294E-232</v>
      </c>
      <c r="B68">
        <v>0.82626072698610298</v>
      </c>
      <c r="C68">
        <v>0.52100000000000002</v>
      </c>
      <c r="D68">
        <v>1.0999999999999999E-2</v>
      </c>
      <c r="E68">
        <v>3.1123977473164702E-228</v>
      </c>
      <c r="F68">
        <v>1</v>
      </c>
      <c r="G68" t="s">
        <v>204</v>
      </c>
      <c r="H68" t="s">
        <v>205</v>
      </c>
      <c r="I68" t="str">
        <f>HYPERLINK("https://zfin.org/ZDB-GENE-050522-121")</f>
        <v>https://zfin.org/ZDB-GENE-050522-121</v>
      </c>
      <c r="J68" t="s">
        <v>206</v>
      </c>
    </row>
    <row r="69" spans="1:10" x14ac:dyDescent="0.2">
      <c r="A69">
        <v>2.36658972779907E-232</v>
      </c>
      <c r="B69">
        <v>0.64249056382117797</v>
      </c>
      <c r="C69">
        <v>0.42099999999999999</v>
      </c>
      <c r="D69">
        <v>3.0000000000000001E-3</v>
      </c>
      <c r="E69">
        <v>3.2890864036951402E-228</v>
      </c>
      <c r="F69">
        <v>1</v>
      </c>
      <c r="G69" t="s">
        <v>207</v>
      </c>
      <c r="H69" t="s">
        <v>208</v>
      </c>
      <c r="I69" t="str">
        <f>HYPERLINK("https://zfin.org/")</f>
        <v>https://zfin.org/</v>
      </c>
    </row>
    <row r="70" spans="1:10" x14ac:dyDescent="0.2">
      <c r="A70">
        <v>4.3315303880655796E-230</v>
      </c>
      <c r="B70">
        <v>0.71626312886921195</v>
      </c>
      <c r="C70">
        <v>0.45</v>
      </c>
      <c r="D70">
        <v>5.0000000000000001E-3</v>
      </c>
      <c r="E70">
        <v>6.0199609333335403E-226</v>
      </c>
      <c r="F70">
        <v>1</v>
      </c>
      <c r="G70" t="s">
        <v>209</v>
      </c>
      <c r="H70" t="s">
        <v>210</v>
      </c>
      <c r="I70" t="str">
        <f>HYPERLINK("https://zfin.org/ZDB-GENE-041114-110")</f>
        <v>https://zfin.org/ZDB-GENE-041114-110</v>
      </c>
      <c r="J70" t="s">
        <v>211</v>
      </c>
    </row>
    <row r="71" spans="1:10" x14ac:dyDescent="0.2">
      <c r="A71">
        <v>5.8521082693999196E-230</v>
      </c>
      <c r="B71">
        <v>0.73229726854476296</v>
      </c>
      <c r="C71">
        <v>0.46400000000000002</v>
      </c>
      <c r="D71">
        <v>6.0000000000000001E-3</v>
      </c>
      <c r="E71">
        <v>8.1332600728119999E-226</v>
      </c>
      <c r="F71">
        <v>1</v>
      </c>
      <c r="G71" t="s">
        <v>212</v>
      </c>
      <c r="H71" t="s">
        <v>213</v>
      </c>
      <c r="I71" t="str">
        <f>HYPERLINK("https://zfin.org/ZDB-GENE-050419-109")</f>
        <v>https://zfin.org/ZDB-GENE-050419-109</v>
      </c>
      <c r="J71" t="s">
        <v>214</v>
      </c>
    </row>
    <row r="72" spans="1:10" x14ac:dyDescent="0.2">
      <c r="A72">
        <v>4.2590194647972297E-229</v>
      </c>
      <c r="B72">
        <v>0.82046958369707401</v>
      </c>
      <c r="C72">
        <v>0.48599999999999999</v>
      </c>
      <c r="D72">
        <v>8.0000000000000002E-3</v>
      </c>
      <c r="E72">
        <v>5.9191852521751896E-225</v>
      </c>
      <c r="F72">
        <v>1</v>
      </c>
      <c r="G72" t="s">
        <v>215</v>
      </c>
      <c r="H72" t="s">
        <v>216</v>
      </c>
      <c r="I72" t="str">
        <f>HYPERLINK("https://zfin.org/ZDB-GENE-050208-657")</f>
        <v>https://zfin.org/ZDB-GENE-050208-657</v>
      </c>
      <c r="J72" t="s">
        <v>217</v>
      </c>
    </row>
    <row r="73" spans="1:10" x14ac:dyDescent="0.2">
      <c r="A73">
        <v>5.6493344263690702E-228</v>
      </c>
      <c r="B73">
        <v>0.85594115831995399</v>
      </c>
      <c r="C73">
        <v>0.55000000000000004</v>
      </c>
      <c r="D73">
        <v>1.4E-2</v>
      </c>
      <c r="E73">
        <v>7.8514449857677305E-224</v>
      </c>
      <c r="F73">
        <v>1</v>
      </c>
      <c r="G73" t="s">
        <v>218</v>
      </c>
      <c r="H73" t="s">
        <v>219</v>
      </c>
      <c r="I73" t="str">
        <f>HYPERLINK("https://zfin.org/ZDB-GENE-080204-7")</f>
        <v>https://zfin.org/ZDB-GENE-080204-7</v>
      </c>
      <c r="J73" t="s">
        <v>220</v>
      </c>
    </row>
    <row r="74" spans="1:10" x14ac:dyDescent="0.2">
      <c r="A74">
        <v>1.0661576329435599E-227</v>
      </c>
      <c r="B74">
        <v>0.84203710190971104</v>
      </c>
      <c r="C74">
        <v>0.55700000000000005</v>
      </c>
      <c r="D74">
        <v>1.4E-2</v>
      </c>
      <c r="E74">
        <v>1.48174587826497E-223</v>
      </c>
      <c r="F74">
        <v>1</v>
      </c>
      <c r="G74" t="s">
        <v>221</v>
      </c>
      <c r="H74" t="s">
        <v>222</v>
      </c>
      <c r="I74" t="str">
        <f>HYPERLINK("https://zfin.org/ZDB-GENE-081031-7")</f>
        <v>https://zfin.org/ZDB-GENE-081031-7</v>
      </c>
      <c r="J74" t="s">
        <v>223</v>
      </c>
    </row>
    <row r="75" spans="1:10" x14ac:dyDescent="0.2">
      <c r="A75">
        <v>5.2695565019955603E-227</v>
      </c>
      <c r="B75">
        <v>1.7514808164787301</v>
      </c>
      <c r="C75">
        <v>0.97099999999999997</v>
      </c>
      <c r="D75">
        <v>8.1000000000000003E-2</v>
      </c>
      <c r="E75">
        <v>7.3236296264734299E-223</v>
      </c>
      <c r="F75">
        <v>1</v>
      </c>
      <c r="G75" t="s">
        <v>224</v>
      </c>
      <c r="H75" t="s">
        <v>225</v>
      </c>
      <c r="I75" t="str">
        <f>HYPERLINK("https://zfin.org/ZDB-GENE-030925-29")</f>
        <v>https://zfin.org/ZDB-GENE-030925-29</v>
      </c>
      <c r="J75" t="s">
        <v>226</v>
      </c>
    </row>
    <row r="76" spans="1:10" x14ac:dyDescent="0.2">
      <c r="A76">
        <v>4.2899372188177802E-222</v>
      </c>
      <c r="B76">
        <v>0.90996882688532799</v>
      </c>
      <c r="C76">
        <v>0.61399999999999999</v>
      </c>
      <c r="D76">
        <v>2.1000000000000001E-2</v>
      </c>
      <c r="E76">
        <v>5.9621547467129403E-218</v>
      </c>
      <c r="F76">
        <v>1</v>
      </c>
      <c r="G76" t="s">
        <v>227</v>
      </c>
      <c r="H76" t="s">
        <v>228</v>
      </c>
      <c r="I76" t="str">
        <f>HYPERLINK("https://zfin.org/ZDB-GENE-040724-235")</f>
        <v>https://zfin.org/ZDB-GENE-040724-235</v>
      </c>
      <c r="J76" t="s">
        <v>229</v>
      </c>
    </row>
    <row r="77" spans="1:10" x14ac:dyDescent="0.2">
      <c r="A77">
        <v>8.7670532234259395E-222</v>
      </c>
      <c r="B77">
        <v>0.78663593897161399</v>
      </c>
      <c r="C77">
        <v>0.54300000000000004</v>
      </c>
      <c r="D77">
        <v>1.4E-2</v>
      </c>
      <c r="E77">
        <v>1.21844505699174E-217</v>
      </c>
      <c r="F77">
        <v>1</v>
      </c>
      <c r="G77" t="s">
        <v>230</v>
      </c>
      <c r="H77" t="s">
        <v>231</v>
      </c>
      <c r="I77" t="str">
        <f>HYPERLINK("https://zfin.org/ZDB-GENE-090313-121")</f>
        <v>https://zfin.org/ZDB-GENE-090313-121</v>
      </c>
      <c r="J77" t="s">
        <v>232</v>
      </c>
    </row>
    <row r="78" spans="1:10" x14ac:dyDescent="0.2">
      <c r="A78">
        <v>5.3013667738091204E-221</v>
      </c>
      <c r="B78">
        <v>1.2485710615660801</v>
      </c>
      <c r="C78">
        <v>0.40699999999999997</v>
      </c>
      <c r="D78">
        <v>4.0000000000000001E-3</v>
      </c>
      <c r="E78">
        <v>7.3678395422399093E-217</v>
      </c>
      <c r="F78">
        <v>1</v>
      </c>
      <c r="G78" t="s">
        <v>233</v>
      </c>
      <c r="H78" t="s">
        <v>234</v>
      </c>
      <c r="I78" t="str">
        <f>HYPERLINK("https://zfin.org/")</f>
        <v>https://zfin.org/</v>
      </c>
    </row>
    <row r="79" spans="1:10" x14ac:dyDescent="0.2">
      <c r="A79">
        <v>1.2892369756486E-220</v>
      </c>
      <c r="B79">
        <v>0.62784109448457004</v>
      </c>
      <c r="C79">
        <v>0.42899999999999999</v>
      </c>
      <c r="D79">
        <v>5.0000000000000001E-3</v>
      </c>
      <c r="E79">
        <v>1.7917815487564201E-216</v>
      </c>
      <c r="F79">
        <v>1</v>
      </c>
      <c r="G79" t="s">
        <v>235</v>
      </c>
      <c r="H79" t="s">
        <v>236</v>
      </c>
      <c r="I79" t="str">
        <f>HYPERLINK("https://zfin.org/ZDB-GENE-030131-4309")</f>
        <v>https://zfin.org/ZDB-GENE-030131-4309</v>
      </c>
      <c r="J79" t="s">
        <v>237</v>
      </c>
    </row>
    <row r="80" spans="1:10" x14ac:dyDescent="0.2">
      <c r="A80">
        <v>3.2561349386176102E-217</v>
      </c>
      <c r="B80">
        <v>0.89845555220243101</v>
      </c>
      <c r="C80">
        <v>0.621</v>
      </c>
      <c r="D80">
        <v>2.3E-2</v>
      </c>
      <c r="E80">
        <v>4.5253763376907598E-213</v>
      </c>
      <c r="F80">
        <v>1</v>
      </c>
      <c r="G80" t="s">
        <v>238</v>
      </c>
      <c r="H80" t="s">
        <v>239</v>
      </c>
      <c r="I80" t="str">
        <f>HYPERLINK("https://zfin.org/ZDB-GENE-081104-457")</f>
        <v>https://zfin.org/ZDB-GENE-081104-457</v>
      </c>
      <c r="J80" t="s">
        <v>240</v>
      </c>
    </row>
    <row r="81" spans="1:10" x14ac:dyDescent="0.2">
      <c r="A81">
        <v>1.14479351586918E-214</v>
      </c>
      <c r="B81">
        <v>0.55254867793010998</v>
      </c>
      <c r="C81">
        <v>0.4</v>
      </c>
      <c r="D81">
        <v>4.0000000000000001E-3</v>
      </c>
      <c r="E81">
        <v>1.59103402835499E-210</v>
      </c>
      <c r="F81">
        <v>1</v>
      </c>
      <c r="G81" t="s">
        <v>241</v>
      </c>
      <c r="H81" t="s">
        <v>242</v>
      </c>
      <c r="I81" t="str">
        <f>HYPERLINK("https://zfin.org/ZDB-GENE-070209-143")</f>
        <v>https://zfin.org/ZDB-GENE-070209-143</v>
      </c>
      <c r="J81" t="s">
        <v>243</v>
      </c>
    </row>
    <row r="82" spans="1:10" x14ac:dyDescent="0.2">
      <c r="A82">
        <v>6.2251739857222102E-214</v>
      </c>
      <c r="B82">
        <v>0.91061137248625501</v>
      </c>
      <c r="C82">
        <v>0.46400000000000002</v>
      </c>
      <c r="D82">
        <v>8.9999999999999993E-3</v>
      </c>
      <c r="E82">
        <v>8.6517468053567298E-210</v>
      </c>
      <c r="F82">
        <v>1</v>
      </c>
      <c r="G82" t="s">
        <v>244</v>
      </c>
      <c r="H82" t="s">
        <v>245</v>
      </c>
      <c r="I82" t="str">
        <f>HYPERLINK("https://zfin.org/ZDB-GENE-040310-2")</f>
        <v>https://zfin.org/ZDB-GENE-040310-2</v>
      </c>
      <c r="J82" t="s">
        <v>246</v>
      </c>
    </row>
    <row r="83" spans="1:10" x14ac:dyDescent="0.2">
      <c r="A83">
        <v>2.13707309936719E-213</v>
      </c>
      <c r="B83">
        <v>0.70452356033667596</v>
      </c>
      <c r="C83">
        <v>0.47899999999999998</v>
      </c>
      <c r="D83">
        <v>0.01</v>
      </c>
      <c r="E83">
        <v>2.97010419350052E-209</v>
      </c>
      <c r="F83">
        <v>1</v>
      </c>
      <c r="G83" t="s">
        <v>247</v>
      </c>
      <c r="H83" t="s">
        <v>248</v>
      </c>
      <c r="I83" t="str">
        <f>HYPERLINK("https://zfin.org/ZDB-GENE-070820-17")</f>
        <v>https://zfin.org/ZDB-GENE-070820-17</v>
      </c>
      <c r="J83" t="s">
        <v>249</v>
      </c>
    </row>
    <row r="84" spans="1:10" x14ac:dyDescent="0.2">
      <c r="A84">
        <v>3.2375968938565903E-213</v>
      </c>
      <c r="B84">
        <v>1.05143649808582</v>
      </c>
      <c r="C84">
        <v>0.64300000000000002</v>
      </c>
      <c r="D84">
        <v>2.5999999999999999E-2</v>
      </c>
      <c r="E84">
        <v>4.49961216308188E-209</v>
      </c>
      <c r="F84">
        <v>1</v>
      </c>
      <c r="G84" t="s">
        <v>250</v>
      </c>
      <c r="H84" t="s">
        <v>251</v>
      </c>
      <c r="I84" t="str">
        <f>HYPERLINK("https://zfin.org/ZDB-GENE-120709-101")</f>
        <v>https://zfin.org/ZDB-GENE-120709-101</v>
      </c>
      <c r="J84" t="s">
        <v>252</v>
      </c>
    </row>
    <row r="85" spans="1:10" x14ac:dyDescent="0.2">
      <c r="A85">
        <v>1.07285753360295E-212</v>
      </c>
      <c r="B85">
        <v>0.77595221425744598</v>
      </c>
      <c r="C85">
        <v>0.45</v>
      </c>
      <c r="D85">
        <v>7.0000000000000001E-3</v>
      </c>
      <c r="E85">
        <v>1.4910574002013799E-208</v>
      </c>
      <c r="F85">
        <v>1</v>
      </c>
      <c r="G85" t="s">
        <v>253</v>
      </c>
      <c r="H85" t="s">
        <v>254</v>
      </c>
      <c r="I85" t="str">
        <f>HYPERLINK("https://zfin.org/ZDB-GENE-120215-146")</f>
        <v>https://zfin.org/ZDB-GENE-120215-146</v>
      </c>
      <c r="J85" t="s">
        <v>255</v>
      </c>
    </row>
    <row r="86" spans="1:10" x14ac:dyDescent="0.2">
      <c r="A86">
        <v>1.19207881141053E-212</v>
      </c>
      <c r="B86">
        <v>1.4192914276711901</v>
      </c>
      <c r="C86">
        <v>0.871</v>
      </c>
      <c r="D86">
        <v>6.5000000000000002E-2</v>
      </c>
      <c r="E86">
        <v>1.65675113209836E-208</v>
      </c>
      <c r="F86">
        <v>1</v>
      </c>
      <c r="G86" t="s">
        <v>256</v>
      </c>
      <c r="H86" t="s">
        <v>257</v>
      </c>
      <c r="I86" t="str">
        <f>HYPERLINK("https://zfin.org/ZDB-GENE-030131-6048")</f>
        <v>https://zfin.org/ZDB-GENE-030131-6048</v>
      </c>
      <c r="J86" t="s">
        <v>258</v>
      </c>
    </row>
    <row r="87" spans="1:10" x14ac:dyDescent="0.2">
      <c r="A87">
        <v>2.8789131338897898E-211</v>
      </c>
      <c r="B87">
        <v>0.56420779693168299</v>
      </c>
      <c r="C87">
        <v>0.4</v>
      </c>
      <c r="D87">
        <v>4.0000000000000001E-3</v>
      </c>
      <c r="E87">
        <v>4.0011134734800199E-207</v>
      </c>
      <c r="F87">
        <v>1</v>
      </c>
      <c r="G87" t="s">
        <v>259</v>
      </c>
      <c r="H87" t="s">
        <v>260</v>
      </c>
      <c r="I87" t="str">
        <f>HYPERLINK("https://zfin.org/ZDB-GENE-040426-1300")</f>
        <v>https://zfin.org/ZDB-GENE-040426-1300</v>
      </c>
      <c r="J87" t="s">
        <v>261</v>
      </c>
    </row>
    <row r="88" spans="1:10" x14ac:dyDescent="0.2">
      <c r="A88">
        <v>1.6274152172351198E-207</v>
      </c>
      <c r="B88">
        <v>1.04026416597283</v>
      </c>
      <c r="C88">
        <v>0.48599999999999999</v>
      </c>
      <c r="D88">
        <v>1.0999999999999999E-2</v>
      </c>
      <c r="E88">
        <v>2.26178166891337E-203</v>
      </c>
      <c r="F88">
        <v>1</v>
      </c>
      <c r="G88" t="s">
        <v>262</v>
      </c>
      <c r="H88" t="s">
        <v>263</v>
      </c>
      <c r="I88" t="str">
        <f>HYPERLINK("https://zfin.org/ZDB-GENE-040426-1687")</f>
        <v>https://zfin.org/ZDB-GENE-040426-1687</v>
      </c>
      <c r="J88" t="s">
        <v>38</v>
      </c>
    </row>
    <row r="89" spans="1:10" x14ac:dyDescent="0.2">
      <c r="A89">
        <v>2.4340900306735399E-207</v>
      </c>
      <c r="B89">
        <v>2.3422327792876101</v>
      </c>
      <c r="C89">
        <v>0.95699999999999996</v>
      </c>
      <c r="D89">
        <v>0.106</v>
      </c>
      <c r="E89">
        <v>3.3828983246300902E-203</v>
      </c>
      <c r="F89">
        <v>1</v>
      </c>
      <c r="G89" t="s">
        <v>264</v>
      </c>
      <c r="H89" t="s">
        <v>265</v>
      </c>
      <c r="I89" t="str">
        <f>HYPERLINK("https://zfin.org/ZDB-GENE-131127-224")</f>
        <v>https://zfin.org/ZDB-GENE-131127-224</v>
      </c>
      <c r="J89" t="s">
        <v>266</v>
      </c>
    </row>
    <row r="90" spans="1:10" x14ac:dyDescent="0.2">
      <c r="A90">
        <v>1.4454487960701799E-206</v>
      </c>
      <c r="B90">
        <v>1.7246920639997401</v>
      </c>
      <c r="C90">
        <v>0.91400000000000003</v>
      </c>
      <c r="D90">
        <v>8.1000000000000003E-2</v>
      </c>
      <c r="E90">
        <v>2.0088847367783301E-202</v>
      </c>
      <c r="F90">
        <v>1</v>
      </c>
      <c r="G90" t="s">
        <v>267</v>
      </c>
      <c r="H90" t="s">
        <v>268</v>
      </c>
      <c r="I90" t="str">
        <f>HYPERLINK("https://zfin.org/ZDB-GENE-060616-326")</f>
        <v>https://zfin.org/ZDB-GENE-060616-326</v>
      </c>
      <c r="J90" t="s">
        <v>269</v>
      </c>
    </row>
    <row r="91" spans="1:10" x14ac:dyDescent="0.2">
      <c r="A91">
        <v>3.9998222080258199E-206</v>
      </c>
      <c r="B91">
        <v>1.1278019719838901</v>
      </c>
      <c r="C91">
        <v>0.67900000000000005</v>
      </c>
      <c r="D91">
        <v>3.3000000000000002E-2</v>
      </c>
      <c r="E91">
        <v>5.5589529047142901E-202</v>
      </c>
      <c r="F91">
        <v>1</v>
      </c>
      <c r="G91" t="s">
        <v>270</v>
      </c>
      <c r="H91" t="s">
        <v>271</v>
      </c>
      <c r="I91" t="str">
        <f>HYPERLINK("https://zfin.org/ZDB-GENE-111118-2")</f>
        <v>https://zfin.org/ZDB-GENE-111118-2</v>
      </c>
      <c r="J91" t="s">
        <v>272</v>
      </c>
    </row>
    <row r="92" spans="1:10" x14ac:dyDescent="0.2">
      <c r="A92">
        <v>6.2876830036102695E-206</v>
      </c>
      <c r="B92">
        <v>0.61973394583699304</v>
      </c>
      <c r="C92">
        <v>0.42099999999999999</v>
      </c>
      <c r="D92">
        <v>6.0000000000000001E-3</v>
      </c>
      <c r="E92">
        <v>8.7386218384175394E-202</v>
      </c>
      <c r="F92">
        <v>1</v>
      </c>
      <c r="G92" t="s">
        <v>273</v>
      </c>
      <c r="H92" t="s">
        <v>274</v>
      </c>
      <c r="I92" t="str">
        <f>HYPERLINK("https://zfin.org/ZDB-GENE-061013-622")</f>
        <v>https://zfin.org/ZDB-GENE-061013-622</v>
      </c>
      <c r="J92" t="s">
        <v>275</v>
      </c>
    </row>
    <row r="93" spans="1:10" x14ac:dyDescent="0.2">
      <c r="A93">
        <v>2.8388580267477602E-204</v>
      </c>
      <c r="B93">
        <v>0.91363836592560299</v>
      </c>
      <c r="C93">
        <v>0.40699999999999997</v>
      </c>
      <c r="D93">
        <v>5.0000000000000001E-3</v>
      </c>
      <c r="E93">
        <v>3.9454448855740399E-200</v>
      </c>
      <c r="F93">
        <v>1</v>
      </c>
      <c r="G93" t="s">
        <v>276</v>
      </c>
      <c r="H93" t="s">
        <v>277</v>
      </c>
      <c r="I93" t="str">
        <f>HYPERLINK("https://zfin.org/ZDB-GENE-121214-339")</f>
        <v>https://zfin.org/ZDB-GENE-121214-339</v>
      </c>
      <c r="J93" t="s">
        <v>278</v>
      </c>
    </row>
    <row r="94" spans="1:10" x14ac:dyDescent="0.2">
      <c r="A94">
        <v>6.3188888730604002E-204</v>
      </c>
      <c r="B94">
        <v>0.88476507077304101</v>
      </c>
      <c r="C94">
        <v>0.53600000000000003</v>
      </c>
      <c r="D94">
        <v>1.7000000000000001E-2</v>
      </c>
      <c r="E94">
        <v>8.7819917557793499E-200</v>
      </c>
      <c r="F94">
        <v>1</v>
      </c>
      <c r="G94" t="s">
        <v>279</v>
      </c>
      <c r="H94" t="s">
        <v>280</v>
      </c>
      <c r="I94" t="str">
        <f>HYPERLINK("https://zfin.org/ZDB-GENE-141219-8")</f>
        <v>https://zfin.org/ZDB-GENE-141219-8</v>
      </c>
      <c r="J94" t="s">
        <v>281</v>
      </c>
    </row>
    <row r="95" spans="1:10" x14ac:dyDescent="0.2">
      <c r="A95">
        <v>9.4399743963142497E-204</v>
      </c>
      <c r="B95">
        <v>0.86844593998917496</v>
      </c>
      <c r="C95">
        <v>0.52100000000000002</v>
      </c>
      <c r="D95">
        <v>1.4999999999999999E-2</v>
      </c>
      <c r="E95">
        <v>1.3119676415997499E-199</v>
      </c>
      <c r="F95">
        <v>1</v>
      </c>
      <c r="G95" t="s">
        <v>282</v>
      </c>
      <c r="H95" t="s">
        <v>283</v>
      </c>
      <c r="I95" t="str">
        <f>HYPERLINK("https://zfin.org/ZDB-GENE-030821-1")</f>
        <v>https://zfin.org/ZDB-GENE-030821-1</v>
      </c>
      <c r="J95" t="s">
        <v>284</v>
      </c>
    </row>
    <row r="96" spans="1:10" x14ac:dyDescent="0.2">
      <c r="A96">
        <v>2.0117003337907E-202</v>
      </c>
      <c r="B96">
        <v>1.0069123540796601</v>
      </c>
      <c r="C96">
        <v>0.67100000000000004</v>
      </c>
      <c r="D96">
        <v>3.3000000000000002E-2</v>
      </c>
      <c r="E96">
        <v>2.7958611239023199E-198</v>
      </c>
      <c r="F96">
        <v>1</v>
      </c>
      <c r="G96" t="s">
        <v>285</v>
      </c>
      <c r="H96" t="s">
        <v>286</v>
      </c>
      <c r="I96" t="str">
        <f>HYPERLINK("https://zfin.org/ZDB-GENE-060929-998")</f>
        <v>https://zfin.org/ZDB-GENE-060929-998</v>
      </c>
      <c r="J96" t="s">
        <v>287</v>
      </c>
    </row>
    <row r="97" spans="1:10" x14ac:dyDescent="0.2">
      <c r="A97">
        <v>4.7683435166390999E-202</v>
      </c>
      <c r="B97">
        <v>1.6194231714662899</v>
      </c>
      <c r="C97">
        <v>0.89300000000000002</v>
      </c>
      <c r="D97">
        <v>7.6999999999999999E-2</v>
      </c>
      <c r="E97">
        <v>6.6270438194250201E-198</v>
      </c>
      <c r="F97">
        <v>1</v>
      </c>
      <c r="G97" t="s">
        <v>288</v>
      </c>
      <c r="H97" t="s">
        <v>289</v>
      </c>
      <c r="I97" t="str">
        <f>HYPERLINK("https://zfin.org/ZDB-GENE-040426-1615")</f>
        <v>https://zfin.org/ZDB-GENE-040426-1615</v>
      </c>
      <c r="J97" t="s">
        <v>290</v>
      </c>
    </row>
    <row r="98" spans="1:10" x14ac:dyDescent="0.2">
      <c r="A98">
        <v>3.0582786026871499E-201</v>
      </c>
      <c r="B98">
        <v>0.75268055356842001</v>
      </c>
      <c r="C98">
        <v>0.50700000000000001</v>
      </c>
      <c r="D98">
        <v>1.4E-2</v>
      </c>
      <c r="E98">
        <v>4.2503956020145999E-197</v>
      </c>
      <c r="F98">
        <v>1</v>
      </c>
      <c r="G98" t="s">
        <v>291</v>
      </c>
      <c r="H98" t="s">
        <v>292</v>
      </c>
      <c r="I98" t="str">
        <f>HYPERLINK("https://zfin.org/ZDB-GENE-060929-1170")</f>
        <v>https://zfin.org/ZDB-GENE-060929-1170</v>
      </c>
      <c r="J98" t="s">
        <v>293</v>
      </c>
    </row>
    <row r="99" spans="1:10" x14ac:dyDescent="0.2">
      <c r="A99">
        <v>1.33558505185214E-199</v>
      </c>
      <c r="B99">
        <v>1.1047001611560301</v>
      </c>
      <c r="C99">
        <v>0.73599999999999999</v>
      </c>
      <c r="D99">
        <v>4.3999999999999997E-2</v>
      </c>
      <c r="E99">
        <v>1.8561961050641002E-195</v>
      </c>
      <c r="F99">
        <v>1</v>
      </c>
      <c r="G99" t="s">
        <v>294</v>
      </c>
      <c r="H99" t="s">
        <v>295</v>
      </c>
      <c r="I99" t="str">
        <f>HYPERLINK("https://zfin.org/ZDB-GENE-040426-833")</f>
        <v>https://zfin.org/ZDB-GENE-040426-833</v>
      </c>
      <c r="J99" t="s">
        <v>296</v>
      </c>
    </row>
    <row r="100" spans="1:10" x14ac:dyDescent="0.2">
      <c r="A100">
        <v>1.3641833623321099E-198</v>
      </c>
      <c r="B100">
        <v>0.60427109491713304</v>
      </c>
      <c r="C100">
        <v>0.41399999999999998</v>
      </c>
      <c r="D100">
        <v>6.0000000000000001E-3</v>
      </c>
      <c r="E100">
        <v>1.89594203696917E-194</v>
      </c>
      <c r="F100">
        <v>1</v>
      </c>
      <c r="G100" t="s">
        <v>297</v>
      </c>
      <c r="H100" t="s">
        <v>298</v>
      </c>
      <c r="I100" t="str">
        <f>HYPERLINK("https://zfin.org/ZDB-GENE-110614-1")</f>
        <v>https://zfin.org/ZDB-GENE-110614-1</v>
      </c>
      <c r="J100" t="s">
        <v>299</v>
      </c>
    </row>
    <row r="101" spans="1:10" x14ac:dyDescent="0.2">
      <c r="A101">
        <v>1.4458413712737199E-197</v>
      </c>
      <c r="B101">
        <v>0.67548632330707403</v>
      </c>
      <c r="C101">
        <v>0.42099999999999999</v>
      </c>
      <c r="D101">
        <v>7.0000000000000001E-3</v>
      </c>
      <c r="E101">
        <v>2.0094303377962099E-193</v>
      </c>
      <c r="F101">
        <v>1</v>
      </c>
      <c r="G101" t="s">
        <v>300</v>
      </c>
      <c r="H101" t="s">
        <v>301</v>
      </c>
      <c r="I101" t="str">
        <f>HYPERLINK("https://zfin.org/ZDB-GENE-120215-229")</f>
        <v>https://zfin.org/ZDB-GENE-120215-229</v>
      </c>
      <c r="J101" t="s">
        <v>302</v>
      </c>
    </row>
    <row r="102" spans="1:10" x14ac:dyDescent="0.2">
      <c r="A102">
        <v>1.57296875496125E-197</v>
      </c>
      <c r="B102">
        <v>0.56072721287619298</v>
      </c>
      <c r="C102">
        <v>0.34300000000000003</v>
      </c>
      <c r="D102">
        <v>2E-3</v>
      </c>
      <c r="E102">
        <v>2.1861119756451501E-193</v>
      </c>
      <c r="F102">
        <v>1</v>
      </c>
      <c r="G102" t="s">
        <v>303</v>
      </c>
      <c r="H102" t="s">
        <v>304</v>
      </c>
      <c r="I102" t="str">
        <f>HYPERLINK("https://zfin.org/ZDB-GENE-131127-254")</f>
        <v>https://zfin.org/ZDB-GENE-131127-254</v>
      </c>
      <c r="J102" t="s">
        <v>305</v>
      </c>
    </row>
    <row r="103" spans="1:10" x14ac:dyDescent="0.2">
      <c r="A103">
        <v>3.0771901834516001E-196</v>
      </c>
      <c r="B103">
        <v>1.0164454689329701</v>
      </c>
      <c r="C103">
        <v>0.70699999999999996</v>
      </c>
      <c r="D103">
        <v>0.04</v>
      </c>
      <c r="E103">
        <v>4.27667891696104E-192</v>
      </c>
      <c r="F103">
        <v>1</v>
      </c>
      <c r="G103" t="s">
        <v>306</v>
      </c>
      <c r="H103" t="s">
        <v>307</v>
      </c>
      <c r="I103" t="str">
        <f>HYPERLINK("https://zfin.org/ZDB-GENE-091112-16")</f>
        <v>https://zfin.org/ZDB-GENE-091112-16</v>
      </c>
      <c r="J103" t="s">
        <v>308</v>
      </c>
    </row>
    <row r="104" spans="1:10" x14ac:dyDescent="0.2">
      <c r="A104">
        <v>8.01612886141457E-192</v>
      </c>
      <c r="B104">
        <v>0.85884617822917497</v>
      </c>
      <c r="C104">
        <v>0.55700000000000005</v>
      </c>
      <c r="D104">
        <v>2.1000000000000001E-2</v>
      </c>
      <c r="E104">
        <v>1.1140815891594001E-187</v>
      </c>
      <c r="F104">
        <v>1</v>
      </c>
      <c r="G104" t="s">
        <v>309</v>
      </c>
      <c r="H104" t="s">
        <v>310</v>
      </c>
      <c r="I104" t="str">
        <f>HYPERLINK("https://zfin.org/ZDB-GENE-050411-27")</f>
        <v>https://zfin.org/ZDB-GENE-050411-27</v>
      </c>
      <c r="J104" t="s">
        <v>311</v>
      </c>
    </row>
    <row r="105" spans="1:10" x14ac:dyDescent="0.2">
      <c r="A105">
        <v>1.20347911346659E-191</v>
      </c>
      <c r="B105">
        <v>0.65060766864931097</v>
      </c>
      <c r="C105">
        <v>0.35699999999999998</v>
      </c>
      <c r="D105">
        <v>3.0000000000000001E-3</v>
      </c>
      <c r="E105">
        <v>1.67259527189587E-187</v>
      </c>
      <c r="F105">
        <v>1</v>
      </c>
      <c r="G105" t="s">
        <v>312</v>
      </c>
      <c r="H105" t="s">
        <v>313</v>
      </c>
      <c r="I105" t="str">
        <f>HYPERLINK("https://zfin.org/ZDB-GENE-090313-53")</f>
        <v>https://zfin.org/ZDB-GENE-090313-53</v>
      </c>
      <c r="J105" t="s">
        <v>314</v>
      </c>
    </row>
    <row r="106" spans="1:10" x14ac:dyDescent="0.2">
      <c r="A106">
        <v>7.3364293054161008E-189</v>
      </c>
      <c r="B106">
        <v>0.83215368722943595</v>
      </c>
      <c r="C106">
        <v>0.49299999999999999</v>
      </c>
      <c r="D106">
        <v>1.4999999999999999E-2</v>
      </c>
      <c r="E106">
        <v>1.0196169448667301E-184</v>
      </c>
      <c r="F106">
        <v>1</v>
      </c>
      <c r="G106" t="s">
        <v>315</v>
      </c>
      <c r="H106" t="s">
        <v>316</v>
      </c>
      <c r="I106" t="str">
        <f>HYPERLINK("https://zfin.org/ZDB-GENE-160114-87")</f>
        <v>https://zfin.org/ZDB-GENE-160114-87</v>
      </c>
      <c r="J106" t="s">
        <v>317</v>
      </c>
    </row>
    <row r="107" spans="1:10" x14ac:dyDescent="0.2">
      <c r="A107">
        <v>1.8492070401865401E-183</v>
      </c>
      <c r="B107">
        <v>1.38569748622834</v>
      </c>
      <c r="C107">
        <v>0.86399999999999999</v>
      </c>
      <c r="D107">
        <v>7.6999999999999999E-2</v>
      </c>
      <c r="E107">
        <v>2.5700279444512601E-179</v>
      </c>
      <c r="F107">
        <v>1</v>
      </c>
      <c r="G107" t="s">
        <v>318</v>
      </c>
      <c r="H107" t="s">
        <v>319</v>
      </c>
      <c r="I107" t="str">
        <f>HYPERLINK("https://zfin.org/ZDB-GENE-041212-9")</f>
        <v>https://zfin.org/ZDB-GENE-041212-9</v>
      </c>
      <c r="J107" t="s">
        <v>320</v>
      </c>
    </row>
    <row r="108" spans="1:10" x14ac:dyDescent="0.2">
      <c r="A108">
        <v>4.3040794910080302E-182</v>
      </c>
      <c r="B108">
        <v>2.2286364101218301</v>
      </c>
      <c r="C108">
        <v>0.98599999999999999</v>
      </c>
      <c r="D108">
        <v>0.14299999999999999</v>
      </c>
      <c r="E108">
        <v>5.9818096766029605E-178</v>
      </c>
      <c r="F108">
        <v>1</v>
      </c>
      <c r="G108" t="s">
        <v>321</v>
      </c>
      <c r="H108" t="s">
        <v>322</v>
      </c>
      <c r="I108" t="str">
        <f>HYPERLINK("https://zfin.org/ZDB-GENE-040912-60")</f>
        <v>https://zfin.org/ZDB-GENE-040912-60</v>
      </c>
      <c r="J108" t="s">
        <v>323</v>
      </c>
    </row>
    <row r="109" spans="1:10" x14ac:dyDescent="0.2">
      <c r="A109">
        <v>4.3516136050736102E-182</v>
      </c>
      <c r="B109">
        <v>0.90734917391984105</v>
      </c>
      <c r="C109">
        <v>0.50700000000000001</v>
      </c>
      <c r="D109">
        <v>1.7999999999999999E-2</v>
      </c>
      <c r="E109">
        <v>6.0478725883312998E-178</v>
      </c>
      <c r="F109">
        <v>1</v>
      </c>
      <c r="G109" t="s">
        <v>324</v>
      </c>
      <c r="H109" t="s">
        <v>325</v>
      </c>
      <c r="I109" t="str">
        <f>HYPERLINK("https://zfin.org/ZDB-GENE-160113-73")</f>
        <v>https://zfin.org/ZDB-GENE-160113-73</v>
      </c>
      <c r="J109" t="s">
        <v>326</v>
      </c>
    </row>
    <row r="110" spans="1:10" x14ac:dyDescent="0.2">
      <c r="A110">
        <v>2.4888511172178598E-181</v>
      </c>
      <c r="B110">
        <v>0.660440017356695</v>
      </c>
      <c r="C110">
        <v>0.40699999999999997</v>
      </c>
      <c r="D110">
        <v>8.0000000000000002E-3</v>
      </c>
      <c r="E110">
        <v>3.4590052827093801E-177</v>
      </c>
      <c r="F110">
        <v>1</v>
      </c>
      <c r="G110" t="s">
        <v>327</v>
      </c>
      <c r="H110" t="s">
        <v>328</v>
      </c>
      <c r="I110" t="str">
        <f>HYPERLINK("https://zfin.org/ZDB-GENE-140106-78")</f>
        <v>https://zfin.org/ZDB-GENE-140106-78</v>
      </c>
      <c r="J110" t="s">
        <v>329</v>
      </c>
    </row>
    <row r="111" spans="1:10" x14ac:dyDescent="0.2">
      <c r="A111">
        <v>5.7857182173261504E-181</v>
      </c>
      <c r="B111">
        <v>0.579765497917207</v>
      </c>
      <c r="C111">
        <v>0.371</v>
      </c>
      <c r="D111">
        <v>5.0000000000000001E-3</v>
      </c>
      <c r="E111">
        <v>8.0409911784398806E-177</v>
      </c>
      <c r="F111">
        <v>1</v>
      </c>
      <c r="G111" t="s">
        <v>330</v>
      </c>
      <c r="H111" t="s">
        <v>331</v>
      </c>
      <c r="I111" t="str">
        <f>HYPERLINK("https://zfin.org/ZDB-GENE-060929-1178")</f>
        <v>https://zfin.org/ZDB-GENE-060929-1178</v>
      </c>
      <c r="J111" t="s">
        <v>332</v>
      </c>
    </row>
    <row r="112" spans="1:10" x14ac:dyDescent="0.2">
      <c r="A112">
        <v>2.0293158822015899E-179</v>
      </c>
      <c r="B112">
        <v>0.49936572417129899</v>
      </c>
      <c r="C112">
        <v>0.32100000000000001</v>
      </c>
      <c r="D112">
        <v>2E-3</v>
      </c>
      <c r="E112">
        <v>2.8203432130837698E-175</v>
      </c>
      <c r="F112">
        <v>1</v>
      </c>
      <c r="G112" t="s">
        <v>333</v>
      </c>
      <c r="H112" t="s">
        <v>334</v>
      </c>
      <c r="I112" t="str">
        <f>HYPERLINK("https://zfin.org/ZDB-GENE-060929-556")</f>
        <v>https://zfin.org/ZDB-GENE-060929-556</v>
      </c>
      <c r="J112" t="s">
        <v>335</v>
      </c>
    </row>
    <row r="113" spans="1:10" x14ac:dyDescent="0.2">
      <c r="A113">
        <v>2.3262933553981899E-179</v>
      </c>
      <c r="B113">
        <v>0.62025299445133197</v>
      </c>
      <c r="C113">
        <v>0.34300000000000003</v>
      </c>
      <c r="D113">
        <v>4.0000000000000001E-3</v>
      </c>
      <c r="E113">
        <v>3.2330825053324002E-175</v>
      </c>
      <c r="F113">
        <v>1</v>
      </c>
      <c r="G113" t="s">
        <v>336</v>
      </c>
      <c r="H113" t="s">
        <v>337</v>
      </c>
      <c r="I113" t="str">
        <f>HYPERLINK("https://zfin.org/ZDB-GENE-060526-175")</f>
        <v>https://zfin.org/ZDB-GENE-060526-175</v>
      </c>
      <c r="J113" t="s">
        <v>338</v>
      </c>
    </row>
    <row r="114" spans="1:10" x14ac:dyDescent="0.2">
      <c r="A114">
        <v>4.2784923831678098E-179</v>
      </c>
      <c r="B114">
        <v>0.52941545384901101</v>
      </c>
      <c r="C114">
        <v>0.34300000000000003</v>
      </c>
      <c r="D114">
        <v>4.0000000000000001E-3</v>
      </c>
      <c r="E114">
        <v>5.94624871412663E-175</v>
      </c>
      <c r="F114">
        <v>1</v>
      </c>
      <c r="G114" t="s">
        <v>339</v>
      </c>
      <c r="H114" t="s">
        <v>340</v>
      </c>
      <c r="I114" t="str">
        <f>HYPERLINK("https://zfin.org/ZDB-GENE-030131-7672")</f>
        <v>https://zfin.org/ZDB-GENE-030131-7672</v>
      </c>
      <c r="J114" t="s">
        <v>341</v>
      </c>
    </row>
    <row r="115" spans="1:10" x14ac:dyDescent="0.2">
      <c r="A115">
        <v>1.7795961680170299E-178</v>
      </c>
      <c r="B115">
        <v>0.58107029998591198</v>
      </c>
      <c r="C115">
        <v>0.371</v>
      </c>
      <c r="D115">
        <v>6.0000000000000001E-3</v>
      </c>
      <c r="E115">
        <v>2.4732827543100699E-174</v>
      </c>
      <c r="F115">
        <v>1</v>
      </c>
      <c r="G115" t="s">
        <v>342</v>
      </c>
      <c r="H115" t="s">
        <v>343</v>
      </c>
      <c r="I115" t="str">
        <f>HYPERLINK("https://zfin.org/ZDB-GENE-101216-2")</f>
        <v>https://zfin.org/ZDB-GENE-101216-2</v>
      </c>
      <c r="J115" t="s">
        <v>344</v>
      </c>
    </row>
    <row r="116" spans="1:10" x14ac:dyDescent="0.2">
      <c r="A116">
        <v>4.2793363766314802E-178</v>
      </c>
      <c r="B116">
        <v>0.91000041269221399</v>
      </c>
      <c r="C116">
        <v>0.59299999999999997</v>
      </c>
      <c r="D116">
        <v>2.9000000000000001E-2</v>
      </c>
      <c r="E116">
        <v>5.9474216962424296E-174</v>
      </c>
      <c r="F116">
        <v>1</v>
      </c>
      <c r="G116" t="s">
        <v>345</v>
      </c>
      <c r="H116" t="s">
        <v>346</v>
      </c>
      <c r="I116" t="str">
        <f>HYPERLINK("https://zfin.org/ZDB-GENE-021022-2")</f>
        <v>https://zfin.org/ZDB-GENE-021022-2</v>
      </c>
      <c r="J116" t="s">
        <v>347</v>
      </c>
    </row>
    <row r="117" spans="1:10" x14ac:dyDescent="0.2">
      <c r="A117">
        <v>6.1673117066842999E-177</v>
      </c>
      <c r="B117">
        <v>0.68310672597376698</v>
      </c>
      <c r="C117">
        <v>0.42899999999999999</v>
      </c>
      <c r="D117">
        <v>1.0999999999999999E-2</v>
      </c>
      <c r="E117">
        <v>8.5713298099498498E-173</v>
      </c>
      <c r="F117">
        <v>1</v>
      </c>
      <c r="G117" t="s">
        <v>348</v>
      </c>
      <c r="H117" t="s">
        <v>349</v>
      </c>
      <c r="I117" t="str">
        <f>HYPERLINK("https://zfin.org/ZDB-GENE-040704-53")</f>
        <v>https://zfin.org/ZDB-GENE-040704-53</v>
      </c>
      <c r="J117" t="s">
        <v>350</v>
      </c>
    </row>
    <row r="118" spans="1:10" x14ac:dyDescent="0.2">
      <c r="A118">
        <v>1.02067351939811E-176</v>
      </c>
      <c r="B118">
        <v>0.57344507369916498</v>
      </c>
      <c r="C118">
        <v>0.4</v>
      </c>
      <c r="D118">
        <v>8.0000000000000002E-3</v>
      </c>
      <c r="E118">
        <v>1.4185320572595E-172</v>
      </c>
      <c r="F118">
        <v>1</v>
      </c>
      <c r="G118" t="s">
        <v>351</v>
      </c>
      <c r="H118" t="s">
        <v>352</v>
      </c>
      <c r="I118" t="str">
        <f>HYPERLINK("https://zfin.org/ZDB-GENE-130531-20")</f>
        <v>https://zfin.org/ZDB-GENE-130531-20</v>
      </c>
      <c r="J118" t="s">
        <v>353</v>
      </c>
    </row>
    <row r="119" spans="1:10" x14ac:dyDescent="0.2">
      <c r="A119">
        <v>1.62871247546515E-176</v>
      </c>
      <c r="B119">
        <v>1.98838054571266</v>
      </c>
      <c r="C119">
        <v>0.96399999999999997</v>
      </c>
      <c r="D119">
        <v>0.11700000000000001</v>
      </c>
      <c r="E119">
        <v>2.2635845984014601E-172</v>
      </c>
      <c r="F119">
        <v>1</v>
      </c>
      <c r="G119" t="s">
        <v>354</v>
      </c>
      <c r="H119" t="s">
        <v>355</v>
      </c>
      <c r="I119" t="str">
        <f>HYPERLINK("https://zfin.org/ZDB-GENE-051127-7")</f>
        <v>https://zfin.org/ZDB-GENE-051127-7</v>
      </c>
      <c r="J119" t="s">
        <v>356</v>
      </c>
    </row>
    <row r="120" spans="1:10" x14ac:dyDescent="0.2">
      <c r="A120">
        <v>5.2875879292170597E-175</v>
      </c>
      <c r="B120">
        <v>0.50576626779821499</v>
      </c>
      <c r="C120">
        <v>0.314</v>
      </c>
      <c r="D120">
        <v>2E-3</v>
      </c>
      <c r="E120">
        <v>7.3486897040258702E-171</v>
      </c>
      <c r="F120">
        <v>1</v>
      </c>
      <c r="G120" t="s">
        <v>357</v>
      </c>
      <c r="H120" t="s">
        <v>358</v>
      </c>
      <c r="I120" t="str">
        <f>HYPERLINK("https://zfin.org/ZDB-GENE-130530-597")</f>
        <v>https://zfin.org/ZDB-GENE-130530-597</v>
      </c>
      <c r="J120" t="s">
        <v>359</v>
      </c>
    </row>
    <row r="121" spans="1:10" x14ac:dyDescent="0.2">
      <c r="A121">
        <v>9.0533835600479397E-175</v>
      </c>
      <c r="B121">
        <v>1.1152850477148799</v>
      </c>
      <c r="C121">
        <v>0.57099999999999995</v>
      </c>
      <c r="D121">
        <v>2.8000000000000001E-2</v>
      </c>
      <c r="E121">
        <v>1.25823924717546E-170</v>
      </c>
      <c r="F121">
        <v>1</v>
      </c>
      <c r="G121" t="s">
        <v>360</v>
      </c>
      <c r="H121" t="s">
        <v>361</v>
      </c>
      <c r="I121" t="str">
        <f>HYPERLINK("https://zfin.org/ZDB-GENE-060929-368")</f>
        <v>https://zfin.org/ZDB-GENE-060929-368</v>
      </c>
      <c r="J121" t="s">
        <v>362</v>
      </c>
    </row>
    <row r="122" spans="1:10" x14ac:dyDescent="0.2">
      <c r="A122">
        <v>1.10739250375128E-174</v>
      </c>
      <c r="B122">
        <v>1.0480124490198199</v>
      </c>
      <c r="C122">
        <v>0.65</v>
      </c>
      <c r="D122">
        <v>3.7999999999999999E-2</v>
      </c>
      <c r="E122">
        <v>1.53905410171353E-170</v>
      </c>
      <c r="F122">
        <v>1</v>
      </c>
      <c r="G122" t="s">
        <v>363</v>
      </c>
      <c r="H122" t="s">
        <v>364</v>
      </c>
      <c r="I122" t="str">
        <f>HYPERLINK("https://zfin.org/ZDB-GENE-140106-61")</f>
        <v>https://zfin.org/ZDB-GENE-140106-61</v>
      </c>
      <c r="J122" t="s">
        <v>365</v>
      </c>
    </row>
    <row r="123" spans="1:10" x14ac:dyDescent="0.2">
      <c r="A123">
        <v>1.9393619983667599E-174</v>
      </c>
      <c r="B123">
        <v>1.2968762070453499</v>
      </c>
      <c r="C123">
        <v>0.82899999999999996</v>
      </c>
      <c r="D123">
        <v>7.2999999999999995E-2</v>
      </c>
      <c r="E123">
        <v>2.69532530533012E-170</v>
      </c>
      <c r="F123">
        <v>1</v>
      </c>
      <c r="G123" t="s">
        <v>366</v>
      </c>
      <c r="H123" t="s">
        <v>367</v>
      </c>
      <c r="I123" t="str">
        <f>HYPERLINK("https://zfin.org/ZDB-GENE-070424-166")</f>
        <v>https://zfin.org/ZDB-GENE-070424-166</v>
      </c>
      <c r="J123" t="s">
        <v>368</v>
      </c>
    </row>
    <row r="124" spans="1:10" x14ac:dyDescent="0.2">
      <c r="A124">
        <v>2.97196463975764E-173</v>
      </c>
      <c r="B124">
        <v>0.45613643029145901</v>
      </c>
      <c r="C124">
        <v>0.32900000000000001</v>
      </c>
      <c r="D124">
        <v>3.0000000000000001E-3</v>
      </c>
      <c r="E124">
        <v>4.13043645633517E-169</v>
      </c>
      <c r="F124">
        <v>1</v>
      </c>
      <c r="G124" t="s">
        <v>369</v>
      </c>
      <c r="H124" t="s">
        <v>370</v>
      </c>
      <c r="I124" t="str">
        <f>HYPERLINK("https://zfin.org/ZDB-GENE-050522-296")</f>
        <v>https://zfin.org/ZDB-GENE-050522-296</v>
      </c>
      <c r="J124" t="s">
        <v>371</v>
      </c>
    </row>
    <row r="125" spans="1:10" x14ac:dyDescent="0.2">
      <c r="A125">
        <v>7.3148078406106903E-171</v>
      </c>
      <c r="B125">
        <v>0.61109497767030496</v>
      </c>
      <c r="C125">
        <v>0.38600000000000001</v>
      </c>
      <c r="D125">
        <v>8.0000000000000002E-3</v>
      </c>
      <c r="E125">
        <v>1.0166119936880701E-166</v>
      </c>
      <c r="F125">
        <v>1</v>
      </c>
      <c r="G125" t="s">
        <v>372</v>
      </c>
      <c r="H125" t="s">
        <v>373</v>
      </c>
      <c r="I125" t="str">
        <f>HYPERLINK("https://zfin.org/ZDB-GENE-060201-2")</f>
        <v>https://zfin.org/ZDB-GENE-060201-2</v>
      </c>
      <c r="J125" t="s">
        <v>374</v>
      </c>
    </row>
    <row r="126" spans="1:10" x14ac:dyDescent="0.2">
      <c r="A126">
        <v>1.78815579245944E-168</v>
      </c>
      <c r="B126">
        <v>0.428109434840797</v>
      </c>
      <c r="C126">
        <v>0.28599999999999998</v>
      </c>
      <c r="D126">
        <v>1E-3</v>
      </c>
      <c r="E126">
        <v>2.4851789203601298E-164</v>
      </c>
      <c r="F126">
        <v>1</v>
      </c>
      <c r="G126" t="s">
        <v>375</v>
      </c>
      <c r="H126" t="s">
        <v>376</v>
      </c>
      <c r="I126" t="str">
        <f>HYPERLINK("https://zfin.org/ZDB-GENE-060503-339")</f>
        <v>https://zfin.org/ZDB-GENE-060503-339</v>
      </c>
      <c r="J126" t="s">
        <v>377</v>
      </c>
    </row>
    <row r="127" spans="1:10" x14ac:dyDescent="0.2">
      <c r="A127">
        <v>2.5604759076066498E-168</v>
      </c>
      <c r="B127">
        <v>0.62262294090772197</v>
      </c>
      <c r="C127">
        <v>0.45700000000000002</v>
      </c>
      <c r="D127">
        <v>1.4999999999999999E-2</v>
      </c>
      <c r="E127">
        <v>3.5585494163917302E-164</v>
      </c>
      <c r="F127">
        <v>1</v>
      </c>
      <c r="G127" t="s">
        <v>378</v>
      </c>
      <c r="H127" t="s">
        <v>379</v>
      </c>
      <c r="I127" t="str">
        <f>HYPERLINK("https://zfin.org/ZDB-GENE-040718-9")</f>
        <v>https://zfin.org/ZDB-GENE-040718-9</v>
      </c>
      <c r="J127" t="s">
        <v>380</v>
      </c>
    </row>
    <row r="128" spans="1:10" x14ac:dyDescent="0.2">
      <c r="A128">
        <v>1.1016213090368101E-167</v>
      </c>
      <c r="B128">
        <v>0.53260181209669699</v>
      </c>
      <c r="C128">
        <v>0.35</v>
      </c>
      <c r="D128">
        <v>5.0000000000000001E-3</v>
      </c>
      <c r="E128">
        <v>1.5310332952993601E-163</v>
      </c>
      <c r="F128">
        <v>1</v>
      </c>
      <c r="G128" t="s">
        <v>381</v>
      </c>
      <c r="H128" t="s">
        <v>382</v>
      </c>
      <c r="I128" t="str">
        <f>HYPERLINK("https://zfin.org/ZDB-GENE-030131-1582")</f>
        <v>https://zfin.org/ZDB-GENE-030131-1582</v>
      </c>
      <c r="J128" t="s">
        <v>383</v>
      </c>
    </row>
    <row r="129" spans="1:10" x14ac:dyDescent="0.2">
      <c r="A129">
        <v>1.4413988291103E-166</v>
      </c>
      <c r="B129">
        <v>0.72110620394025604</v>
      </c>
      <c r="C129">
        <v>0.34300000000000003</v>
      </c>
      <c r="D129">
        <v>5.0000000000000001E-3</v>
      </c>
      <c r="E129">
        <v>2.0032560926974999E-162</v>
      </c>
      <c r="F129">
        <v>1</v>
      </c>
      <c r="G129" t="s">
        <v>384</v>
      </c>
      <c r="H129" t="s">
        <v>385</v>
      </c>
      <c r="I129" t="str">
        <f>HYPERLINK("https://zfin.org/ZDB-GENE-050522-218")</f>
        <v>https://zfin.org/ZDB-GENE-050522-218</v>
      </c>
      <c r="J129" t="s">
        <v>386</v>
      </c>
    </row>
    <row r="130" spans="1:10" x14ac:dyDescent="0.2">
      <c r="A130">
        <v>4.17150718978295E-166</v>
      </c>
      <c r="B130">
        <v>1.39912622026236</v>
      </c>
      <c r="C130">
        <v>0.54300000000000004</v>
      </c>
      <c r="D130">
        <v>2.7E-2</v>
      </c>
      <c r="E130">
        <v>5.7975606923603502E-162</v>
      </c>
      <c r="F130">
        <v>1</v>
      </c>
      <c r="G130" t="s">
        <v>387</v>
      </c>
      <c r="H130" t="s">
        <v>388</v>
      </c>
      <c r="I130" t="str">
        <f>HYPERLINK("https://zfin.org/ZDB-GENE-040822-31")</f>
        <v>https://zfin.org/ZDB-GENE-040822-31</v>
      </c>
      <c r="J130" t="s">
        <v>389</v>
      </c>
    </row>
    <row r="131" spans="1:10" x14ac:dyDescent="0.2">
      <c r="A131">
        <v>1.18926548308043E-164</v>
      </c>
      <c r="B131">
        <v>1.6063947954228901</v>
      </c>
      <c r="C131">
        <v>0.77900000000000003</v>
      </c>
      <c r="D131">
        <v>7.0999999999999994E-2</v>
      </c>
      <c r="E131">
        <v>1.65284116838519E-160</v>
      </c>
      <c r="F131">
        <v>1</v>
      </c>
      <c r="G131" t="s">
        <v>390</v>
      </c>
      <c r="H131" t="s">
        <v>391</v>
      </c>
      <c r="I131" t="str">
        <f>HYPERLINK("https://zfin.org/ZDB-GENE-061114-1")</f>
        <v>https://zfin.org/ZDB-GENE-061114-1</v>
      </c>
      <c r="J131" t="s">
        <v>392</v>
      </c>
    </row>
    <row r="132" spans="1:10" x14ac:dyDescent="0.2">
      <c r="A132">
        <v>1.9568231927807198E-164</v>
      </c>
      <c r="B132">
        <v>0.77710191325373101</v>
      </c>
      <c r="C132">
        <v>0.51400000000000001</v>
      </c>
      <c r="D132">
        <v>2.1999999999999999E-2</v>
      </c>
      <c r="E132">
        <v>2.71959287332664E-160</v>
      </c>
      <c r="F132">
        <v>1</v>
      </c>
      <c r="G132" t="s">
        <v>393</v>
      </c>
      <c r="H132" t="s">
        <v>394</v>
      </c>
      <c r="I132" t="str">
        <f>HYPERLINK("https://zfin.org/ZDB-GENE-050419-235")</f>
        <v>https://zfin.org/ZDB-GENE-050419-235</v>
      </c>
      <c r="J132" t="s">
        <v>395</v>
      </c>
    </row>
    <row r="133" spans="1:10" x14ac:dyDescent="0.2">
      <c r="A133">
        <v>2.9918893421652E-164</v>
      </c>
      <c r="B133">
        <v>0.48003225466608401</v>
      </c>
      <c r="C133">
        <v>0.314</v>
      </c>
      <c r="D133">
        <v>3.0000000000000001E-3</v>
      </c>
      <c r="E133">
        <v>4.1581278077412003E-160</v>
      </c>
      <c r="F133">
        <v>1</v>
      </c>
      <c r="G133" t="s">
        <v>396</v>
      </c>
      <c r="H133" t="s">
        <v>397</v>
      </c>
      <c r="I133" t="str">
        <f>HYPERLINK("https://zfin.org/ZDB-GENE-131127-65")</f>
        <v>https://zfin.org/ZDB-GENE-131127-65</v>
      </c>
      <c r="J133" t="s">
        <v>398</v>
      </c>
    </row>
    <row r="134" spans="1:10" x14ac:dyDescent="0.2">
      <c r="A134">
        <v>2.7845933968821498E-162</v>
      </c>
      <c r="B134">
        <v>0.49074490143449401</v>
      </c>
      <c r="C134">
        <v>0.32100000000000001</v>
      </c>
      <c r="D134">
        <v>4.0000000000000001E-3</v>
      </c>
      <c r="E134">
        <v>3.8700279029868102E-158</v>
      </c>
      <c r="F134">
        <v>1</v>
      </c>
      <c r="G134" t="s">
        <v>399</v>
      </c>
      <c r="H134" t="s">
        <v>400</v>
      </c>
      <c r="I134" t="str">
        <f>HYPERLINK("https://zfin.org/ZDB-GENE-060929-128")</f>
        <v>https://zfin.org/ZDB-GENE-060929-128</v>
      </c>
      <c r="J134" t="s">
        <v>401</v>
      </c>
    </row>
    <row r="135" spans="1:10" x14ac:dyDescent="0.2">
      <c r="A135">
        <v>1.0649324744426E-160</v>
      </c>
      <c r="B135">
        <v>0.51120461591246003</v>
      </c>
      <c r="C135">
        <v>0.34300000000000003</v>
      </c>
      <c r="D135">
        <v>6.0000000000000001E-3</v>
      </c>
      <c r="E135">
        <v>1.4800431529803301E-156</v>
      </c>
      <c r="F135">
        <v>1</v>
      </c>
      <c r="G135" t="s">
        <v>402</v>
      </c>
      <c r="H135" t="s">
        <v>403</v>
      </c>
      <c r="I135" t="str">
        <f>HYPERLINK("https://zfin.org/ZDB-GENE-040426-2542")</f>
        <v>https://zfin.org/ZDB-GENE-040426-2542</v>
      </c>
      <c r="J135" t="s">
        <v>404</v>
      </c>
    </row>
    <row r="136" spans="1:10" x14ac:dyDescent="0.2">
      <c r="A136">
        <v>1.4330131460898201E-160</v>
      </c>
      <c r="B136">
        <v>0.61175206689268602</v>
      </c>
      <c r="C136">
        <v>0.32900000000000001</v>
      </c>
      <c r="D136">
        <v>5.0000000000000001E-3</v>
      </c>
      <c r="E136">
        <v>1.9916016704356301E-156</v>
      </c>
      <c r="F136">
        <v>1</v>
      </c>
      <c r="G136" t="s">
        <v>405</v>
      </c>
      <c r="H136" t="s">
        <v>406</v>
      </c>
      <c r="I136" t="str">
        <f>HYPERLINK("https://zfin.org/ZDB-GENE-121030-4")</f>
        <v>https://zfin.org/ZDB-GENE-121030-4</v>
      </c>
      <c r="J136" t="s">
        <v>407</v>
      </c>
    </row>
    <row r="137" spans="1:10" x14ac:dyDescent="0.2">
      <c r="A137">
        <v>4.3826764630556202E-160</v>
      </c>
      <c r="B137">
        <v>0.38866262864834999</v>
      </c>
      <c r="C137">
        <v>0.28599999999999998</v>
      </c>
      <c r="D137">
        <v>2E-3</v>
      </c>
      <c r="E137">
        <v>6.0910437483546997E-156</v>
      </c>
      <c r="F137">
        <v>1</v>
      </c>
      <c r="G137" t="s">
        <v>408</v>
      </c>
      <c r="H137" t="s">
        <v>409</v>
      </c>
      <c r="I137" t="str">
        <f>HYPERLINK("https://zfin.org/ZDB-GENE-080219-1")</f>
        <v>https://zfin.org/ZDB-GENE-080219-1</v>
      </c>
      <c r="J137" t="s">
        <v>410</v>
      </c>
    </row>
    <row r="138" spans="1:10" x14ac:dyDescent="0.2">
      <c r="A138">
        <v>4.8049221719046201E-160</v>
      </c>
      <c r="B138">
        <v>0.56198109348356795</v>
      </c>
      <c r="C138">
        <v>0.371</v>
      </c>
      <c r="D138">
        <v>8.0000000000000002E-3</v>
      </c>
      <c r="E138">
        <v>6.6778808345130302E-156</v>
      </c>
      <c r="F138">
        <v>1</v>
      </c>
      <c r="G138" t="s">
        <v>411</v>
      </c>
      <c r="H138" t="s">
        <v>412</v>
      </c>
      <c r="I138" t="str">
        <f>HYPERLINK("https://zfin.org/ZDB-GENE-060929-962")</f>
        <v>https://zfin.org/ZDB-GENE-060929-962</v>
      </c>
      <c r="J138" t="s">
        <v>413</v>
      </c>
    </row>
    <row r="139" spans="1:10" x14ac:dyDescent="0.2">
      <c r="A139">
        <v>7.4121722117761702E-160</v>
      </c>
      <c r="B139">
        <v>0.41284375738173901</v>
      </c>
      <c r="C139">
        <v>0.27900000000000003</v>
      </c>
      <c r="D139">
        <v>2E-3</v>
      </c>
      <c r="E139">
        <v>1.03014369399265E-155</v>
      </c>
      <c r="F139">
        <v>1</v>
      </c>
      <c r="G139" t="s">
        <v>414</v>
      </c>
      <c r="H139" t="s">
        <v>415</v>
      </c>
      <c r="I139" t="str">
        <f>HYPERLINK("https://zfin.org/ZDB-GENE-091113-18")</f>
        <v>https://zfin.org/ZDB-GENE-091113-18</v>
      </c>
      <c r="J139" t="s">
        <v>416</v>
      </c>
    </row>
    <row r="140" spans="1:10" x14ac:dyDescent="0.2">
      <c r="A140">
        <v>1.21505337722362E-156</v>
      </c>
      <c r="B140">
        <v>0.50123251134908198</v>
      </c>
      <c r="C140">
        <v>0.35</v>
      </c>
      <c r="D140">
        <v>7.0000000000000001E-3</v>
      </c>
      <c r="E140">
        <v>1.6886811836653899E-152</v>
      </c>
      <c r="F140">
        <v>1</v>
      </c>
      <c r="G140" t="s">
        <v>417</v>
      </c>
      <c r="H140" t="s">
        <v>418</v>
      </c>
      <c r="I140" t="str">
        <f>HYPERLINK("https://zfin.org/ZDB-GENE-060503-508")</f>
        <v>https://zfin.org/ZDB-GENE-060503-508</v>
      </c>
      <c r="J140" t="s">
        <v>419</v>
      </c>
    </row>
    <row r="141" spans="1:10" x14ac:dyDescent="0.2">
      <c r="A141">
        <v>2.3606168644251401E-156</v>
      </c>
      <c r="B141">
        <v>0.63588523979497802</v>
      </c>
      <c r="C141">
        <v>0.443</v>
      </c>
      <c r="D141">
        <v>1.6E-2</v>
      </c>
      <c r="E141">
        <v>3.2807853181780602E-152</v>
      </c>
      <c r="F141">
        <v>1</v>
      </c>
      <c r="G141" t="s">
        <v>420</v>
      </c>
      <c r="H141" t="s">
        <v>421</v>
      </c>
      <c r="I141" t="str">
        <f>HYPERLINK("https://zfin.org/ZDB-GENE-040914-40")</f>
        <v>https://zfin.org/ZDB-GENE-040914-40</v>
      </c>
      <c r="J141" t="s">
        <v>422</v>
      </c>
    </row>
    <row r="142" spans="1:10" x14ac:dyDescent="0.2">
      <c r="A142">
        <v>1.21685408957887E-154</v>
      </c>
      <c r="B142">
        <v>0.53373243632293699</v>
      </c>
      <c r="C142">
        <v>0.314</v>
      </c>
      <c r="D142">
        <v>4.0000000000000001E-3</v>
      </c>
      <c r="E142">
        <v>1.69118381369671E-150</v>
      </c>
      <c r="F142">
        <v>1</v>
      </c>
      <c r="G142" t="s">
        <v>423</v>
      </c>
      <c r="H142" t="s">
        <v>424</v>
      </c>
      <c r="I142" t="str">
        <f>HYPERLINK("https://zfin.org/ZDB-GENE-091118-80")</f>
        <v>https://zfin.org/ZDB-GENE-091118-80</v>
      </c>
      <c r="J142" t="s">
        <v>425</v>
      </c>
    </row>
    <row r="143" spans="1:10" x14ac:dyDescent="0.2">
      <c r="A143">
        <v>4.2869209354301701E-154</v>
      </c>
      <c r="B143">
        <v>0.43804904891965402</v>
      </c>
      <c r="C143">
        <v>0.29299999999999998</v>
      </c>
      <c r="D143">
        <v>3.0000000000000001E-3</v>
      </c>
      <c r="E143">
        <v>5.9579627160608495E-150</v>
      </c>
      <c r="F143">
        <v>1</v>
      </c>
      <c r="G143" t="s">
        <v>426</v>
      </c>
      <c r="H143" t="s">
        <v>427</v>
      </c>
      <c r="I143" t="str">
        <f>HYPERLINK("https://zfin.org/ZDB-GENE-080220-4")</f>
        <v>https://zfin.org/ZDB-GENE-080220-4</v>
      </c>
      <c r="J143" t="s">
        <v>428</v>
      </c>
    </row>
    <row r="144" spans="1:10" x14ac:dyDescent="0.2">
      <c r="A144">
        <v>4.3514837021291998E-154</v>
      </c>
      <c r="B144">
        <v>0.42301703322970102</v>
      </c>
      <c r="C144">
        <v>0.25700000000000001</v>
      </c>
      <c r="D144">
        <v>1E-3</v>
      </c>
      <c r="E144">
        <v>6.0476920492191695E-150</v>
      </c>
      <c r="F144">
        <v>1</v>
      </c>
      <c r="G144" t="s">
        <v>429</v>
      </c>
      <c r="H144" t="s">
        <v>430</v>
      </c>
      <c r="I144" t="str">
        <f>HYPERLINK("https://zfin.org/ZDB-GENE-061013-507")</f>
        <v>https://zfin.org/ZDB-GENE-061013-507</v>
      </c>
      <c r="J144" t="s">
        <v>431</v>
      </c>
    </row>
    <row r="145" spans="1:10" x14ac:dyDescent="0.2">
      <c r="A145">
        <v>4.6568247874033899E-153</v>
      </c>
      <c r="B145">
        <v>1.14167124611865</v>
      </c>
      <c r="C145">
        <v>0.7</v>
      </c>
      <c r="D145">
        <v>5.8000000000000003E-2</v>
      </c>
      <c r="E145">
        <v>6.4720550895332301E-149</v>
      </c>
      <c r="F145">
        <v>1</v>
      </c>
      <c r="G145" t="s">
        <v>432</v>
      </c>
      <c r="H145" t="s">
        <v>433</v>
      </c>
      <c r="I145" t="str">
        <f>HYPERLINK("https://zfin.org/ZDB-GENE-050320-136")</f>
        <v>https://zfin.org/ZDB-GENE-050320-136</v>
      </c>
      <c r="J145" t="s">
        <v>434</v>
      </c>
    </row>
    <row r="146" spans="1:10" x14ac:dyDescent="0.2">
      <c r="A146">
        <v>7.0419089169798602E-152</v>
      </c>
      <c r="B146">
        <v>0.69019067673904</v>
      </c>
      <c r="C146">
        <v>0.41399999999999998</v>
      </c>
      <c r="D146">
        <v>1.4E-2</v>
      </c>
      <c r="E146">
        <v>9.7868450128186102E-148</v>
      </c>
      <c r="F146">
        <v>1</v>
      </c>
      <c r="G146" t="s">
        <v>435</v>
      </c>
      <c r="H146" t="s">
        <v>436</v>
      </c>
      <c r="I146" t="str">
        <f>HYPERLINK("https://zfin.org/ZDB-GENE-001212-8")</f>
        <v>https://zfin.org/ZDB-GENE-001212-8</v>
      </c>
      <c r="J146" t="s">
        <v>437</v>
      </c>
    </row>
    <row r="147" spans="1:10" x14ac:dyDescent="0.2">
      <c r="A147">
        <v>8.2121043135338297E-152</v>
      </c>
      <c r="B147">
        <v>1.5799007280195201</v>
      </c>
      <c r="C147">
        <v>0.97899999999999998</v>
      </c>
      <c r="D147">
        <v>0.13500000000000001</v>
      </c>
      <c r="E147">
        <v>1.14131825749493E-147</v>
      </c>
      <c r="F147">
        <v>1</v>
      </c>
      <c r="G147" t="s">
        <v>438</v>
      </c>
      <c r="H147" t="s">
        <v>439</v>
      </c>
      <c r="I147" t="str">
        <f>HYPERLINK("https://zfin.org/ZDB-GENE-040628-1")</f>
        <v>https://zfin.org/ZDB-GENE-040628-1</v>
      </c>
      <c r="J147" t="s">
        <v>440</v>
      </c>
    </row>
    <row r="148" spans="1:10" x14ac:dyDescent="0.2">
      <c r="A148">
        <v>5.12512632185677E-151</v>
      </c>
      <c r="B148">
        <v>0.72270364049932001</v>
      </c>
      <c r="C148">
        <v>0.51400000000000001</v>
      </c>
      <c r="D148">
        <v>2.5999999999999999E-2</v>
      </c>
      <c r="E148">
        <v>7.1229005621165301E-147</v>
      </c>
      <c r="F148">
        <v>1</v>
      </c>
      <c r="G148" t="s">
        <v>441</v>
      </c>
      <c r="H148" t="s">
        <v>442</v>
      </c>
      <c r="I148" t="str">
        <f>HYPERLINK("https://zfin.org/ZDB-GENE-030131-7806")</f>
        <v>https://zfin.org/ZDB-GENE-030131-7806</v>
      </c>
      <c r="J148" t="s">
        <v>443</v>
      </c>
    </row>
    <row r="149" spans="1:10" x14ac:dyDescent="0.2">
      <c r="A149">
        <v>7.5581460868896901E-151</v>
      </c>
      <c r="B149">
        <v>0.511062982091819</v>
      </c>
      <c r="C149">
        <v>0.29299999999999998</v>
      </c>
      <c r="D149">
        <v>3.0000000000000001E-3</v>
      </c>
      <c r="E149">
        <v>1.0504311431559301E-146</v>
      </c>
      <c r="F149">
        <v>1</v>
      </c>
      <c r="G149" t="s">
        <v>444</v>
      </c>
      <c r="H149" t="s">
        <v>445</v>
      </c>
      <c r="I149" t="str">
        <f>HYPERLINK("https://zfin.org/ZDB-GENE-110421-1")</f>
        <v>https://zfin.org/ZDB-GENE-110421-1</v>
      </c>
      <c r="J149" t="s">
        <v>446</v>
      </c>
    </row>
    <row r="150" spans="1:10" x14ac:dyDescent="0.2">
      <c r="A150">
        <v>2.2664397490819802E-149</v>
      </c>
      <c r="B150">
        <v>0.92332811328285802</v>
      </c>
      <c r="C150">
        <v>0.55000000000000004</v>
      </c>
      <c r="D150">
        <v>3.2000000000000001E-2</v>
      </c>
      <c r="E150">
        <v>3.14989796327414E-145</v>
      </c>
      <c r="F150">
        <v>1</v>
      </c>
      <c r="G150" t="s">
        <v>447</v>
      </c>
      <c r="H150" t="s">
        <v>448</v>
      </c>
      <c r="I150" t="str">
        <f>HYPERLINK("https://zfin.org/ZDB-GENE-141216-186")</f>
        <v>https://zfin.org/ZDB-GENE-141216-186</v>
      </c>
      <c r="J150" t="s">
        <v>449</v>
      </c>
    </row>
    <row r="151" spans="1:10" x14ac:dyDescent="0.2">
      <c r="A151">
        <v>4.94457916036993E-149</v>
      </c>
      <c r="B151">
        <v>0.64174551525134504</v>
      </c>
      <c r="C151">
        <v>0.36399999999999999</v>
      </c>
      <c r="D151">
        <v>8.9999999999999993E-3</v>
      </c>
      <c r="E151">
        <v>6.8719761170821199E-145</v>
      </c>
      <c r="F151">
        <v>1</v>
      </c>
      <c r="G151" t="s">
        <v>450</v>
      </c>
      <c r="H151" t="s">
        <v>451</v>
      </c>
      <c r="I151" t="str">
        <f>HYPERLINK("https://zfin.org/ZDB-GENE-131105-1")</f>
        <v>https://zfin.org/ZDB-GENE-131105-1</v>
      </c>
      <c r="J151" t="s">
        <v>452</v>
      </c>
    </row>
    <row r="152" spans="1:10" x14ac:dyDescent="0.2">
      <c r="A152">
        <v>8.6172125881058795E-149</v>
      </c>
      <c r="B152">
        <v>0.42411379762135398</v>
      </c>
      <c r="C152">
        <v>0.3</v>
      </c>
      <c r="D152">
        <v>4.0000000000000001E-3</v>
      </c>
      <c r="E152">
        <v>1.19762020549495E-144</v>
      </c>
      <c r="F152">
        <v>1</v>
      </c>
      <c r="G152" t="s">
        <v>453</v>
      </c>
      <c r="H152" t="s">
        <v>454</v>
      </c>
      <c r="I152" t="str">
        <f>HYPERLINK("https://zfin.org/ZDB-GENE-081022-109")</f>
        <v>https://zfin.org/ZDB-GENE-081022-109</v>
      </c>
      <c r="J152" t="s">
        <v>455</v>
      </c>
    </row>
    <row r="153" spans="1:10" x14ac:dyDescent="0.2">
      <c r="A153">
        <v>2.40902176130174E-145</v>
      </c>
      <c r="B153">
        <v>0.60987109736871803</v>
      </c>
      <c r="C153">
        <v>0.40699999999999997</v>
      </c>
      <c r="D153">
        <v>1.4E-2</v>
      </c>
      <c r="E153">
        <v>3.3480584438571602E-141</v>
      </c>
      <c r="F153">
        <v>1</v>
      </c>
      <c r="G153" t="s">
        <v>456</v>
      </c>
      <c r="H153" t="s">
        <v>457</v>
      </c>
      <c r="I153" t="str">
        <f>HYPERLINK("https://zfin.org/ZDB-GENE-090312-63")</f>
        <v>https://zfin.org/ZDB-GENE-090312-63</v>
      </c>
      <c r="J153" t="s">
        <v>458</v>
      </c>
    </row>
    <row r="154" spans="1:10" x14ac:dyDescent="0.2">
      <c r="A154">
        <v>3.86267761220841E-144</v>
      </c>
      <c r="B154">
        <v>0.40319296898835599</v>
      </c>
      <c r="C154">
        <v>0.27100000000000002</v>
      </c>
      <c r="D154">
        <v>3.0000000000000001E-3</v>
      </c>
      <c r="E154">
        <v>5.3683493454472499E-140</v>
      </c>
      <c r="F154">
        <v>1</v>
      </c>
      <c r="G154" t="s">
        <v>459</v>
      </c>
      <c r="H154" t="s">
        <v>460</v>
      </c>
      <c r="I154" t="str">
        <f>HYPERLINK("https://zfin.org/ZDB-GENE-040426-995")</f>
        <v>https://zfin.org/ZDB-GENE-040426-995</v>
      </c>
      <c r="J154" t="s">
        <v>461</v>
      </c>
    </row>
    <row r="155" spans="1:10" x14ac:dyDescent="0.2">
      <c r="A155">
        <v>4.0026133819165603E-144</v>
      </c>
      <c r="B155">
        <v>0.42477414849112799</v>
      </c>
      <c r="C155">
        <v>0.27100000000000002</v>
      </c>
      <c r="D155">
        <v>3.0000000000000001E-3</v>
      </c>
      <c r="E155">
        <v>5.5628320781876402E-140</v>
      </c>
      <c r="F155">
        <v>1</v>
      </c>
      <c r="G155" t="s">
        <v>462</v>
      </c>
      <c r="H155" t="s">
        <v>463</v>
      </c>
      <c r="I155" t="str">
        <f>HYPERLINK("https://zfin.org/ZDB-GENE-070705-179")</f>
        <v>https://zfin.org/ZDB-GENE-070705-179</v>
      </c>
      <c r="J155" t="s">
        <v>464</v>
      </c>
    </row>
    <row r="156" spans="1:10" x14ac:dyDescent="0.2">
      <c r="A156">
        <v>4.4246320389849698E-144</v>
      </c>
      <c r="B156">
        <v>0.85592160278048901</v>
      </c>
      <c r="C156">
        <v>0.42899999999999999</v>
      </c>
      <c r="D156">
        <v>1.7000000000000001E-2</v>
      </c>
      <c r="E156">
        <v>6.1493536077813199E-140</v>
      </c>
      <c r="F156">
        <v>1</v>
      </c>
      <c r="G156" t="s">
        <v>465</v>
      </c>
      <c r="H156" t="s">
        <v>466</v>
      </c>
      <c r="I156" t="str">
        <f>HYPERLINK("https://zfin.org/ZDB-GENE-080130-2")</f>
        <v>https://zfin.org/ZDB-GENE-080130-2</v>
      </c>
      <c r="J156" t="s">
        <v>467</v>
      </c>
    </row>
    <row r="157" spans="1:10" x14ac:dyDescent="0.2">
      <c r="A157">
        <v>1.9320689771400799E-143</v>
      </c>
      <c r="B157">
        <v>0.61898325395353804</v>
      </c>
      <c r="C157">
        <v>0.45700000000000002</v>
      </c>
      <c r="D157">
        <v>0.02</v>
      </c>
      <c r="E157">
        <v>2.68518946442929E-139</v>
      </c>
      <c r="F157">
        <v>1</v>
      </c>
      <c r="G157" t="s">
        <v>468</v>
      </c>
      <c r="H157" t="s">
        <v>469</v>
      </c>
      <c r="I157" t="str">
        <f>HYPERLINK("https://zfin.org/ZDB-GENE-090313-269")</f>
        <v>https://zfin.org/ZDB-GENE-090313-269</v>
      </c>
      <c r="J157" t="s">
        <v>470</v>
      </c>
    </row>
    <row r="158" spans="1:10" x14ac:dyDescent="0.2">
      <c r="A158">
        <v>7.5623758995397805E-142</v>
      </c>
      <c r="B158">
        <v>0.50232467844865403</v>
      </c>
      <c r="C158">
        <v>0.36399999999999999</v>
      </c>
      <c r="D158">
        <v>0.01</v>
      </c>
      <c r="E158">
        <v>1.0510190025180399E-137</v>
      </c>
      <c r="F158">
        <v>1</v>
      </c>
      <c r="G158" t="s">
        <v>471</v>
      </c>
      <c r="H158" t="s">
        <v>472</v>
      </c>
      <c r="I158" t="str">
        <f>HYPERLINK("https://zfin.org/ZDB-GENE-091204-50")</f>
        <v>https://zfin.org/ZDB-GENE-091204-50</v>
      </c>
      <c r="J158" t="s">
        <v>473</v>
      </c>
    </row>
    <row r="159" spans="1:10" x14ac:dyDescent="0.2">
      <c r="A159">
        <v>9.7259772334104503E-142</v>
      </c>
      <c r="B159">
        <v>0.39727478423331097</v>
      </c>
      <c r="C159">
        <v>0.27900000000000003</v>
      </c>
      <c r="D159">
        <v>3.0000000000000001E-3</v>
      </c>
      <c r="E159">
        <v>1.35171631589938E-137</v>
      </c>
      <c r="F159">
        <v>1</v>
      </c>
      <c r="G159" t="s">
        <v>474</v>
      </c>
      <c r="H159" t="s">
        <v>475</v>
      </c>
      <c r="I159" t="str">
        <f>HYPERLINK("https://zfin.org/ZDB-GENE-050522-275")</f>
        <v>https://zfin.org/ZDB-GENE-050522-275</v>
      </c>
      <c r="J159" t="s">
        <v>476</v>
      </c>
    </row>
    <row r="160" spans="1:10" x14ac:dyDescent="0.2">
      <c r="A160">
        <v>1.80917740040736E-141</v>
      </c>
      <c r="B160">
        <v>0.80076935299598795</v>
      </c>
      <c r="C160">
        <v>0.47099999999999997</v>
      </c>
      <c r="D160">
        <v>2.3E-2</v>
      </c>
      <c r="E160">
        <v>2.51439475108614E-137</v>
      </c>
      <c r="F160">
        <v>1</v>
      </c>
      <c r="G160" t="s">
        <v>477</v>
      </c>
      <c r="H160" t="s">
        <v>478</v>
      </c>
      <c r="I160" t="str">
        <f>HYPERLINK("https://zfin.org/ZDB-GENE-070521-5")</f>
        <v>https://zfin.org/ZDB-GENE-070521-5</v>
      </c>
      <c r="J160" t="s">
        <v>479</v>
      </c>
    </row>
    <row r="161" spans="1:10" x14ac:dyDescent="0.2">
      <c r="A161">
        <v>3.9587486570962E-140</v>
      </c>
      <c r="B161">
        <v>0.52601686709068496</v>
      </c>
      <c r="C161">
        <v>0.32100000000000001</v>
      </c>
      <c r="D161">
        <v>7.0000000000000001E-3</v>
      </c>
      <c r="E161">
        <v>5.5018688836323002E-136</v>
      </c>
      <c r="F161">
        <v>1</v>
      </c>
      <c r="G161" t="s">
        <v>480</v>
      </c>
      <c r="H161" t="s">
        <v>481</v>
      </c>
      <c r="I161" t="str">
        <f>HYPERLINK("https://zfin.org/ZDB-GENE-040426-1740")</f>
        <v>https://zfin.org/ZDB-GENE-040426-1740</v>
      </c>
      <c r="J161" t="s">
        <v>482</v>
      </c>
    </row>
    <row r="162" spans="1:10" x14ac:dyDescent="0.2">
      <c r="A162">
        <v>1.5590733673762601E-137</v>
      </c>
      <c r="B162">
        <v>0.60684396284822395</v>
      </c>
      <c r="C162">
        <v>0.379</v>
      </c>
      <c r="D162">
        <v>1.2999999999999999E-2</v>
      </c>
      <c r="E162">
        <v>2.1668001659795298E-133</v>
      </c>
      <c r="F162">
        <v>1</v>
      </c>
      <c r="G162" t="s">
        <v>483</v>
      </c>
      <c r="H162" t="s">
        <v>484</v>
      </c>
      <c r="I162" t="str">
        <f>HYPERLINK("https://zfin.org/ZDB-GENE-060825-242")</f>
        <v>https://zfin.org/ZDB-GENE-060825-242</v>
      </c>
      <c r="J162" t="s">
        <v>485</v>
      </c>
    </row>
    <row r="163" spans="1:10" x14ac:dyDescent="0.2">
      <c r="A163">
        <v>1.6479596922079301E-135</v>
      </c>
      <c r="B163">
        <v>0.32684188763378602</v>
      </c>
      <c r="C163">
        <v>0.22900000000000001</v>
      </c>
      <c r="D163">
        <v>1E-3</v>
      </c>
      <c r="E163">
        <v>2.2903343802305798E-131</v>
      </c>
      <c r="F163">
        <v>1</v>
      </c>
      <c r="G163" t="s">
        <v>486</v>
      </c>
      <c r="H163" t="s">
        <v>487</v>
      </c>
      <c r="I163" t="str">
        <f>HYPERLINK("https://zfin.org/ZDB-GENE-040827-2")</f>
        <v>https://zfin.org/ZDB-GENE-040827-2</v>
      </c>
      <c r="J163" t="s">
        <v>488</v>
      </c>
    </row>
    <row r="164" spans="1:10" x14ac:dyDescent="0.2">
      <c r="A164">
        <v>2.2011753592179E-135</v>
      </c>
      <c r="B164">
        <v>0.52477704124171298</v>
      </c>
      <c r="C164">
        <v>0.371</v>
      </c>
      <c r="D164">
        <v>1.2E-2</v>
      </c>
      <c r="E164">
        <v>3.0591935142410402E-131</v>
      </c>
      <c r="F164">
        <v>1</v>
      </c>
      <c r="G164" t="s">
        <v>489</v>
      </c>
      <c r="H164" t="s">
        <v>490</v>
      </c>
      <c r="I164" t="str">
        <f>HYPERLINK("https://zfin.org/ZDB-GENE-050417-298")</f>
        <v>https://zfin.org/ZDB-GENE-050417-298</v>
      </c>
      <c r="J164" t="s">
        <v>491</v>
      </c>
    </row>
    <row r="165" spans="1:10" x14ac:dyDescent="0.2">
      <c r="A165">
        <v>2.6738248732822E-135</v>
      </c>
      <c r="B165">
        <v>0.53792133869035497</v>
      </c>
      <c r="C165">
        <v>0.32900000000000001</v>
      </c>
      <c r="D165">
        <v>8.0000000000000002E-3</v>
      </c>
      <c r="E165">
        <v>3.71608180888761E-131</v>
      </c>
      <c r="F165">
        <v>1</v>
      </c>
      <c r="G165" t="s">
        <v>492</v>
      </c>
      <c r="H165" t="s">
        <v>493</v>
      </c>
      <c r="I165" t="str">
        <f>HYPERLINK("https://zfin.org/ZDB-GENE-040801-126")</f>
        <v>https://zfin.org/ZDB-GENE-040801-126</v>
      </c>
      <c r="J165" t="s">
        <v>494</v>
      </c>
    </row>
    <row r="166" spans="1:10" x14ac:dyDescent="0.2">
      <c r="A166">
        <v>4.4447236712857101E-135</v>
      </c>
      <c r="B166">
        <v>0.99799386623851605</v>
      </c>
      <c r="C166">
        <v>0.6</v>
      </c>
      <c r="D166">
        <v>4.4999999999999998E-2</v>
      </c>
      <c r="E166">
        <v>6.1772769583528898E-131</v>
      </c>
      <c r="F166">
        <v>1</v>
      </c>
      <c r="G166" t="s">
        <v>495</v>
      </c>
      <c r="H166" t="s">
        <v>496</v>
      </c>
      <c r="I166" t="str">
        <f>HYPERLINK("https://zfin.org/ZDB-GENE-000523-2")</f>
        <v>https://zfin.org/ZDB-GENE-000523-2</v>
      </c>
      <c r="J166" t="s">
        <v>497</v>
      </c>
    </row>
    <row r="167" spans="1:10" x14ac:dyDescent="0.2">
      <c r="A167">
        <v>7.6413150033032504E-135</v>
      </c>
      <c r="B167">
        <v>0.55027207705470504</v>
      </c>
      <c r="C167">
        <v>0.3</v>
      </c>
      <c r="D167">
        <v>6.0000000000000001E-3</v>
      </c>
      <c r="E167">
        <v>1.0619899591590899E-130</v>
      </c>
      <c r="F167">
        <v>1</v>
      </c>
      <c r="G167" t="s">
        <v>498</v>
      </c>
      <c r="H167" t="s">
        <v>499</v>
      </c>
      <c r="I167" t="str">
        <f>HYPERLINK("https://zfin.org/ZDB-GENE-080722-5")</f>
        <v>https://zfin.org/ZDB-GENE-080722-5</v>
      </c>
      <c r="J167" t="s">
        <v>500</v>
      </c>
    </row>
    <row r="168" spans="1:10" x14ac:dyDescent="0.2">
      <c r="A168">
        <v>1.7243958075051799E-134</v>
      </c>
      <c r="B168">
        <v>0.66688846640125299</v>
      </c>
      <c r="C168">
        <v>0.443</v>
      </c>
      <c r="D168">
        <v>2.1000000000000001E-2</v>
      </c>
      <c r="E168">
        <v>2.3965652932707001E-130</v>
      </c>
      <c r="F168">
        <v>1</v>
      </c>
      <c r="G168" t="s">
        <v>501</v>
      </c>
      <c r="H168" t="s">
        <v>502</v>
      </c>
      <c r="I168" t="str">
        <f>HYPERLINK("https://zfin.org/ZDB-GENE-040718-445")</f>
        <v>https://zfin.org/ZDB-GENE-040718-445</v>
      </c>
      <c r="J168" t="s">
        <v>503</v>
      </c>
    </row>
    <row r="169" spans="1:10" x14ac:dyDescent="0.2">
      <c r="A169">
        <v>5.7814153677638699E-133</v>
      </c>
      <c r="B169">
        <v>0.491579403225756</v>
      </c>
      <c r="C169">
        <v>0.27900000000000003</v>
      </c>
      <c r="D169">
        <v>4.0000000000000001E-3</v>
      </c>
      <c r="E169">
        <v>8.0350110781182203E-129</v>
      </c>
      <c r="F169">
        <v>1</v>
      </c>
      <c r="G169" t="s">
        <v>504</v>
      </c>
      <c r="H169" t="s">
        <v>505</v>
      </c>
      <c r="I169" t="str">
        <f>HYPERLINK("https://zfin.org/ZDB-GENE-040426-1962")</f>
        <v>https://zfin.org/ZDB-GENE-040426-1962</v>
      </c>
      <c r="J169" t="s">
        <v>506</v>
      </c>
    </row>
    <row r="170" spans="1:10" x14ac:dyDescent="0.2">
      <c r="A170">
        <v>9.3774742879205801E-133</v>
      </c>
      <c r="B170">
        <v>0.61960602649820595</v>
      </c>
      <c r="C170">
        <v>0.40699999999999997</v>
      </c>
      <c r="D170">
        <v>1.7000000000000001E-2</v>
      </c>
      <c r="E170">
        <v>1.3032813765351999E-128</v>
      </c>
      <c r="F170">
        <v>1</v>
      </c>
      <c r="G170" t="s">
        <v>507</v>
      </c>
      <c r="H170" t="s">
        <v>508</v>
      </c>
      <c r="I170" t="str">
        <f>HYPERLINK("https://zfin.org/ZDB-GENE-030131-2193")</f>
        <v>https://zfin.org/ZDB-GENE-030131-2193</v>
      </c>
      <c r="J170" t="s">
        <v>509</v>
      </c>
    </row>
    <row r="171" spans="1:10" x14ac:dyDescent="0.2">
      <c r="A171">
        <v>4.5410395557513598E-132</v>
      </c>
      <c r="B171">
        <v>0.33906886322113899</v>
      </c>
      <c r="C171">
        <v>0.23599999999999999</v>
      </c>
      <c r="D171">
        <v>2E-3</v>
      </c>
      <c r="E171">
        <v>6.3111367745832403E-128</v>
      </c>
      <c r="F171">
        <v>1</v>
      </c>
      <c r="G171" t="s">
        <v>510</v>
      </c>
      <c r="H171" t="s">
        <v>511</v>
      </c>
      <c r="I171" t="str">
        <f>HYPERLINK("https://zfin.org/ZDB-GENE-060825-339")</f>
        <v>https://zfin.org/ZDB-GENE-060825-339</v>
      </c>
      <c r="J171" t="s">
        <v>512</v>
      </c>
    </row>
    <row r="172" spans="1:10" x14ac:dyDescent="0.2">
      <c r="A172">
        <v>1.02481030261179E-131</v>
      </c>
      <c r="B172">
        <v>0.41995990710610298</v>
      </c>
      <c r="C172">
        <v>0.25700000000000001</v>
      </c>
      <c r="D172">
        <v>3.0000000000000001E-3</v>
      </c>
      <c r="E172">
        <v>1.4242813585698699E-127</v>
      </c>
      <c r="F172">
        <v>1</v>
      </c>
      <c r="G172" t="s">
        <v>513</v>
      </c>
      <c r="H172" t="s">
        <v>514</v>
      </c>
      <c r="I172" t="str">
        <f>HYPERLINK("https://zfin.org/ZDB-GENE-141222-51")</f>
        <v>https://zfin.org/ZDB-GENE-141222-51</v>
      </c>
      <c r="J172" t="s">
        <v>515</v>
      </c>
    </row>
    <row r="173" spans="1:10" x14ac:dyDescent="0.2">
      <c r="A173">
        <v>1.4623136404831799E-131</v>
      </c>
      <c r="B173">
        <v>0.392981146924341</v>
      </c>
      <c r="C173">
        <v>0.28599999999999998</v>
      </c>
      <c r="D173">
        <v>5.0000000000000001E-3</v>
      </c>
      <c r="E173">
        <v>2.0323234975435199E-127</v>
      </c>
      <c r="F173">
        <v>1</v>
      </c>
      <c r="G173" t="s">
        <v>516</v>
      </c>
      <c r="H173" t="s">
        <v>517</v>
      </c>
      <c r="I173" t="str">
        <f>HYPERLINK("https://zfin.org/")</f>
        <v>https://zfin.org/</v>
      </c>
      <c r="J173" t="s">
        <v>518</v>
      </c>
    </row>
    <row r="174" spans="1:10" x14ac:dyDescent="0.2">
      <c r="A174">
        <v>2.3251854736406801E-131</v>
      </c>
      <c r="B174">
        <v>3.2519017934083299</v>
      </c>
      <c r="C174">
        <v>0.96399999999999997</v>
      </c>
      <c r="D174">
        <v>0.21</v>
      </c>
      <c r="E174">
        <v>3.2315427712658199E-127</v>
      </c>
      <c r="F174">
        <v>1</v>
      </c>
      <c r="G174" t="s">
        <v>519</v>
      </c>
      <c r="H174" t="s">
        <v>520</v>
      </c>
      <c r="I174" t="str">
        <f>HYPERLINK("https://zfin.org/ZDB-GENE-080220-29")</f>
        <v>https://zfin.org/ZDB-GENE-080220-29</v>
      </c>
      <c r="J174" t="s">
        <v>521</v>
      </c>
    </row>
    <row r="175" spans="1:10" x14ac:dyDescent="0.2">
      <c r="A175">
        <v>1.2931573079890801E-130</v>
      </c>
      <c r="B175">
        <v>0.37394475164137297</v>
      </c>
      <c r="C175">
        <v>0.25</v>
      </c>
      <c r="D175">
        <v>3.0000000000000001E-3</v>
      </c>
      <c r="E175">
        <v>1.79723002664322E-126</v>
      </c>
      <c r="F175">
        <v>1</v>
      </c>
      <c r="G175" t="s">
        <v>522</v>
      </c>
      <c r="H175" t="s">
        <v>523</v>
      </c>
      <c r="I175" t="str">
        <f>HYPERLINK("https://zfin.org/ZDB-GENE-050208-341")</f>
        <v>https://zfin.org/ZDB-GENE-050208-341</v>
      </c>
      <c r="J175" t="s">
        <v>524</v>
      </c>
    </row>
    <row r="176" spans="1:10" x14ac:dyDescent="0.2">
      <c r="A176">
        <v>1.26960915394092E-129</v>
      </c>
      <c r="B176">
        <v>0.44685719795628298</v>
      </c>
      <c r="C176">
        <v>0.307</v>
      </c>
      <c r="D176">
        <v>7.0000000000000001E-3</v>
      </c>
      <c r="E176">
        <v>1.7645028021470901E-125</v>
      </c>
      <c r="F176">
        <v>1</v>
      </c>
      <c r="G176" t="s">
        <v>525</v>
      </c>
      <c r="H176" t="s">
        <v>526</v>
      </c>
      <c r="I176" t="str">
        <f>HYPERLINK("https://zfin.org/ZDB-GENE-040426-1711")</f>
        <v>https://zfin.org/ZDB-GENE-040426-1711</v>
      </c>
      <c r="J176" t="s">
        <v>527</v>
      </c>
    </row>
    <row r="177" spans="1:10" x14ac:dyDescent="0.2">
      <c r="A177">
        <v>1.2941860642971001E-127</v>
      </c>
      <c r="B177">
        <v>0.89961640335067605</v>
      </c>
      <c r="C177">
        <v>0.64300000000000002</v>
      </c>
      <c r="D177">
        <v>5.8000000000000003E-2</v>
      </c>
      <c r="E177">
        <v>1.79865979216011E-123</v>
      </c>
      <c r="F177">
        <v>1</v>
      </c>
      <c r="G177" t="s">
        <v>528</v>
      </c>
      <c r="H177" t="s">
        <v>529</v>
      </c>
      <c r="I177" t="str">
        <f>HYPERLINK("https://zfin.org/ZDB-GENE-131126-80")</f>
        <v>https://zfin.org/ZDB-GENE-131126-80</v>
      </c>
      <c r="J177" t="s">
        <v>530</v>
      </c>
    </row>
    <row r="178" spans="1:10" x14ac:dyDescent="0.2">
      <c r="A178">
        <v>5.3879615248672202E-127</v>
      </c>
      <c r="B178">
        <v>0.64782616859801301</v>
      </c>
      <c r="C178">
        <v>0.51400000000000001</v>
      </c>
      <c r="D178">
        <v>3.3000000000000002E-2</v>
      </c>
      <c r="E178">
        <v>7.4881889272604595E-123</v>
      </c>
      <c r="F178">
        <v>1</v>
      </c>
      <c r="G178" t="s">
        <v>531</v>
      </c>
      <c r="H178" t="s">
        <v>532</v>
      </c>
      <c r="I178" t="str">
        <f>HYPERLINK("https://zfin.org/ZDB-GENE-041010-104")</f>
        <v>https://zfin.org/ZDB-GENE-041010-104</v>
      </c>
      <c r="J178" t="s">
        <v>533</v>
      </c>
    </row>
    <row r="179" spans="1:10" x14ac:dyDescent="0.2">
      <c r="A179">
        <v>9.1595405871182895E-127</v>
      </c>
      <c r="B179">
        <v>1.47343955054188</v>
      </c>
      <c r="C179">
        <v>0.84299999999999997</v>
      </c>
      <c r="D179">
        <v>0.121</v>
      </c>
      <c r="E179">
        <v>1.2729929507977001E-122</v>
      </c>
      <c r="F179">
        <v>1</v>
      </c>
      <c r="G179" t="s">
        <v>534</v>
      </c>
      <c r="H179" t="s">
        <v>535</v>
      </c>
      <c r="I179" t="str">
        <f>HYPERLINK("https://zfin.org/ZDB-GENE-050320-35")</f>
        <v>https://zfin.org/ZDB-GENE-050320-35</v>
      </c>
      <c r="J179" t="s">
        <v>536</v>
      </c>
    </row>
    <row r="180" spans="1:10" x14ac:dyDescent="0.2">
      <c r="A180">
        <v>1.6205584183862698E-126</v>
      </c>
      <c r="B180">
        <v>0.409032690306391</v>
      </c>
      <c r="C180">
        <v>0.214</v>
      </c>
      <c r="D180">
        <v>1E-3</v>
      </c>
      <c r="E180">
        <v>2.25225208987323E-122</v>
      </c>
      <c r="F180">
        <v>1</v>
      </c>
      <c r="G180" t="s">
        <v>537</v>
      </c>
      <c r="H180" t="s">
        <v>538</v>
      </c>
      <c r="I180" t="str">
        <f>HYPERLINK("https://zfin.org/ZDB-GENE-060531-6")</f>
        <v>https://zfin.org/ZDB-GENE-060531-6</v>
      </c>
      <c r="J180" t="s">
        <v>539</v>
      </c>
    </row>
    <row r="181" spans="1:10" x14ac:dyDescent="0.2">
      <c r="A181">
        <v>8.86410814335158E-126</v>
      </c>
      <c r="B181">
        <v>0.35190500036356498</v>
      </c>
      <c r="C181">
        <v>0.24299999999999999</v>
      </c>
      <c r="D181">
        <v>3.0000000000000001E-3</v>
      </c>
      <c r="E181">
        <v>1.231933749763E-121</v>
      </c>
      <c r="F181">
        <v>1</v>
      </c>
      <c r="G181" t="s">
        <v>540</v>
      </c>
      <c r="H181" t="s">
        <v>541</v>
      </c>
      <c r="I181" t="str">
        <f>HYPERLINK("https://zfin.org/ZDB-GENE-160728-129")</f>
        <v>https://zfin.org/ZDB-GENE-160728-129</v>
      </c>
      <c r="J181" t="s">
        <v>542</v>
      </c>
    </row>
    <row r="182" spans="1:10" x14ac:dyDescent="0.2">
      <c r="A182">
        <v>1.15368414806753E-125</v>
      </c>
      <c r="B182">
        <v>0.50475466111621803</v>
      </c>
      <c r="C182">
        <v>0.379</v>
      </c>
      <c r="D182">
        <v>1.4999999999999999E-2</v>
      </c>
      <c r="E182">
        <v>1.60339022898425E-121</v>
      </c>
      <c r="F182">
        <v>1</v>
      </c>
      <c r="G182" t="s">
        <v>543</v>
      </c>
      <c r="H182" t="s">
        <v>544</v>
      </c>
      <c r="I182" t="str">
        <f>HYPERLINK("https://zfin.org/ZDB-GENE-030131-4127")</f>
        <v>https://zfin.org/ZDB-GENE-030131-4127</v>
      </c>
      <c r="J182" t="s">
        <v>545</v>
      </c>
    </row>
    <row r="183" spans="1:10" x14ac:dyDescent="0.2">
      <c r="A183">
        <v>3.4814052359797598E-125</v>
      </c>
      <c r="B183">
        <v>0.60214027363675804</v>
      </c>
      <c r="C183">
        <v>0.314</v>
      </c>
      <c r="D183">
        <v>8.9999999999999993E-3</v>
      </c>
      <c r="E183">
        <v>4.8384569969646699E-121</v>
      </c>
      <c r="F183">
        <v>1</v>
      </c>
      <c r="G183" t="s">
        <v>546</v>
      </c>
      <c r="H183" t="s">
        <v>547</v>
      </c>
      <c r="I183" t="str">
        <f>HYPERLINK("https://zfin.org/ZDB-GENE-050720-2")</f>
        <v>https://zfin.org/ZDB-GENE-050720-2</v>
      </c>
      <c r="J183" t="s">
        <v>548</v>
      </c>
    </row>
    <row r="184" spans="1:10" x14ac:dyDescent="0.2">
      <c r="A184">
        <v>9.4118624524227499E-125</v>
      </c>
      <c r="B184">
        <v>0.38008241906696</v>
      </c>
      <c r="C184">
        <v>0.27900000000000003</v>
      </c>
      <c r="D184">
        <v>5.0000000000000001E-3</v>
      </c>
      <c r="E184">
        <v>1.30806064363771E-120</v>
      </c>
      <c r="F184">
        <v>1</v>
      </c>
      <c r="G184" t="s">
        <v>549</v>
      </c>
      <c r="H184" t="s">
        <v>550</v>
      </c>
      <c r="I184" t="str">
        <f>HYPERLINK("https://zfin.org/ZDB-GENE-060721-2")</f>
        <v>https://zfin.org/ZDB-GENE-060721-2</v>
      </c>
      <c r="J184" t="s">
        <v>551</v>
      </c>
    </row>
    <row r="185" spans="1:10" x14ac:dyDescent="0.2">
      <c r="A185">
        <v>9.5873526974404994E-125</v>
      </c>
      <c r="B185">
        <v>0.55850514896184</v>
      </c>
      <c r="C185">
        <v>0.36399999999999999</v>
      </c>
      <c r="D185">
        <v>1.4E-2</v>
      </c>
      <c r="E185">
        <v>1.33245027789028E-120</v>
      </c>
      <c r="F185">
        <v>1</v>
      </c>
      <c r="G185" t="s">
        <v>552</v>
      </c>
      <c r="H185" t="s">
        <v>553</v>
      </c>
      <c r="I185" t="str">
        <f>HYPERLINK("https://zfin.org/ZDB-GENE-141212-371")</f>
        <v>https://zfin.org/ZDB-GENE-141212-371</v>
      </c>
      <c r="J185" t="s">
        <v>554</v>
      </c>
    </row>
    <row r="186" spans="1:10" x14ac:dyDescent="0.2">
      <c r="A186">
        <v>4.6098693728167797E-123</v>
      </c>
      <c r="B186">
        <v>0.39411026364784002</v>
      </c>
      <c r="C186">
        <v>0.27100000000000002</v>
      </c>
      <c r="D186">
        <v>5.0000000000000001E-3</v>
      </c>
      <c r="E186">
        <v>6.4067964543407696E-119</v>
      </c>
      <c r="F186">
        <v>1</v>
      </c>
      <c r="G186" t="s">
        <v>555</v>
      </c>
      <c r="H186" t="s">
        <v>556</v>
      </c>
      <c r="I186" t="str">
        <f>HYPERLINK("https://zfin.org/ZDB-GENE-061103-349")</f>
        <v>https://zfin.org/ZDB-GENE-061103-349</v>
      </c>
      <c r="J186" t="s">
        <v>557</v>
      </c>
    </row>
    <row r="187" spans="1:10" x14ac:dyDescent="0.2">
      <c r="A187">
        <v>1.1429459385272099E-122</v>
      </c>
      <c r="B187">
        <v>0.54236434564913405</v>
      </c>
      <c r="C187">
        <v>0.443</v>
      </c>
      <c r="D187">
        <v>2.4E-2</v>
      </c>
      <c r="E187">
        <v>1.58846626536511E-118</v>
      </c>
      <c r="F187">
        <v>1</v>
      </c>
      <c r="G187" t="s">
        <v>558</v>
      </c>
      <c r="H187" t="s">
        <v>559</v>
      </c>
      <c r="I187" t="str">
        <f>HYPERLINK("https://zfin.org/ZDB-GENE-061215-15")</f>
        <v>https://zfin.org/ZDB-GENE-061215-15</v>
      </c>
      <c r="J187" t="s">
        <v>560</v>
      </c>
    </row>
    <row r="188" spans="1:10" x14ac:dyDescent="0.2">
      <c r="A188">
        <v>7.9477911543740903E-122</v>
      </c>
      <c r="B188">
        <v>0.57686620075192596</v>
      </c>
      <c r="C188">
        <v>0.36399999999999999</v>
      </c>
      <c r="D188">
        <v>1.4E-2</v>
      </c>
      <c r="E188">
        <v>1.10458401463491E-117</v>
      </c>
      <c r="F188">
        <v>1</v>
      </c>
      <c r="G188" t="s">
        <v>561</v>
      </c>
      <c r="H188" t="s">
        <v>562</v>
      </c>
      <c r="I188" t="str">
        <f>HYPERLINK("https://zfin.org/ZDB-GENE-100922-241")</f>
        <v>https://zfin.org/ZDB-GENE-100922-241</v>
      </c>
      <c r="J188" t="s">
        <v>563</v>
      </c>
    </row>
    <row r="189" spans="1:10" x14ac:dyDescent="0.2">
      <c r="A189">
        <v>8.3211737910130605E-122</v>
      </c>
      <c r="B189">
        <v>0.323103698261133</v>
      </c>
      <c r="C189">
        <v>0.20699999999999999</v>
      </c>
      <c r="D189">
        <v>1E-3</v>
      </c>
      <c r="E189">
        <v>1.156476733475E-117</v>
      </c>
      <c r="F189">
        <v>1</v>
      </c>
      <c r="G189" t="s">
        <v>564</v>
      </c>
      <c r="H189" t="s">
        <v>565</v>
      </c>
      <c r="I189" t="str">
        <f>HYPERLINK("https://zfin.org/ZDB-GENE-080923-1")</f>
        <v>https://zfin.org/ZDB-GENE-080923-1</v>
      </c>
      <c r="J189" t="s">
        <v>566</v>
      </c>
    </row>
    <row r="190" spans="1:10" x14ac:dyDescent="0.2">
      <c r="A190">
        <v>2.6018153899606601E-121</v>
      </c>
      <c r="B190">
        <v>0.50819562346135705</v>
      </c>
      <c r="C190">
        <v>0.193</v>
      </c>
      <c r="D190">
        <v>0</v>
      </c>
      <c r="E190">
        <v>3.6160030289673202E-117</v>
      </c>
      <c r="F190">
        <v>1</v>
      </c>
      <c r="G190" t="s">
        <v>567</v>
      </c>
      <c r="H190" t="s">
        <v>568</v>
      </c>
      <c r="I190" t="str">
        <f>HYPERLINK("https://zfin.org/ZDB-GENE-060526-280")</f>
        <v>https://zfin.org/ZDB-GENE-060526-280</v>
      </c>
      <c r="J190" t="s">
        <v>569</v>
      </c>
    </row>
    <row r="191" spans="1:10" x14ac:dyDescent="0.2">
      <c r="A191">
        <v>4.6254856672278399E-119</v>
      </c>
      <c r="B191">
        <v>0.418664314097493</v>
      </c>
      <c r="C191">
        <v>0.29299999999999998</v>
      </c>
      <c r="D191">
        <v>7.0000000000000001E-3</v>
      </c>
      <c r="E191">
        <v>6.4284999803132597E-115</v>
      </c>
      <c r="F191">
        <v>1</v>
      </c>
      <c r="G191" t="s">
        <v>570</v>
      </c>
      <c r="H191" t="s">
        <v>571</v>
      </c>
      <c r="I191" t="str">
        <f>HYPERLINK("https://zfin.org/ZDB-GENE-060825-230")</f>
        <v>https://zfin.org/ZDB-GENE-060825-230</v>
      </c>
      <c r="J191" t="s">
        <v>572</v>
      </c>
    </row>
    <row r="192" spans="1:10" x14ac:dyDescent="0.2">
      <c r="A192">
        <v>6.6566002413261205E-119</v>
      </c>
      <c r="B192">
        <v>0.44543905889629098</v>
      </c>
      <c r="C192">
        <v>0.307</v>
      </c>
      <c r="D192">
        <v>8.9999999999999993E-3</v>
      </c>
      <c r="E192">
        <v>9.2513430153950409E-115</v>
      </c>
      <c r="F192">
        <v>1</v>
      </c>
      <c r="G192" t="s">
        <v>573</v>
      </c>
      <c r="H192" t="s">
        <v>574</v>
      </c>
      <c r="I192" t="str">
        <f>HYPERLINK("https://zfin.org/ZDB-GENE-030131-5409")</f>
        <v>https://zfin.org/ZDB-GENE-030131-5409</v>
      </c>
      <c r="J192" t="s">
        <v>575</v>
      </c>
    </row>
    <row r="193" spans="1:10" x14ac:dyDescent="0.2">
      <c r="A193">
        <v>7.77553507568743E-118</v>
      </c>
      <c r="B193">
        <v>1.6180037600089701</v>
      </c>
      <c r="C193">
        <v>0.97099999999999997</v>
      </c>
      <c r="D193">
        <v>0.20399999999999999</v>
      </c>
      <c r="E193">
        <v>1.08064386481904E-113</v>
      </c>
      <c r="F193">
        <v>1</v>
      </c>
      <c r="G193" t="s">
        <v>576</v>
      </c>
      <c r="H193" t="s">
        <v>577</v>
      </c>
      <c r="I193" t="str">
        <f>HYPERLINK("https://zfin.org/ZDB-GENE-081028-55")</f>
        <v>https://zfin.org/ZDB-GENE-081028-55</v>
      </c>
      <c r="J193" t="s">
        <v>578</v>
      </c>
    </row>
    <row r="194" spans="1:10" x14ac:dyDescent="0.2">
      <c r="A194">
        <v>2.1747416503578199E-115</v>
      </c>
      <c r="B194">
        <v>0.45499300883365101</v>
      </c>
      <c r="C194">
        <v>0.32100000000000001</v>
      </c>
      <c r="D194">
        <v>1.0999999999999999E-2</v>
      </c>
      <c r="E194">
        <v>3.0224559456673002E-111</v>
      </c>
      <c r="F194">
        <v>1</v>
      </c>
      <c r="G194" t="s">
        <v>579</v>
      </c>
      <c r="H194" t="s">
        <v>580</v>
      </c>
      <c r="I194" t="str">
        <f>HYPERLINK("https://zfin.org/ZDB-GENE-041010-153")</f>
        <v>https://zfin.org/ZDB-GENE-041010-153</v>
      </c>
      <c r="J194" t="s">
        <v>581</v>
      </c>
    </row>
    <row r="195" spans="1:10" x14ac:dyDescent="0.2">
      <c r="A195">
        <v>4.7567186522355997E-115</v>
      </c>
      <c r="B195">
        <v>0.94733929051418297</v>
      </c>
      <c r="C195">
        <v>0.55000000000000004</v>
      </c>
      <c r="D195">
        <v>4.5999999999999999E-2</v>
      </c>
      <c r="E195">
        <v>6.6108875828770296E-111</v>
      </c>
      <c r="F195">
        <v>1</v>
      </c>
      <c r="G195" t="s">
        <v>582</v>
      </c>
      <c r="H195" t="s">
        <v>583</v>
      </c>
      <c r="I195" t="str">
        <f>HYPERLINK("https://zfin.org/ZDB-GENE-061027-74")</f>
        <v>https://zfin.org/ZDB-GENE-061027-74</v>
      </c>
      <c r="J195" t="s">
        <v>584</v>
      </c>
    </row>
    <row r="196" spans="1:10" x14ac:dyDescent="0.2">
      <c r="A196">
        <v>5.90849377420207E-115</v>
      </c>
      <c r="B196">
        <v>0.54792573831281299</v>
      </c>
      <c r="C196">
        <v>0.35699999999999998</v>
      </c>
      <c r="D196">
        <v>1.4999999999999999E-2</v>
      </c>
      <c r="E196">
        <v>8.2116246473860398E-111</v>
      </c>
      <c r="F196">
        <v>1</v>
      </c>
      <c r="G196" t="s">
        <v>585</v>
      </c>
      <c r="H196" t="s">
        <v>586</v>
      </c>
      <c r="I196" t="str">
        <f>HYPERLINK("https://zfin.org/ZDB-GENE-090313-271")</f>
        <v>https://zfin.org/ZDB-GENE-090313-271</v>
      </c>
      <c r="J196" t="s">
        <v>587</v>
      </c>
    </row>
    <row r="197" spans="1:10" x14ac:dyDescent="0.2">
      <c r="A197">
        <v>6.06283099694276E-115</v>
      </c>
      <c r="B197">
        <v>2.1074973977454801</v>
      </c>
      <c r="C197">
        <v>0.98599999999999999</v>
      </c>
      <c r="D197">
        <v>0.27</v>
      </c>
      <c r="E197">
        <v>8.4261225195510494E-111</v>
      </c>
      <c r="F197">
        <v>1</v>
      </c>
      <c r="G197" t="s">
        <v>588</v>
      </c>
      <c r="H197" t="s">
        <v>589</v>
      </c>
      <c r="I197" t="str">
        <f>HYPERLINK("https://zfin.org/ZDB-GENE-131121-428")</f>
        <v>https://zfin.org/ZDB-GENE-131121-428</v>
      </c>
      <c r="J197" t="s">
        <v>590</v>
      </c>
    </row>
    <row r="198" spans="1:10" x14ac:dyDescent="0.2">
      <c r="A198">
        <v>2.1061474376815799E-114</v>
      </c>
      <c r="B198">
        <v>1.4669605681518001</v>
      </c>
      <c r="C198">
        <v>0.89300000000000002</v>
      </c>
      <c r="D198">
        <v>0.16200000000000001</v>
      </c>
      <c r="E198">
        <v>2.9271237088898502E-110</v>
      </c>
      <c r="F198">
        <v>1</v>
      </c>
      <c r="G198" t="s">
        <v>591</v>
      </c>
      <c r="H198" t="s">
        <v>592</v>
      </c>
      <c r="I198" t="str">
        <f>HYPERLINK("https://zfin.org/ZDB-GENE-070424-267")</f>
        <v>https://zfin.org/ZDB-GENE-070424-267</v>
      </c>
      <c r="J198" t="s">
        <v>593</v>
      </c>
    </row>
    <row r="199" spans="1:10" x14ac:dyDescent="0.2">
      <c r="A199">
        <v>2.7052579363390299E-114</v>
      </c>
      <c r="B199">
        <v>1.00716133311469</v>
      </c>
      <c r="C199">
        <v>0.80700000000000005</v>
      </c>
      <c r="D199">
        <v>0.109</v>
      </c>
      <c r="E199">
        <v>3.7597674799239797E-110</v>
      </c>
      <c r="F199">
        <v>1</v>
      </c>
      <c r="G199" t="s">
        <v>594</v>
      </c>
      <c r="H199" t="s">
        <v>595</v>
      </c>
      <c r="I199" t="str">
        <f>HYPERLINK("https://zfin.org/ZDB-GENE-081104-197")</f>
        <v>https://zfin.org/ZDB-GENE-081104-197</v>
      </c>
      <c r="J199" t="s">
        <v>596</v>
      </c>
    </row>
    <row r="200" spans="1:10" x14ac:dyDescent="0.2">
      <c r="A200">
        <v>1.4099417657949999E-113</v>
      </c>
      <c r="B200">
        <v>0.92070624180546001</v>
      </c>
      <c r="C200">
        <v>0.64300000000000002</v>
      </c>
      <c r="D200">
        <v>6.5000000000000002E-2</v>
      </c>
      <c r="E200">
        <v>1.9595370661018899E-109</v>
      </c>
      <c r="F200">
        <v>1</v>
      </c>
      <c r="G200" t="s">
        <v>597</v>
      </c>
      <c r="H200" t="s">
        <v>598</v>
      </c>
      <c r="I200" t="str">
        <f>HYPERLINK("https://zfin.org/ZDB-GENE-031001-3")</f>
        <v>https://zfin.org/ZDB-GENE-031001-3</v>
      </c>
      <c r="J200" t="s">
        <v>599</v>
      </c>
    </row>
    <row r="201" spans="1:10" x14ac:dyDescent="0.2">
      <c r="A201">
        <v>1.7933525885529499E-113</v>
      </c>
      <c r="B201">
        <v>0.475842052148581</v>
      </c>
      <c r="C201">
        <v>0.28599999999999998</v>
      </c>
      <c r="D201">
        <v>8.0000000000000002E-3</v>
      </c>
      <c r="E201">
        <v>2.4924014275708902E-109</v>
      </c>
      <c r="F201">
        <v>1</v>
      </c>
      <c r="G201" t="s">
        <v>600</v>
      </c>
      <c r="H201" t="s">
        <v>601</v>
      </c>
      <c r="I201" t="str">
        <f>HYPERLINK("https://zfin.org/ZDB-GENE-040718-253")</f>
        <v>https://zfin.org/ZDB-GENE-040718-253</v>
      </c>
      <c r="J201" t="s">
        <v>602</v>
      </c>
    </row>
    <row r="202" spans="1:10" x14ac:dyDescent="0.2">
      <c r="A202">
        <v>8.9126704980047196E-112</v>
      </c>
      <c r="B202">
        <v>0.97262749356926104</v>
      </c>
      <c r="C202">
        <v>0.77900000000000003</v>
      </c>
      <c r="D202">
        <v>0.10299999999999999</v>
      </c>
      <c r="E202">
        <v>1.2386829458127E-107</v>
      </c>
      <c r="F202">
        <v>1</v>
      </c>
      <c r="G202" t="s">
        <v>603</v>
      </c>
      <c r="H202" t="s">
        <v>604</v>
      </c>
      <c r="I202" t="str">
        <f>HYPERLINK("https://zfin.org/ZDB-GENE-040718-169")</f>
        <v>https://zfin.org/ZDB-GENE-040718-169</v>
      </c>
      <c r="J202" t="s">
        <v>605</v>
      </c>
    </row>
    <row r="203" spans="1:10" x14ac:dyDescent="0.2">
      <c r="A203">
        <v>9.5309156182257894E-112</v>
      </c>
      <c r="B203">
        <v>0.95677125621026804</v>
      </c>
      <c r="C203">
        <v>0.73599999999999999</v>
      </c>
      <c r="D203">
        <v>9.1999999999999998E-2</v>
      </c>
      <c r="E203">
        <v>1.3246066526210201E-107</v>
      </c>
      <c r="F203">
        <v>1</v>
      </c>
      <c r="G203" t="s">
        <v>606</v>
      </c>
      <c r="H203" t="s">
        <v>607</v>
      </c>
      <c r="I203" t="str">
        <f>HYPERLINK("https://zfin.org/ZDB-GENE-040426-2733")</f>
        <v>https://zfin.org/ZDB-GENE-040426-2733</v>
      </c>
      <c r="J203" t="s">
        <v>608</v>
      </c>
    </row>
    <row r="204" spans="1:10" x14ac:dyDescent="0.2">
      <c r="A204">
        <v>1.8150705994295599E-111</v>
      </c>
      <c r="B204">
        <v>0.837755946258679</v>
      </c>
      <c r="C204">
        <v>0.47099999999999997</v>
      </c>
      <c r="D204">
        <v>3.3000000000000002E-2</v>
      </c>
      <c r="E204">
        <v>2.5225851190872E-107</v>
      </c>
      <c r="F204">
        <v>1</v>
      </c>
      <c r="G204" t="s">
        <v>609</v>
      </c>
      <c r="H204" t="s">
        <v>610</v>
      </c>
      <c r="I204" t="str">
        <f>HYPERLINK("https://zfin.org/ZDB-GENE-050417-212")</f>
        <v>https://zfin.org/ZDB-GENE-050417-212</v>
      </c>
      <c r="J204" t="s">
        <v>611</v>
      </c>
    </row>
    <row r="205" spans="1:10" x14ac:dyDescent="0.2">
      <c r="A205">
        <v>6.1849015611062198E-111</v>
      </c>
      <c r="B205">
        <v>2.92650428191115</v>
      </c>
      <c r="C205">
        <v>0.99299999999999999</v>
      </c>
      <c r="D205">
        <v>0.3</v>
      </c>
      <c r="E205">
        <v>8.5957761896254205E-107</v>
      </c>
      <c r="F205">
        <v>1</v>
      </c>
      <c r="G205" t="s">
        <v>612</v>
      </c>
      <c r="H205" t="s">
        <v>613</v>
      </c>
      <c r="I205" t="str">
        <f>HYPERLINK("https://zfin.org/ZDB-GENE-071004-57")</f>
        <v>https://zfin.org/ZDB-GENE-071004-57</v>
      </c>
      <c r="J205" t="s">
        <v>614</v>
      </c>
    </row>
    <row r="206" spans="1:10" x14ac:dyDescent="0.2">
      <c r="A206">
        <v>6.9424731262634496E-111</v>
      </c>
      <c r="B206">
        <v>0.33625514351082098</v>
      </c>
      <c r="C206">
        <v>0.22900000000000001</v>
      </c>
      <c r="D206">
        <v>3.0000000000000001E-3</v>
      </c>
      <c r="E206">
        <v>9.6486491508809404E-107</v>
      </c>
      <c r="F206">
        <v>1</v>
      </c>
      <c r="G206" t="s">
        <v>615</v>
      </c>
      <c r="H206" t="s">
        <v>616</v>
      </c>
      <c r="I206" t="str">
        <f>HYPERLINK("https://zfin.org/ZDB-GENE-050601-1")</f>
        <v>https://zfin.org/ZDB-GENE-050601-1</v>
      </c>
      <c r="J206" t="s">
        <v>617</v>
      </c>
    </row>
    <row r="207" spans="1:10" x14ac:dyDescent="0.2">
      <c r="A207">
        <v>2.2969804450166901E-110</v>
      </c>
      <c r="B207">
        <v>0.71820217795375296</v>
      </c>
      <c r="C207">
        <v>0.56399999999999995</v>
      </c>
      <c r="D207">
        <v>4.9000000000000002E-2</v>
      </c>
      <c r="E207">
        <v>3.1923434224842E-106</v>
      </c>
      <c r="F207">
        <v>1</v>
      </c>
      <c r="G207" t="s">
        <v>618</v>
      </c>
      <c r="H207" t="s">
        <v>619</v>
      </c>
      <c r="I207" t="str">
        <f>HYPERLINK("https://zfin.org/ZDB-GENE-040930-8")</f>
        <v>https://zfin.org/ZDB-GENE-040930-8</v>
      </c>
      <c r="J207" t="s">
        <v>620</v>
      </c>
    </row>
    <row r="208" spans="1:10" x14ac:dyDescent="0.2">
      <c r="A208">
        <v>3.5785416782469E-109</v>
      </c>
      <c r="B208">
        <v>0.43554462161469298</v>
      </c>
      <c r="C208">
        <v>0.3</v>
      </c>
      <c r="D208">
        <v>0.01</v>
      </c>
      <c r="E208">
        <v>4.97345722442754E-105</v>
      </c>
      <c r="F208">
        <v>1</v>
      </c>
      <c r="G208" t="s">
        <v>621</v>
      </c>
      <c r="H208" t="s">
        <v>622</v>
      </c>
      <c r="I208" t="str">
        <f>HYPERLINK("https://zfin.org/ZDB-GENE-041212-54")</f>
        <v>https://zfin.org/ZDB-GENE-041212-54</v>
      </c>
      <c r="J208" t="s">
        <v>623</v>
      </c>
    </row>
    <row r="209" spans="1:10" x14ac:dyDescent="0.2">
      <c r="A209">
        <v>4.2121808295486398E-109</v>
      </c>
      <c r="B209">
        <v>0.48307518274264999</v>
      </c>
      <c r="C209">
        <v>0.28599999999999998</v>
      </c>
      <c r="D209">
        <v>8.9999999999999993E-3</v>
      </c>
      <c r="E209">
        <v>5.8540889169067097E-105</v>
      </c>
      <c r="F209">
        <v>1</v>
      </c>
      <c r="G209" t="s">
        <v>624</v>
      </c>
      <c r="H209" t="s">
        <v>625</v>
      </c>
      <c r="I209" t="str">
        <f>HYPERLINK("https://zfin.org/ZDB-GENE-040426-1473")</f>
        <v>https://zfin.org/ZDB-GENE-040426-1473</v>
      </c>
      <c r="J209" t="s">
        <v>626</v>
      </c>
    </row>
    <row r="210" spans="1:10" x14ac:dyDescent="0.2">
      <c r="A210">
        <v>1.1311169190816001E-108</v>
      </c>
      <c r="B210">
        <v>0.28738916481035098</v>
      </c>
      <c r="C210">
        <v>0.193</v>
      </c>
      <c r="D210">
        <v>1E-3</v>
      </c>
      <c r="E210">
        <v>1.5720262941396099E-104</v>
      </c>
      <c r="F210">
        <v>1</v>
      </c>
      <c r="G210" t="s">
        <v>627</v>
      </c>
      <c r="H210" t="s">
        <v>628</v>
      </c>
      <c r="I210" t="str">
        <f>HYPERLINK("https://zfin.org/ZDB-GENE-120711-2")</f>
        <v>https://zfin.org/ZDB-GENE-120711-2</v>
      </c>
      <c r="J210" t="s">
        <v>629</v>
      </c>
    </row>
    <row r="211" spans="1:10" x14ac:dyDescent="0.2">
      <c r="A211">
        <v>4.8468859570817303E-108</v>
      </c>
      <c r="B211">
        <v>0.312568654616866</v>
      </c>
      <c r="C211">
        <v>0.22900000000000001</v>
      </c>
      <c r="D211">
        <v>4.0000000000000001E-3</v>
      </c>
      <c r="E211">
        <v>6.7362021031521901E-104</v>
      </c>
      <c r="F211">
        <v>1</v>
      </c>
      <c r="G211" t="s">
        <v>630</v>
      </c>
      <c r="H211" t="s">
        <v>631</v>
      </c>
      <c r="I211" t="str">
        <f>HYPERLINK("https://zfin.org/ZDB-GENE-030131-5448")</f>
        <v>https://zfin.org/ZDB-GENE-030131-5448</v>
      </c>
      <c r="J211" t="s">
        <v>632</v>
      </c>
    </row>
    <row r="212" spans="1:10" x14ac:dyDescent="0.2">
      <c r="A212">
        <v>5.38725071597789E-108</v>
      </c>
      <c r="B212">
        <v>0.42001624487851102</v>
      </c>
      <c r="C212">
        <v>0.25</v>
      </c>
      <c r="D212">
        <v>5.0000000000000001E-3</v>
      </c>
      <c r="E212">
        <v>7.4872010450660705E-104</v>
      </c>
      <c r="F212">
        <v>1</v>
      </c>
      <c r="G212" t="s">
        <v>633</v>
      </c>
      <c r="H212" t="s">
        <v>634</v>
      </c>
      <c r="I212" t="str">
        <f>HYPERLINK("https://zfin.org/ZDB-GENE-060312-41")</f>
        <v>https://zfin.org/ZDB-GENE-060312-41</v>
      </c>
      <c r="J212" t="s">
        <v>635</v>
      </c>
    </row>
    <row r="213" spans="1:10" x14ac:dyDescent="0.2">
      <c r="A213">
        <v>1.3116799903908801E-107</v>
      </c>
      <c r="B213">
        <v>0.33290275918894702</v>
      </c>
      <c r="C213">
        <v>0.17899999999999999</v>
      </c>
      <c r="D213">
        <v>1E-3</v>
      </c>
      <c r="E213">
        <v>1.8229728506452401E-103</v>
      </c>
      <c r="F213">
        <v>1</v>
      </c>
      <c r="G213" t="s">
        <v>636</v>
      </c>
      <c r="H213" t="s">
        <v>637</v>
      </c>
      <c r="I213" t="str">
        <f>HYPERLINK("https://zfin.org/ZDB-GENE-050706-119")</f>
        <v>https://zfin.org/ZDB-GENE-050706-119</v>
      </c>
      <c r="J213" t="s">
        <v>638</v>
      </c>
    </row>
    <row r="214" spans="1:10" x14ac:dyDescent="0.2">
      <c r="A214">
        <v>7.8064807400482295E-107</v>
      </c>
      <c r="B214">
        <v>0.30727211254909198</v>
      </c>
      <c r="C214">
        <v>0.221</v>
      </c>
      <c r="D214">
        <v>3.0000000000000001E-3</v>
      </c>
      <c r="E214">
        <v>1.0849446932519E-102</v>
      </c>
      <c r="F214">
        <v>1</v>
      </c>
      <c r="G214" t="s">
        <v>639</v>
      </c>
      <c r="H214" t="s">
        <v>640</v>
      </c>
      <c r="I214" t="str">
        <f>HYPERLINK("https://zfin.org/ZDB-GENE-040426-1892")</f>
        <v>https://zfin.org/ZDB-GENE-040426-1892</v>
      </c>
      <c r="J214" t="s">
        <v>641</v>
      </c>
    </row>
    <row r="215" spans="1:10" x14ac:dyDescent="0.2">
      <c r="A215">
        <v>3.0116019850034598E-105</v>
      </c>
      <c r="B215">
        <v>0.47300804777078598</v>
      </c>
      <c r="C215">
        <v>0.36399999999999999</v>
      </c>
      <c r="D215">
        <v>1.7999999999999999E-2</v>
      </c>
      <c r="E215">
        <v>4.1855244387577997E-101</v>
      </c>
      <c r="F215">
        <v>1</v>
      </c>
      <c r="G215" t="s">
        <v>642</v>
      </c>
      <c r="H215" t="s">
        <v>643</v>
      </c>
      <c r="I215" t="str">
        <f>HYPERLINK("https://zfin.org/ZDB-GENE-131121-564")</f>
        <v>https://zfin.org/ZDB-GENE-131121-564</v>
      </c>
      <c r="J215" t="s">
        <v>644</v>
      </c>
    </row>
    <row r="216" spans="1:10" x14ac:dyDescent="0.2">
      <c r="A216">
        <v>8.7182980232493306E-105</v>
      </c>
      <c r="B216">
        <v>0.75831723027277598</v>
      </c>
      <c r="C216">
        <v>0.57099999999999995</v>
      </c>
      <c r="D216">
        <v>5.5E-2</v>
      </c>
      <c r="E216">
        <v>1.2116690592711901E-100</v>
      </c>
      <c r="F216">
        <v>1</v>
      </c>
      <c r="G216" t="s">
        <v>645</v>
      </c>
      <c r="H216" t="s">
        <v>646</v>
      </c>
      <c r="I216" t="str">
        <f>HYPERLINK("https://zfin.org/ZDB-GENE-000412-1")</f>
        <v>https://zfin.org/ZDB-GENE-000412-1</v>
      </c>
      <c r="J216" t="s">
        <v>647</v>
      </c>
    </row>
    <row r="217" spans="1:10" x14ac:dyDescent="0.2">
      <c r="A217">
        <v>1.0494716862521799E-104</v>
      </c>
      <c r="B217">
        <v>0.58029548831148603</v>
      </c>
      <c r="C217">
        <v>0.42899999999999999</v>
      </c>
      <c r="D217">
        <v>2.8000000000000001E-2</v>
      </c>
      <c r="E217">
        <v>1.4585557495532799E-100</v>
      </c>
      <c r="F217">
        <v>1</v>
      </c>
      <c r="G217" t="s">
        <v>648</v>
      </c>
      <c r="H217" t="s">
        <v>649</v>
      </c>
      <c r="I217" t="str">
        <f>HYPERLINK("https://zfin.org/ZDB-GENE-040718-92")</f>
        <v>https://zfin.org/ZDB-GENE-040718-92</v>
      </c>
      <c r="J217" t="s">
        <v>650</v>
      </c>
    </row>
    <row r="218" spans="1:10" x14ac:dyDescent="0.2">
      <c r="A218">
        <v>1.07168421270484E-103</v>
      </c>
      <c r="B218">
        <v>0.334258969788153</v>
      </c>
      <c r="C218">
        <v>0.221</v>
      </c>
      <c r="D218">
        <v>4.0000000000000001E-3</v>
      </c>
      <c r="E218">
        <v>1.4894267188171899E-99</v>
      </c>
      <c r="F218">
        <v>1</v>
      </c>
      <c r="G218" t="s">
        <v>651</v>
      </c>
      <c r="H218" t="s">
        <v>652</v>
      </c>
      <c r="I218" t="str">
        <f>HYPERLINK("https://zfin.org/")</f>
        <v>https://zfin.org/</v>
      </c>
      <c r="J218" t="s">
        <v>653</v>
      </c>
    </row>
    <row r="219" spans="1:10" x14ac:dyDescent="0.2">
      <c r="A219">
        <v>9.9040557379978598E-103</v>
      </c>
      <c r="B219">
        <v>0.38440265250891498</v>
      </c>
      <c r="C219">
        <v>0.27100000000000002</v>
      </c>
      <c r="D219">
        <v>8.0000000000000002E-3</v>
      </c>
      <c r="E219">
        <v>1.3764656664669399E-98</v>
      </c>
      <c r="F219">
        <v>1</v>
      </c>
      <c r="G219" t="s">
        <v>654</v>
      </c>
      <c r="H219" t="s">
        <v>655</v>
      </c>
      <c r="I219" t="str">
        <f>HYPERLINK("https://zfin.org/ZDB-GENE-040910-4")</f>
        <v>https://zfin.org/ZDB-GENE-040910-4</v>
      </c>
      <c r="J219" t="s">
        <v>656</v>
      </c>
    </row>
    <row r="220" spans="1:10" x14ac:dyDescent="0.2">
      <c r="A220">
        <v>1.6742216362158401E-102</v>
      </c>
      <c r="B220">
        <v>0.35492123515839002</v>
      </c>
      <c r="C220">
        <v>0.214</v>
      </c>
      <c r="D220">
        <v>3.0000000000000001E-3</v>
      </c>
      <c r="E220">
        <v>2.3268332300127702E-98</v>
      </c>
      <c r="F220">
        <v>1</v>
      </c>
      <c r="G220" t="s">
        <v>657</v>
      </c>
      <c r="H220" t="s">
        <v>658</v>
      </c>
      <c r="I220" t="str">
        <f>HYPERLINK("https://zfin.org/ZDB-GENE-081022-43")</f>
        <v>https://zfin.org/ZDB-GENE-081022-43</v>
      </c>
      <c r="J220" t="s">
        <v>659</v>
      </c>
    </row>
    <row r="221" spans="1:10" x14ac:dyDescent="0.2">
      <c r="A221">
        <v>4.2439992322457397E-101</v>
      </c>
      <c r="B221">
        <v>0.39963709055192598</v>
      </c>
      <c r="C221">
        <v>0.26400000000000001</v>
      </c>
      <c r="D221">
        <v>8.0000000000000002E-3</v>
      </c>
      <c r="E221">
        <v>5.8983101329751395E-97</v>
      </c>
      <c r="F221">
        <v>1</v>
      </c>
      <c r="G221" t="s">
        <v>660</v>
      </c>
      <c r="H221" t="s">
        <v>661</v>
      </c>
      <c r="I221" t="str">
        <f>HYPERLINK("https://zfin.org/ZDB-GENE-030131-5975")</f>
        <v>https://zfin.org/ZDB-GENE-030131-5975</v>
      </c>
      <c r="J221" t="s">
        <v>662</v>
      </c>
    </row>
    <row r="222" spans="1:10" x14ac:dyDescent="0.2">
      <c r="A222">
        <v>7.2740781297334002E-101</v>
      </c>
      <c r="B222">
        <v>1.36044410193779</v>
      </c>
      <c r="C222">
        <v>0.95</v>
      </c>
      <c r="D222">
        <v>0.22900000000000001</v>
      </c>
      <c r="E222">
        <v>1.0109513784703501E-96</v>
      </c>
      <c r="F222">
        <v>1</v>
      </c>
      <c r="G222" t="s">
        <v>663</v>
      </c>
      <c r="H222" t="s">
        <v>664</v>
      </c>
      <c r="I222" t="str">
        <f>HYPERLINK("https://zfin.org/ZDB-GENE-060825-160")</f>
        <v>https://zfin.org/ZDB-GENE-060825-160</v>
      </c>
      <c r="J222" t="s">
        <v>665</v>
      </c>
    </row>
    <row r="223" spans="1:10" x14ac:dyDescent="0.2">
      <c r="A223">
        <v>8.9882728177593595E-101</v>
      </c>
      <c r="B223">
        <v>0.31351391686804297</v>
      </c>
      <c r="C223">
        <v>0.20699999999999999</v>
      </c>
      <c r="D223">
        <v>3.0000000000000001E-3</v>
      </c>
      <c r="E223">
        <v>1.2491901562122001E-96</v>
      </c>
      <c r="F223">
        <v>1</v>
      </c>
      <c r="G223" t="s">
        <v>666</v>
      </c>
      <c r="H223" t="s">
        <v>667</v>
      </c>
      <c r="I223" t="str">
        <f>HYPERLINK("https://zfin.org/ZDB-GENE-050522-70")</f>
        <v>https://zfin.org/ZDB-GENE-050522-70</v>
      </c>
      <c r="J223" t="s">
        <v>668</v>
      </c>
    </row>
    <row r="224" spans="1:10" x14ac:dyDescent="0.2">
      <c r="A224">
        <v>2.0394628469730401E-100</v>
      </c>
      <c r="B224">
        <v>0.28700378886507899</v>
      </c>
      <c r="C224">
        <v>0.186</v>
      </c>
      <c r="D224">
        <v>2E-3</v>
      </c>
      <c r="E224">
        <v>2.8344454647231299E-96</v>
      </c>
      <c r="F224">
        <v>1</v>
      </c>
      <c r="G224" t="s">
        <v>669</v>
      </c>
      <c r="H224" t="s">
        <v>670</v>
      </c>
      <c r="I224" t="str">
        <f>HYPERLINK("https://zfin.org/ZDB-GENE-070124-2")</f>
        <v>https://zfin.org/ZDB-GENE-070124-2</v>
      </c>
      <c r="J224" t="s">
        <v>671</v>
      </c>
    </row>
    <row r="225" spans="1:10" x14ac:dyDescent="0.2">
      <c r="A225">
        <v>4.2961321493720198E-99</v>
      </c>
      <c r="B225">
        <v>0.45227131539597498</v>
      </c>
      <c r="C225">
        <v>0.25</v>
      </c>
      <c r="D225">
        <v>7.0000000000000001E-3</v>
      </c>
      <c r="E225">
        <v>5.9707644611972302E-95</v>
      </c>
      <c r="F225">
        <v>1</v>
      </c>
      <c r="G225" t="s">
        <v>672</v>
      </c>
      <c r="H225" t="s">
        <v>673</v>
      </c>
      <c r="I225" t="str">
        <f>HYPERLINK("https://zfin.org/ZDB-GENE-980526-221")</f>
        <v>https://zfin.org/ZDB-GENE-980526-221</v>
      </c>
      <c r="J225" t="s">
        <v>674</v>
      </c>
    </row>
    <row r="226" spans="1:10" x14ac:dyDescent="0.2">
      <c r="A226">
        <v>5.2115585495704498E-99</v>
      </c>
      <c r="B226">
        <v>0.37806735124372698</v>
      </c>
      <c r="C226">
        <v>0.25</v>
      </c>
      <c r="D226">
        <v>7.0000000000000001E-3</v>
      </c>
      <c r="E226">
        <v>7.24302407219301E-95</v>
      </c>
      <c r="F226">
        <v>1</v>
      </c>
      <c r="G226" t="s">
        <v>675</v>
      </c>
      <c r="H226" t="s">
        <v>676</v>
      </c>
      <c r="I226" t="str">
        <f>HYPERLINK("https://zfin.org/ZDB-GENE-040426-1369")</f>
        <v>https://zfin.org/ZDB-GENE-040426-1369</v>
      </c>
      <c r="J226" t="s">
        <v>677</v>
      </c>
    </row>
    <row r="227" spans="1:10" x14ac:dyDescent="0.2">
      <c r="A227">
        <v>5.7346115431347799E-99</v>
      </c>
      <c r="B227">
        <v>0.32555133957738103</v>
      </c>
      <c r="C227">
        <v>0.24299999999999999</v>
      </c>
      <c r="D227">
        <v>6.0000000000000001E-3</v>
      </c>
      <c r="E227">
        <v>7.9699631226487206E-95</v>
      </c>
      <c r="F227">
        <v>1</v>
      </c>
      <c r="G227" t="s">
        <v>678</v>
      </c>
      <c r="H227" t="s">
        <v>679</v>
      </c>
      <c r="I227" t="str">
        <f>HYPERLINK("https://zfin.org/ZDB-GENE-140127-1")</f>
        <v>https://zfin.org/ZDB-GENE-140127-1</v>
      </c>
      <c r="J227" t="s">
        <v>680</v>
      </c>
    </row>
    <row r="228" spans="1:10" x14ac:dyDescent="0.2">
      <c r="A228">
        <v>9.1164022873583196E-99</v>
      </c>
      <c r="B228">
        <v>0.57848143011235398</v>
      </c>
      <c r="C228">
        <v>0.47099999999999997</v>
      </c>
      <c r="D228">
        <v>3.7999999999999999E-2</v>
      </c>
      <c r="E228">
        <v>1.26699758989706E-94</v>
      </c>
      <c r="F228">
        <v>1</v>
      </c>
      <c r="G228" t="s">
        <v>681</v>
      </c>
      <c r="H228" t="s">
        <v>682</v>
      </c>
      <c r="I228" t="str">
        <f>HYPERLINK("https://zfin.org/ZDB-GENE-040426-1943")</f>
        <v>https://zfin.org/ZDB-GENE-040426-1943</v>
      </c>
      <c r="J228" t="s">
        <v>683</v>
      </c>
    </row>
    <row r="229" spans="1:10" x14ac:dyDescent="0.2">
      <c r="A229">
        <v>9.2790535016812502E-99</v>
      </c>
      <c r="B229">
        <v>0.26521903573410299</v>
      </c>
      <c r="C229">
        <v>0.17100000000000001</v>
      </c>
      <c r="D229">
        <v>1E-3</v>
      </c>
      <c r="E229">
        <v>1.2896028556636601E-94</v>
      </c>
      <c r="F229">
        <v>1</v>
      </c>
      <c r="G229" t="s">
        <v>684</v>
      </c>
      <c r="H229" t="s">
        <v>685</v>
      </c>
      <c r="I229" t="str">
        <f>HYPERLINK("https://zfin.org/ZDB-GENE-041026-4")</f>
        <v>https://zfin.org/ZDB-GENE-041026-4</v>
      </c>
      <c r="J229" t="s">
        <v>686</v>
      </c>
    </row>
    <row r="230" spans="1:10" x14ac:dyDescent="0.2">
      <c r="A230">
        <v>1.0499594255097301E-98</v>
      </c>
      <c r="B230">
        <v>0.64571051550527003</v>
      </c>
      <c r="C230">
        <v>0.53600000000000003</v>
      </c>
      <c r="D230">
        <v>0.05</v>
      </c>
      <c r="E230">
        <v>1.45923360957342E-94</v>
      </c>
      <c r="F230">
        <v>1</v>
      </c>
      <c r="G230" t="s">
        <v>687</v>
      </c>
      <c r="H230" t="s">
        <v>688</v>
      </c>
      <c r="I230" t="str">
        <f>HYPERLINK("https://zfin.org/ZDB-GENE-050208-437")</f>
        <v>https://zfin.org/ZDB-GENE-050208-437</v>
      </c>
      <c r="J230" t="s">
        <v>689</v>
      </c>
    </row>
    <row r="231" spans="1:10" x14ac:dyDescent="0.2">
      <c r="A231">
        <v>3.9584391397186199E-98</v>
      </c>
      <c r="B231">
        <v>0.34057251541721401</v>
      </c>
      <c r="C231">
        <v>0.193</v>
      </c>
      <c r="D231">
        <v>2E-3</v>
      </c>
      <c r="E231">
        <v>5.5014387163809295E-94</v>
      </c>
      <c r="F231">
        <v>1</v>
      </c>
      <c r="G231" t="s">
        <v>690</v>
      </c>
      <c r="H231" t="s">
        <v>691</v>
      </c>
      <c r="I231" t="str">
        <f>HYPERLINK("https://zfin.org/ZDB-GENE-121119-1")</f>
        <v>https://zfin.org/ZDB-GENE-121119-1</v>
      </c>
      <c r="J231" t="s">
        <v>692</v>
      </c>
    </row>
    <row r="232" spans="1:10" x14ac:dyDescent="0.2">
      <c r="A232">
        <v>1.18697880970466E-97</v>
      </c>
      <c r="B232">
        <v>0.81353656382059303</v>
      </c>
      <c r="C232">
        <v>0.7</v>
      </c>
      <c r="D232">
        <v>9.1999999999999998E-2</v>
      </c>
      <c r="E232">
        <v>1.64966314972753E-93</v>
      </c>
      <c r="F232">
        <v>1</v>
      </c>
      <c r="G232" t="s">
        <v>693</v>
      </c>
      <c r="H232" t="s">
        <v>694</v>
      </c>
      <c r="I232" t="str">
        <f>HYPERLINK("https://zfin.org/ZDB-GENE-040801-178")</f>
        <v>https://zfin.org/ZDB-GENE-040801-178</v>
      </c>
      <c r="J232" t="s">
        <v>695</v>
      </c>
    </row>
    <row r="233" spans="1:10" x14ac:dyDescent="0.2">
      <c r="A233">
        <v>1.0666898661961599E-94</v>
      </c>
      <c r="B233">
        <v>1.23810726500386</v>
      </c>
      <c r="C233">
        <v>0.95699999999999996</v>
      </c>
      <c r="D233">
        <v>0.23499999999999999</v>
      </c>
      <c r="E233">
        <v>1.4824855760394199E-90</v>
      </c>
      <c r="F233">
        <v>1</v>
      </c>
      <c r="G233" t="s">
        <v>696</v>
      </c>
      <c r="H233" t="s">
        <v>697</v>
      </c>
      <c r="I233" t="str">
        <f>HYPERLINK("https://zfin.org/ZDB-GENE-081107-63")</f>
        <v>https://zfin.org/ZDB-GENE-081107-63</v>
      </c>
      <c r="J233" t="s">
        <v>698</v>
      </c>
    </row>
    <row r="234" spans="1:10" x14ac:dyDescent="0.2">
      <c r="A234">
        <v>6.44358064849504E-94</v>
      </c>
      <c r="B234">
        <v>2.05065123011213</v>
      </c>
      <c r="C234">
        <v>1</v>
      </c>
      <c r="D234">
        <v>0.495</v>
      </c>
      <c r="E234">
        <v>8.9552883852784102E-90</v>
      </c>
      <c r="F234">
        <v>1</v>
      </c>
      <c r="G234" t="s">
        <v>699</v>
      </c>
      <c r="H234" t="s">
        <v>700</v>
      </c>
      <c r="I234" t="str">
        <f>HYPERLINK("https://zfin.org/ZDB-GENE-030131-2830")</f>
        <v>https://zfin.org/ZDB-GENE-030131-2830</v>
      </c>
      <c r="J234" t="s">
        <v>701</v>
      </c>
    </row>
    <row r="235" spans="1:10" x14ac:dyDescent="0.2">
      <c r="A235">
        <v>6.6068629475740595E-94</v>
      </c>
      <c r="B235">
        <v>3.6250079798957899</v>
      </c>
      <c r="C235">
        <v>1</v>
      </c>
      <c r="D235">
        <v>0.59699999999999998</v>
      </c>
      <c r="E235">
        <v>9.1822181245384303E-90</v>
      </c>
      <c r="F235">
        <v>1</v>
      </c>
      <c r="G235" t="s">
        <v>702</v>
      </c>
      <c r="H235" t="s">
        <v>703</v>
      </c>
      <c r="I235" t="str">
        <f>HYPERLINK("https://zfin.org/ZDB-GENE-020806-4")</f>
        <v>https://zfin.org/ZDB-GENE-020806-4</v>
      </c>
      <c r="J235" t="s">
        <v>704</v>
      </c>
    </row>
    <row r="236" spans="1:10" x14ac:dyDescent="0.2">
      <c r="A236">
        <v>7.6403002829900496E-94</v>
      </c>
      <c r="B236">
        <v>0.46852999882159002</v>
      </c>
      <c r="C236">
        <v>0.35</v>
      </c>
      <c r="D236">
        <v>0.02</v>
      </c>
      <c r="E236">
        <v>1.0618489333299599E-89</v>
      </c>
      <c r="F236">
        <v>1</v>
      </c>
      <c r="G236" t="s">
        <v>705</v>
      </c>
      <c r="H236" t="s">
        <v>706</v>
      </c>
      <c r="I236" t="str">
        <f>HYPERLINK("https://zfin.org/ZDB-GENE-020416-3")</f>
        <v>https://zfin.org/ZDB-GENE-020416-3</v>
      </c>
      <c r="J236" t="s">
        <v>707</v>
      </c>
    </row>
    <row r="237" spans="1:10" x14ac:dyDescent="0.2">
      <c r="A237">
        <v>7.6444899271417499E-94</v>
      </c>
      <c r="B237">
        <v>0.32482460287484</v>
      </c>
      <c r="C237">
        <v>0.186</v>
      </c>
      <c r="D237">
        <v>2E-3</v>
      </c>
      <c r="E237">
        <v>1.06243121007416E-89</v>
      </c>
      <c r="F237">
        <v>1</v>
      </c>
      <c r="G237" t="s">
        <v>708</v>
      </c>
      <c r="H237" t="s">
        <v>709</v>
      </c>
      <c r="I237" t="str">
        <f>HYPERLINK("https://zfin.org/ZDB-GENE-131121-624")</f>
        <v>https://zfin.org/ZDB-GENE-131121-624</v>
      </c>
      <c r="J237" t="s">
        <v>710</v>
      </c>
    </row>
    <row r="238" spans="1:10" x14ac:dyDescent="0.2">
      <c r="A238">
        <v>8.3455279611517698E-94</v>
      </c>
      <c r="B238">
        <v>0.34317496854226898</v>
      </c>
      <c r="C238">
        <v>0.221</v>
      </c>
      <c r="D238">
        <v>5.0000000000000001E-3</v>
      </c>
      <c r="E238">
        <v>1.15986147604087E-89</v>
      </c>
      <c r="F238">
        <v>1</v>
      </c>
      <c r="G238" t="s">
        <v>711</v>
      </c>
      <c r="H238" t="s">
        <v>712</v>
      </c>
      <c r="I238" t="str">
        <f>HYPERLINK("https://zfin.org/ZDB-GENE-091204-271")</f>
        <v>https://zfin.org/ZDB-GENE-091204-271</v>
      </c>
      <c r="J238" t="s">
        <v>713</v>
      </c>
    </row>
    <row r="239" spans="1:10" x14ac:dyDescent="0.2">
      <c r="A239">
        <v>8.88500651940269E-94</v>
      </c>
      <c r="B239">
        <v>0.25021585253947598</v>
      </c>
      <c r="C239">
        <v>0.14299999999999999</v>
      </c>
      <c r="D239">
        <v>0</v>
      </c>
      <c r="E239">
        <v>1.23483820606659E-89</v>
      </c>
      <c r="F239">
        <v>1</v>
      </c>
      <c r="G239" t="s">
        <v>714</v>
      </c>
      <c r="H239" t="s">
        <v>715</v>
      </c>
      <c r="I239" t="str">
        <f>HYPERLINK("https://zfin.org/ZDB-GENE-060929-352")</f>
        <v>https://zfin.org/ZDB-GENE-060929-352</v>
      </c>
      <c r="J239" t="s">
        <v>716</v>
      </c>
    </row>
    <row r="240" spans="1:10" x14ac:dyDescent="0.2">
      <c r="A240">
        <v>1.36894744827676E-93</v>
      </c>
      <c r="B240">
        <v>0.26670309914297102</v>
      </c>
      <c r="C240">
        <v>0.15</v>
      </c>
      <c r="D240">
        <v>0</v>
      </c>
      <c r="E240">
        <v>1.9025631636150498E-89</v>
      </c>
      <c r="F240">
        <v>1</v>
      </c>
      <c r="G240" t="s">
        <v>717</v>
      </c>
      <c r="H240" t="s">
        <v>718</v>
      </c>
      <c r="I240" t="str">
        <f>HYPERLINK("https://zfin.org/ZDB-GENE-081104-479")</f>
        <v>https://zfin.org/ZDB-GENE-081104-479</v>
      </c>
      <c r="J240" t="s">
        <v>719</v>
      </c>
    </row>
    <row r="241" spans="1:10" x14ac:dyDescent="0.2">
      <c r="A241">
        <v>2.5660750693796701E-92</v>
      </c>
      <c r="B241">
        <v>0.498333451904025</v>
      </c>
      <c r="C241">
        <v>0.39300000000000002</v>
      </c>
      <c r="D241">
        <v>2.7E-2</v>
      </c>
      <c r="E241">
        <v>3.56633113142387E-88</v>
      </c>
      <c r="F241">
        <v>1</v>
      </c>
      <c r="G241" t="s">
        <v>720</v>
      </c>
      <c r="H241" t="s">
        <v>721</v>
      </c>
      <c r="I241" t="str">
        <f>HYPERLINK("https://zfin.org/ZDB-GENE-070801-3")</f>
        <v>https://zfin.org/ZDB-GENE-070801-3</v>
      </c>
      <c r="J241" t="s">
        <v>722</v>
      </c>
    </row>
    <row r="242" spans="1:10" x14ac:dyDescent="0.2">
      <c r="A242">
        <v>3.3043205781191197E-92</v>
      </c>
      <c r="B242">
        <v>0.318749333590998</v>
      </c>
      <c r="C242">
        <v>0.193</v>
      </c>
      <c r="D242">
        <v>3.0000000000000001E-3</v>
      </c>
      <c r="E242">
        <v>4.5923447394699601E-88</v>
      </c>
      <c r="F242">
        <v>1</v>
      </c>
      <c r="G242" t="s">
        <v>723</v>
      </c>
      <c r="H242" t="s">
        <v>724</v>
      </c>
      <c r="I242" t="str">
        <f>HYPERLINK("https://zfin.org/ZDB-GENE-100913-2")</f>
        <v>https://zfin.org/ZDB-GENE-100913-2</v>
      </c>
      <c r="J242" t="s">
        <v>725</v>
      </c>
    </row>
    <row r="243" spans="1:10" x14ac:dyDescent="0.2">
      <c r="A243">
        <v>3.9196329751344502E-92</v>
      </c>
      <c r="B243">
        <v>0.37174715399681102</v>
      </c>
      <c r="C243">
        <v>0.193</v>
      </c>
      <c r="D243">
        <v>3.0000000000000001E-3</v>
      </c>
      <c r="E243">
        <v>5.4475059088418503E-88</v>
      </c>
      <c r="F243">
        <v>1</v>
      </c>
      <c r="G243" t="s">
        <v>726</v>
      </c>
      <c r="H243" t="s">
        <v>727</v>
      </c>
      <c r="I243" t="str">
        <f>HYPERLINK("https://zfin.org/ZDB-GENE-110411-266")</f>
        <v>https://zfin.org/ZDB-GENE-110411-266</v>
      </c>
      <c r="J243" t="s">
        <v>728</v>
      </c>
    </row>
    <row r="244" spans="1:10" x14ac:dyDescent="0.2">
      <c r="A244">
        <v>4.4077304739168897E-92</v>
      </c>
      <c r="B244">
        <v>0.30436436618646501</v>
      </c>
      <c r="C244">
        <v>0.193</v>
      </c>
      <c r="D244">
        <v>3.0000000000000001E-3</v>
      </c>
      <c r="E244">
        <v>6.1258638126496897E-88</v>
      </c>
      <c r="F244">
        <v>1</v>
      </c>
      <c r="G244" t="s">
        <v>729</v>
      </c>
      <c r="H244" t="s">
        <v>730</v>
      </c>
      <c r="I244" t="str">
        <f>HYPERLINK("https://zfin.org/ZDB-GENE-030616-37")</f>
        <v>https://zfin.org/ZDB-GENE-030616-37</v>
      </c>
      <c r="J244" t="s">
        <v>731</v>
      </c>
    </row>
    <row r="245" spans="1:10" x14ac:dyDescent="0.2">
      <c r="A245">
        <v>1.7864178969455201E-90</v>
      </c>
      <c r="B245">
        <v>0.33448047304429501</v>
      </c>
      <c r="C245">
        <v>0.16400000000000001</v>
      </c>
      <c r="D245">
        <v>1E-3</v>
      </c>
      <c r="E245">
        <v>2.48276359317488E-86</v>
      </c>
      <c r="F245">
        <v>1</v>
      </c>
      <c r="G245" t="s">
        <v>732</v>
      </c>
      <c r="H245" t="s">
        <v>733</v>
      </c>
      <c r="I245" t="str">
        <f>HYPERLINK("https://zfin.org/ZDB-GENE-050220-7")</f>
        <v>https://zfin.org/ZDB-GENE-050220-7</v>
      </c>
      <c r="J245" t="s">
        <v>734</v>
      </c>
    </row>
    <row r="246" spans="1:10" x14ac:dyDescent="0.2">
      <c r="A246">
        <v>2.9872710035694201E-90</v>
      </c>
      <c r="B246">
        <v>0.77331708597200599</v>
      </c>
      <c r="C246">
        <v>0.69299999999999995</v>
      </c>
      <c r="D246">
        <v>9.6000000000000002E-2</v>
      </c>
      <c r="E246">
        <v>4.1517092407607798E-86</v>
      </c>
      <c r="F246">
        <v>1</v>
      </c>
      <c r="G246" t="s">
        <v>735</v>
      </c>
      <c r="H246" t="s">
        <v>736</v>
      </c>
      <c r="I246" t="str">
        <f>HYPERLINK("https://zfin.org/ZDB-GENE-050522-323")</f>
        <v>https://zfin.org/ZDB-GENE-050522-323</v>
      </c>
      <c r="J246" t="s">
        <v>737</v>
      </c>
    </row>
    <row r="247" spans="1:10" x14ac:dyDescent="0.2">
      <c r="A247">
        <v>3.7585918217391299E-90</v>
      </c>
      <c r="B247">
        <v>0.498798641485248</v>
      </c>
      <c r="C247">
        <v>0.39300000000000002</v>
      </c>
      <c r="D247">
        <v>2.8000000000000001E-2</v>
      </c>
      <c r="E247">
        <v>5.2236909138530398E-86</v>
      </c>
      <c r="F247">
        <v>1</v>
      </c>
      <c r="G247" t="s">
        <v>738</v>
      </c>
      <c r="H247" t="s">
        <v>739</v>
      </c>
      <c r="I247" t="str">
        <f>HYPERLINK("https://zfin.org/")</f>
        <v>https://zfin.org/</v>
      </c>
    </row>
    <row r="248" spans="1:10" x14ac:dyDescent="0.2">
      <c r="A248">
        <v>8.7876921493198706E-90</v>
      </c>
      <c r="B248">
        <v>1.3580106040920601</v>
      </c>
      <c r="C248">
        <v>0.99299999999999999</v>
      </c>
      <c r="D248">
        <v>0.36</v>
      </c>
      <c r="E248">
        <v>1.22131345491248E-85</v>
      </c>
      <c r="F248">
        <v>1</v>
      </c>
      <c r="G248" t="s">
        <v>740</v>
      </c>
      <c r="H248" t="s">
        <v>741</v>
      </c>
      <c r="I248" t="str">
        <f>HYPERLINK("https://zfin.org/ZDB-GENE-040426-1986")</f>
        <v>https://zfin.org/ZDB-GENE-040426-1986</v>
      </c>
      <c r="J248" t="s">
        <v>742</v>
      </c>
    </row>
    <row r="249" spans="1:10" x14ac:dyDescent="0.2">
      <c r="A249">
        <v>5.4792666919897799E-89</v>
      </c>
      <c r="B249">
        <v>3.9034746335974702</v>
      </c>
      <c r="C249">
        <v>1</v>
      </c>
      <c r="D249">
        <v>0.90300000000000002</v>
      </c>
      <c r="E249">
        <v>7.6150848485273905E-85</v>
      </c>
      <c r="F249">
        <v>1</v>
      </c>
      <c r="G249" t="s">
        <v>743</v>
      </c>
      <c r="H249" t="s">
        <v>744</v>
      </c>
      <c r="I249" t="str">
        <f>HYPERLINK("https://zfin.org/ZDB-GENE-050320-61")</f>
        <v>https://zfin.org/ZDB-GENE-050320-61</v>
      </c>
      <c r="J249" t="s">
        <v>745</v>
      </c>
    </row>
    <row r="250" spans="1:10" x14ac:dyDescent="0.2">
      <c r="A250">
        <v>6.1580665375717097E-89</v>
      </c>
      <c r="B250">
        <v>0.59092917325954097</v>
      </c>
      <c r="C250">
        <v>0.371</v>
      </c>
      <c r="D250">
        <v>2.5000000000000001E-2</v>
      </c>
      <c r="E250">
        <v>8.5584808739171595E-85</v>
      </c>
      <c r="F250">
        <v>1</v>
      </c>
      <c r="G250" t="s">
        <v>746</v>
      </c>
      <c r="H250" t="s">
        <v>747</v>
      </c>
      <c r="I250" t="str">
        <f>HYPERLINK("https://zfin.org/ZDB-GENE-040718-278")</f>
        <v>https://zfin.org/ZDB-GENE-040718-278</v>
      </c>
      <c r="J250" t="s">
        <v>748</v>
      </c>
    </row>
    <row r="251" spans="1:10" x14ac:dyDescent="0.2">
      <c r="A251">
        <v>9.8588593680449497E-89</v>
      </c>
      <c r="B251">
        <v>2.9102643918878699</v>
      </c>
      <c r="C251">
        <v>1</v>
      </c>
      <c r="D251">
        <v>0.753</v>
      </c>
      <c r="E251">
        <v>1.3701842749708901E-84</v>
      </c>
      <c r="F251">
        <v>1</v>
      </c>
      <c r="G251" t="s">
        <v>749</v>
      </c>
      <c r="H251" t="s">
        <v>750</v>
      </c>
      <c r="I251" t="str">
        <f>HYPERLINK("https://zfin.org/ZDB-GENE-050522-428")</f>
        <v>https://zfin.org/ZDB-GENE-050522-428</v>
      </c>
      <c r="J251" t="s">
        <v>751</v>
      </c>
    </row>
    <row r="252" spans="1:10" x14ac:dyDescent="0.2">
      <c r="A252">
        <v>4.9460502551476802E-88</v>
      </c>
      <c r="B252">
        <v>3.5589735849134398</v>
      </c>
      <c r="C252">
        <v>1</v>
      </c>
      <c r="D252">
        <v>0.998</v>
      </c>
      <c r="E252">
        <v>6.8740206446042497E-84</v>
      </c>
      <c r="F252">
        <v>1</v>
      </c>
      <c r="G252" t="s">
        <v>752</v>
      </c>
      <c r="H252" t="s">
        <v>753</v>
      </c>
      <c r="I252" t="str">
        <f>HYPERLINK("https://zfin.org/ZDB-GENE-030805-3")</f>
        <v>https://zfin.org/ZDB-GENE-030805-3</v>
      </c>
      <c r="J252" t="s">
        <v>754</v>
      </c>
    </row>
    <row r="253" spans="1:10" x14ac:dyDescent="0.2">
      <c r="A253">
        <v>5.4212390183947403E-88</v>
      </c>
      <c r="B253">
        <v>0.27918248060607997</v>
      </c>
      <c r="C253">
        <v>0.17100000000000001</v>
      </c>
      <c r="D253">
        <v>2E-3</v>
      </c>
      <c r="E253">
        <v>7.53443798776501E-84</v>
      </c>
      <c r="F253">
        <v>1</v>
      </c>
      <c r="G253" t="s">
        <v>755</v>
      </c>
      <c r="H253" t="s">
        <v>756</v>
      </c>
      <c r="I253" t="str">
        <f>HYPERLINK("https://zfin.org/ZDB-GENE-030131-8003")</f>
        <v>https://zfin.org/ZDB-GENE-030131-8003</v>
      </c>
      <c r="J253" t="s">
        <v>757</v>
      </c>
    </row>
    <row r="254" spans="1:10" x14ac:dyDescent="0.2">
      <c r="A254">
        <v>8.6838138413142701E-88</v>
      </c>
      <c r="B254">
        <v>1.6294962860267499</v>
      </c>
      <c r="C254">
        <v>1</v>
      </c>
      <c r="D254">
        <v>0.39900000000000002</v>
      </c>
      <c r="E254">
        <v>1.2068764476658601E-83</v>
      </c>
      <c r="F254">
        <v>1</v>
      </c>
      <c r="G254" t="s">
        <v>758</v>
      </c>
      <c r="H254" t="s">
        <v>759</v>
      </c>
      <c r="I254" t="str">
        <f>HYPERLINK("https://zfin.org/ZDB-GENE-041114-67")</f>
        <v>https://zfin.org/ZDB-GENE-041114-67</v>
      </c>
      <c r="J254" t="s">
        <v>760</v>
      </c>
    </row>
    <row r="255" spans="1:10" x14ac:dyDescent="0.2">
      <c r="A255">
        <v>9.0081431639133799E-88</v>
      </c>
      <c r="B255">
        <v>0.35563067427259598</v>
      </c>
      <c r="C255">
        <v>0.24299999999999999</v>
      </c>
      <c r="D255">
        <v>8.0000000000000002E-3</v>
      </c>
      <c r="E255">
        <v>1.25195173692068E-83</v>
      </c>
      <c r="F255">
        <v>1</v>
      </c>
      <c r="G255" t="s">
        <v>761</v>
      </c>
      <c r="H255" t="s">
        <v>762</v>
      </c>
      <c r="I255" t="str">
        <f>HYPERLINK("https://zfin.org/ZDB-GENE-111214-1")</f>
        <v>https://zfin.org/ZDB-GENE-111214-1</v>
      </c>
      <c r="J255" t="s">
        <v>763</v>
      </c>
    </row>
    <row r="256" spans="1:10" x14ac:dyDescent="0.2">
      <c r="A256">
        <v>2.1452009457112802E-87</v>
      </c>
      <c r="B256">
        <v>1.7732793156194699</v>
      </c>
      <c r="C256">
        <v>1</v>
      </c>
      <c r="D256">
        <v>0.50800000000000001</v>
      </c>
      <c r="E256">
        <v>2.98140027434953E-83</v>
      </c>
      <c r="F256">
        <v>1</v>
      </c>
      <c r="G256" t="s">
        <v>764</v>
      </c>
      <c r="H256" t="s">
        <v>765</v>
      </c>
      <c r="I256" t="str">
        <f>HYPERLINK("https://zfin.org/ZDB-GENE-030131-5590")</f>
        <v>https://zfin.org/ZDB-GENE-030131-5590</v>
      </c>
      <c r="J256" t="s">
        <v>766</v>
      </c>
    </row>
    <row r="257" spans="1:10" x14ac:dyDescent="0.2">
      <c r="A257">
        <v>4.21173884003341E-87</v>
      </c>
      <c r="B257">
        <v>0.26607179634919598</v>
      </c>
      <c r="C257">
        <v>0.16400000000000001</v>
      </c>
      <c r="D257">
        <v>2E-3</v>
      </c>
      <c r="E257">
        <v>5.85347463987844E-83</v>
      </c>
      <c r="F257">
        <v>1</v>
      </c>
      <c r="G257" t="s">
        <v>767</v>
      </c>
      <c r="H257" t="s">
        <v>768</v>
      </c>
      <c r="I257" t="str">
        <f>HYPERLINK("https://zfin.org/ZDB-GENE-070209-41")</f>
        <v>https://zfin.org/ZDB-GENE-070209-41</v>
      </c>
      <c r="J257" t="s">
        <v>769</v>
      </c>
    </row>
    <row r="258" spans="1:10" x14ac:dyDescent="0.2">
      <c r="A258">
        <v>4.9641995071744602E-87</v>
      </c>
      <c r="B258">
        <v>0.29646584381922902</v>
      </c>
      <c r="C258">
        <v>0.16400000000000001</v>
      </c>
      <c r="D258">
        <v>2E-3</v>
      </c>
      <c r="E258">
        <v>6.8992444750710694E-83</v>
      </c>
      <c r="F258">
        <v>1</v>
      </c>
      <c r="G258" t="s">
        <v>770</v>
      </c>
      <c r="H258" t="s">
        <v>771</v>
      </c>
      <c r="I258" t="str">
        <f>HYPERLINK("https://zfin.org/ZDB-GENE-041015-747")</f>
        <v>https://zfin.org/ZDB-GENE-041015-747</v>
      </c>
      <c r="J258" t="s">
        <v>772</v>
      </c>
    </row>
    <row r="259" spans="1:10" x14ac:dyDescent="0.2">
      <c r="A259">
        <v>7.6154854837782397E-87</v>
      </c>
      <c r="B259">
        <v>0.384221814264253</v>
      </c>
      <c r="C259">
        <v>0.3</v>
      </c>
      <c r="D259">
        <v>1.4999999999999999E-2</v>
      </c>
      <c r="E259">
        <v>1.0584001725355E-82</v>
      </c>
      <c r="F259">
        <v>1</v>
      </c>
      <c r="G259" t="s">
        <v>773</v>
      </c>
      <c r="H259" t="s">
        <v>774</v>
      </c>
      <c r="I259" t="str">
        <f>HYPERLINK("https://zfin.org/ZDB-GENE-040704-49")</f>
        <v>https://zfin.org/ZDB-GENE-040704-49</v>
      </c>
      <c r="J259" t="s">
        <v>775</v>
      </c>
    </row>
    <row r="260" spans="1:10" x14ac:dyDescent="0.2">
      <c r="A260">
        <v>8.0920373080131404E-87</v>
      </c>
      <c r="B260">
        <v>0.79047723585532204</v>
      </c>
      <c r="C260">
        <v>0.71399999999999997</v>
      </c>
      <c r="D260">
        <v>0.107</v>
      </c>
      <c r="E260">
        <v>1.12463134506767E-82</v>
      </c>
      <c r="F260">
        <v>1</v>
      </c>
      <c r="G260" t="s">
        <v>776</v>
      </c>
      <c r="H260" t="s">
        <v>777</v>
      </c>
      <c r="I260" t="str">
        <f>HYPERLINK("https://zfin.org/ZDB-GENE-040426-1310")</f>
        <v>https://zfin.org/ZDB-GENE-040426-1310</v>
      </c>
      <c r="J260" t="s">
        <v>778</v>
      </c>
    </row>
    <row r="261" spans="1:10" x14ac:dyDescent="0.2">
      <c r="A261">
        <v>2.1392832718623901E-86</v>
      </c>
      <c r="B261">
        <v>0.28286961226648399</v>
      </c>
      <c r="C261">
        <v>0.17899999999999999</v>
      </c>
      <c r="D261">
        <v>3.0000000000000001E-3</v>
      </c>
      <c r="E261">
        <v>2.9731758912343397E-82</v>
      </c>
      <c r="F261">
        <v>1</v>
      </c>
      <c r="G261" t="s">
        <v>779</v>
      </c>
      <c r="H261" t="s">
        <v>780</v>
      </c>
      <c r="I261" t="str">
        <f>HYPERLINK("https://zfin.org/")</f>
        <v>https://zfin.org/</v>
      </c>
    </row>
    <row r="262" spans="1:10" x14ac:dyDescent="0.2">
      <c r="A262">
        <v>3.7177886966400402E-86</v>
      </c>
      <c r="B262">
        <v>1.1436230749933001</v>
      </c>
      <c r="C262">
        <v>0.80700000000000005</v>
      </c>
      <c r="D262">
        <v>0.14799999999999999</v>
      </c>
      <c r="E262">
        <v>5.1669827305903298E-82</v>
      </c>
      <c r="F262">
        <v>1</v>
      </c>
      <c r="G262" t="s">
        <v>781</v>
      </c>
      <c r="H262" t="s">
        <v>782</v>
      </c>
      <c r="I262" t="str">
        <f>HYPERLINK("https://zfin.org/ZDB-GENE-030131-3231")</f>
        <v>https://zfin.org/ZDB-GENE-030131-3231</v>
      </c>
      <c r="J262" t="s">
        <v>783</v>
      </c>
    </row>
    <row r="263" spans="1:10" x14ac:dyDescent="0.2">
      <c r="A263">
        <v>1.07528750834301E-85</v>
      </c>
      <c r="B263">
        <v>0.32402521110794102</v>
      </c>
      <c r="C263">
        <v>0.24299999999999999</v>
      </c>
      <c r="D263">
        <v>8.9999999999999993E-3</v>
      </c>
      <c r="E263">
        <v>1.4944345790951101E-81</v>
      </c>
      <c r="F263">
        <v>1</v>
      </c>
      <c r="G263" t="s">
        <v>784</v>
      </c>
      <c r="H263" t="s">
        <v>785</v>
      </c>
      <c r="I263" t="str">
        <f>HYPERLINK("https://zfin.org/ZDB-GENE-050417-103")</f>
        <v>https://zfin.org/ZDB-GENE-050417-103</v>
      </c>
      <c r="J263" t="s">
        <v>786</v>
      </c>
    </row>
    <row r="264" spans="1:10" x14ac:dyDescent="0.2">
      <c r="A264">
        <v>4.00047605750902E-85</v>
      </c>
      <c r="B264">
        <v>0.72421365948230798</v>
      </c>
      <c r="C264">
        <v>0.57099999999999995</v>
      </c>
      <c r="D264">
        <v>6.8000000000000005E-2</v>
      </c>
      <c r="E264">
        <v>5.5598616247260402E-81</v>
      </c>
      <c r="F264">
        <v>1</v>
      </c>
      <c r="G264" t="s">
        <v>787</v>
      </c>
      <c r="H264" t="s">
        <v>788</v>
      </c>
      <c r="I264" t="str">
        <f>HYPERLINK("https://zfin.org/ZDB-GENE-000210-35")</f>
        <v>https://zfin.org/ZDB-GENE-000210-35</v>
      </c>
      <c r="J264" t="s">
        <v>789</v>
      </c>
    </row>
    <row r="265" spans="1:10" x14ac:dyDescent="0.2">
      <c r="A265">
        <v>5.0560870258089202E-85</v>
      </c>
      <c r="B265">
        <v>1.2235401419620899</v>
      </c>
      <c r="C265">
        <v>0.95699999999999996</v>
      </c>
      <c r="D265">
        <v>0.26100000000000001</v>
      </c>
      <c r="E265">
        <v>7.0269497484692397E-81</v>
      </c>
      <c r="F265">
        <v>1</v>
      </c>
      <c r="G265" t="s">
        <v>790</v>
      </c>
      <c r="H265" t="s">
        <v>791</v>
      </c>
      <c r="I265" t="str">
        <f>HYPERLINK("https://zfin.org/ZDB-GENE-060331-97")</f>
        <v>https://zfin.org/ZDB-GENE-060331-97</v>
      </c>
      <c r="J265" t="s">
        <v>792</v>
      </c>
    </row>
    <row r="266" spans="1:10" x14ac:dyDescent="0.2">
      <c r="A266">
        <v>1.0565112904848201E-84</v>
      </c>
      <c r="B266">
        <v>0.25646668224057201</v>
      </c>
      <c r="C266">
        <v>0.14299999999999999</v>
      </c>
      <c r="D266">
        <v>1E-3</v>
      </c>
      <c r="E266">
        <v>1.4683393915158E-80</v>
      </c>
      <c r="F266">
        <v>1</v>
      </c>
      <c r="G266" t="s">
        <v>793</v>
      </c>
      <c r="H266" t="s">
        <v>794</v>
      </c>
      <c r="I266" t="str">
        <f>HYPERLINK("https://zfin.org/ZDB-GENE-070912-489")</f>
        <v>https://zfin.org/ZDB-GENE-070912-489</v>
      </c>
      <c r="J266" t="s">
        <v>795</v>
      </c>
    </row>
    <row r="267" spans="1:10" x14ac:dyDescent="0.2">
      <c r="A267">
        <v>9.1812133636377905E-84</v>
      </c>
      <c r="B267">
        <v>0.60006123204093598</v>
      </c>
      <c r="C267">
        <v>0.45700000000000002</v>
      </c>
      <c r="D267">
        <v>4.2999999999999997E-2</v>
      </c>
      <c r="E267">
        <v>1.2760050332783801E-79</v>
      </c>
      <c r="F267">
        <v>1</v>
      </c>
      <c r="G267" t="s">
        <v>796</v>
      </c>
      <c r="H267" t="s">
        <v>797</v>
      </c>
      <c r="I267" t="str">
        <f>HYPERLINK("https://zfin.org/ZDB-GENE-030616-616")</f>
        <v>https://zfin.org/ZDB-GENE-030616-616</v>
      </c>
      <c r="J267" t="s">
        <v>798</v>
      </c>
    </row>
    <row r="268" spans="1:10" x14ac:dyDescent="0.2">
      <c r="A268">
        <v>1.6193424531649401E-82</v>
      </c>
      <c r="B268">
        <v>0.62181443396910796</v>
      </c>
      <c r="C268">
        <v>0.50700000000000001</v>
      </c>
      <c r="D268">
        <v>5.5E-2</v>
      </c>
      <c r="E268">
        <v>2.2505621414086302E-78</v>
      </c>
      <c r="F268">
        <v>1</v>
      </c>
      <c r="G268" t="s">
        <v>799</v>
      </c>
      <c r="H268" t="s">
        <v>800</v>
      </c>
      <c r="I268" t="str">
        <f>HYPERLINK("https://zfin.org/ZDB-GENE-070112-2282")</f>
        <v>https://zfin.org/ZDB-GENE-070112-2282</v>
      </c>
      <c r="J268" t="s">
        <v>801</v>
      </c>
    </row>
    <row r="269" spans="1:10" x14ac:dyDescent="0.2">
      <c r="A269">
        <v>3.7173825843901599E-82</v>
      </c>
      <c r="B269">
        <v>0.353837338077097</v>
      </c>
      <c r="C269">
        <v>0.27100000000000002</v>
      </c>
      <c r="D269">
        <v>1.2999999999999999E-2</v>
      </c>
      <c r="E269">
        <v>5.1664183157854401E-78</v>
      </c>
      <c r="F269">
        <v>1</v>
      </c>
      <c r="G269" t="s">
        <v>802</v>
      </c>
      <c r="H269" t="s">
        <v>803</v>
      </c>
      <c r="I269" t="str">
        <f>HYPERLINK("https://zfin.org/")</f>
        <v>https://zfin.org/</v>
      </c>
    </row>
    <row r="270" spans="1:10" x14ac:dyDescent="0.2">
      <c r="A270">
        <v>5.07963758105638E-82</v>
      </c>
      <c r="B270">
        <v>0.44314263250401098</v>
      </c>
      <c r="C270">
        <v>0.27900000000000003</v>
      </c>
      <c r="D270">
        <v>1.4E-2</v>
      </c>
      <c r="E270">
        <v>7.0596803101521502E-78</v>
      </c>
      <c r="F270">
        <v>1</v>
      </c>
      <c r="G270" t="s">
        <v>804</v>
      </c>
      <c r="H270" t="s">
        <v>805</v>
      </c>
      <c r="I270" t="str">
        <f>HYPERLINK("https://zfin.org/ZDB-GENE-070705-199")</f>
        <v>https://zfin.org/ZDB-GENE-070705-199</v>
      </c>
      <c r="J270" t="s">
        <v>806</v>
      </c>
    </row>
    <row r="271" spans="1:10" x14ac:dyDescent="0.2">
      <c r="A271">
        <v>5.4315730632824403E-82</v>
      </c>
      <c r="B271">
        <v>1.4410786436017999</v>
      </c>
      <c r="C271">
        <v>1</v>
      </c>
      <c r="D271">
        <v>0.57099999999999995</v>
      </c>
      <c r="E271">
        <v>7.5488002433499296E-78</v>
      </c>
      <c r="F271">
        <v>1</v>
      </c>
      <c r="G271" t="s">
        <v>807</v>
      </c>
      <c r="H271" t="s">
        <v>808</v>
      </c>
      <c r="I271" t="str">
        <f>HYPERLINK("https://zfin.org/ZDB-GENE-020913-1")</f>
        <v>https://zfin.org/ZDB-GENE-020913-1</v>
      </c>
      <c r="J271" t="s">
        <v>809</v>
      </c>
    </row>
    <row r="272" spans="1:10" x14ac:dyDescent="0.2">
      <c r="A272">
        <v>6.0106138547766701E-82</v>
      </c>
      <c r="B272">
        <v>0.33420347110965498</v>
      </c>
      <c r="C272">
        <v>0.193</v>
      </c>
      <c r="D272">
        <v>4.0000000000000001E-3</v>
      </c>
      <c r="E272">
        <v>8.3535511353686201E-78</v>
      </c>
      <c r="F272">
        <v>1</v>
      </c>
      <c r="G272" t="s">
        <v>810</v>
      </c>
      <c r="H272" t="s">
        <v>811</v>
      </c>
      <c r="I272" t="str">
        <f>HYPERLINK("https://zfin.org/ZDB-GENE-061013-512")</f>
        <v>https://zfin.org/ZDB-GENE-061013-512</v>
      </c>
      <c r="J272" t="s">
        <v>812</v>
      </c>
    </row>
    <row r="273" spans="1:10" x14ac:dyDescent="0.2">
      <c r="A273">
        <v>1.0561560007525501E-81</v>
      </c>
      <c r="B273">
        <v>0.36782582449278201</v>
      </c>
      <c r="C273">
        <v>0.22900000000000001</v>
      </c>
      <c r="D273">
        <v>8.0000000000000002E-3</v>
      </c>
      <c r="E273">
        <v>1.4678456098459E-77</v>
      </c>
      <c r="F273">
        <v>1</v>
      </c>
      <c r="G273" t="s">
        <v>813</v>
      </c>
      <c r="H273" t="s">
        <v>814</v>
      </c>
      <c r="I273" t="str">
        <f>HYPERLINK("https://zfin.org/ZDB-GENE-030131-574")</f>
        <v>https://zfin.org/ZDB-GENE-030131-574</v>
      </c>
      <c r="J273" t="s">
        <v>815</v>
      </c>
    </row>
    <row r="274" spans="1:10" x14ac:dyDescent="0.2">
      <c r="A274">
        <v>1.3355576388283499E-81</v>
      </c>
      <c r="B274">
        <v>0.85822121408891405</v>
      </c>
      <c r="C274">
        <v>0.83599999999999997</v>
      </c>
      <c r="D274">
        <v>0.154</v>
      </c>
      <c r="E274">
        <v>1.8561580064436501E-77</v>
      </c>
      <c r="F274">
        <v>1</v>
      </c>
      <c r="G274" t="s">
        <v>816</v>
      </c>
      <c r="H274" t="s">
        <v>817</v>
      </c>
      <c r="I274" t="str">
        <f>HYPERLINK("https://zfin.org/ZDB-GENE-050417-175")</f>
        <v>https://zfin.org/ZDB-GENE-050417-175</v>
      </c>
      <c r="J274" t="s">
        <v>818</v>
      </c>
    </row>
    <row r="275" spans="1:10" x14ac:dyDescent="0.2">
      <c r="A275">
        <v>5.3520450568540299E-81</v>
      </c>
      <c r="B275">
        <v>0.27602841520420801</v>
      </c>
      <c r="C275">
        <v>0.17899999999999999</v>
      </c>
      <c r="D275">
        <v>3.0000000000000001E-3</v>
      </c>
      <c r="E275">
        <v>7.4382722200157393E-77</v>
      </c>
      <c r="F275">
        <v>1</v>
      </c>
      <c r="G275" t="s">
        <v>819</v>
      </c>
      <c r="H275" t="s">
        <v>820</v>
      </c>
      <c r="I275" t="str">
        <f>HYPERLINK("https://zfin.org/ZDB-GENE-050309-170")</f>
        <v>https://zfin.org/ZDB-GENE-050309-170</v>
      </c>
      <c r="J275" t="s">
        <v>821</v>
      </c>
    </row>
    <row r="276" spans="1:10" x14ac:dyDescent="0.2">
      <c r="A276">
        <v>7.1919979832639698E-81</v>
      </c>
      <c r="B276">
        <v>0.483697839837199</v>
      </c>
      <c r="C276">
        <v>0.379</v>
      </c>
      <c r="D276">
        <v>2.9000000000000001E-2</v>
      </c>
      <c r="E276">
        <v>9.9954387971402701E-77</v>
      </c>
      <c r="F276">
        <v>1</v>
      </c>
      <c r="G276" t="s">
        <v>822</v>
      </c>
      <c r="H276" t="s">
        <v>823</v>
      </c>
      <c r="I276" t="str">
        <f>HYPERLINK("https://zfin.org/ZDB-GENE-040718-280")</f>
        <v>https://zfin.org/ZDB-GENE-040718-280</v>
      </c>
      <c r="J276" t="s">
        <v>824</v>
      </c>
    </row>
    <row r="277" spans="1:10" x14ac:dyDescent="0.2">
      <c r="A277">
        <v>8.0254591150241302E-81</v>
      </c>
      <c r="B277">
        <v>0.25278922997175002</v>
      </c>
      <c r="C277">
        <v>0.17899999999999999</v>
      </c>
      <c r="D277">
        <v>3.0000000000000001E-3</v>
      </c>
      <c r="E277">
        <v>1.11537830780605E-76</v>
      </c>
      <c r="F277">
        <v>1</v>
      </c>
      <c r="G277" t="s">
        <v>825</v>
      </c>
      <c r="H277" t="s">
        <v>826</v>
      </c>
      <c r="I277" t="str">
        <f>HYPERLINK("https://zfin.org/ZDB-GENE-040718-160")</f>
        <v>https://zfin.org/ZDB-GENE-040718-160</v>
      </c>
      <c r="J277" t="s">
        <v>827</v>
      </c>
    </row>
    <row r="278" spans="1:10" x14ac:dyDescent="0.2">
      <c r="A278">
        <v>3.9372702552974498E-80</v>
      </c>
      <c r="B278">
        <v>0.32008306670948999</v>
      </c>
      <c r="C278">
        <v>0.186</v>
      </c>
      <c r="D278">
        <v>4.0000000000000001E-3</v>
      </c>
      <c r="E278">
        <v>5.4720182008123901E-76</v>
      </c>
      <c r="F278">
        <v>1</v>
      </c>
      <c r="G278" t="s">
        <v>828</v>
      </c>
      <c r="H278" t="s">
        <v>829</v>
      </c>
      <c r="I278" t="str">
        <f>HYPERLINK("https://zfin.org/ZDB-GENE-030131-3633")</f>
        <v>https://zfin.org/ZDB-GENE-030131-3633</v>
      </c>
      <c r="J278" t="s">
        <v>830</v>
      </c>
    </row>
    <row r="279" spans="1:10" x14ac:dyDescent="0.2">
      <c r="A279">
        <v>6.4371507822275296E-80</v>
      </c>
      <c r="B279">
        <v>0.32134223838136999</v>
      </c>
      <c r="C279">
        <v>0.22900000000000001</v>
      </c>
      <c r="D279">
        <v>8.0000000000000002E-3</v>
      </c>
      <c r="E279">
        <v>8.9463521571398095E-76</v>
      </c>
      <c r="F279">
        <v>1</v>
      </c>
      <c r="G279" t="s">
        <v>831</v>
      </c>
      <c r="H279" t="s">
        <v>832</v>
      </c>
      <c r="I279" t="str">
        <f>HYPERLINK("https://zfin.org/ZDB-GENE-041210-345")</f>
        <v>https://zfin.org/ZDB-GENE-041210-345</v>
      </c>
      <c r="J279" t="s">
        <v>833</v>
      </c>
    </row>
    <row r="280" spans="1:10" x14ac:dyDescent="0.2">
      <c r="A280">
        <v>7.9922000349082493E-80</v>
      </c>
      <c r="B280">
        <v>0.35323359481202299</v>
      </c>
      <c r="C280">
        <v>0.221</v>
      </c>
      <c r="D280">
        <v>7.0000000000000001E-3</v>
      </c>
      <c r="E280">
        <v>1.1107559608515501E-75</v>
      </c>
      <c r="F280">
        <v>1</v>
      </c>
      <c r="G280" t="s">
        <v>834</v>
      </c>
      <c r="H280" t="s">
        <v>835</v>
      </c>
      <c r="I280" t="str">
        <f>HYPERLINK("https://zfin.org/ZDB-GENE-050417-271")</f>
        <v>https://zfin.org/ZDB-GENE-050417-271</v>
      </c>
      <c r="J280" t="s">
        <v>836</v>
      </c>
    </row>
    <row r="281" spans="1:10" x14ac:dyDescent="0.2">
      <c r="A281">
        <v>1.5788826227074401E-79</v>
      </c>
      <c r="B281">
        <v>0.28970440079229398</v>
      </c>
      <c r="C281">
        <v>0.2</v>
      </c>
      <c r="D281">
        <v>5.0000000000000001E-3</v>
      </c>
      <c r="E281">
        <v>2.1943310690388E-75</v>
      </c>
      <c r="F281">
        <v>1</v>
      </c>
      <c r="G281" t="s">
        <v>837</v>
      </c>
      <c r="H281" t="s">
        <v>838</v>
      </c>
      <c r="I281" t="str">
        <f>HYPERLINK("https://zfin.org/ZDB-GENE-070705-311")</f>
        <v>https://zfin.org/ZDB-GENE-070705-311</v>
      </c>
      <c r="J281" t="s">
        <v>839</v>
      </c>
    </row>
    <row r="282" spans="1:10" x14ac:dyDescent="0.2">
      <c r="A282">
        <v>1.77407409570909E-79</v>
      </c>
      <c r="B282">
        <v>0.27796928361727202</v>
      </c>
      <c r="C282">
        <v>0.2</v>
      </c>
      <c r="D282">
        <v>5.0000000000000001E-3</v>
      </c>
      <c r="E282">
        <v>2.4656081782164899E-75</v>
      </c>
      <c r="F282">
        <v>1</v>
      </c>
      <c r="G282" t="s">
        <v>840</v>
      </c>
      <c r="H282" t="s">
        <v>841</v>
      </c>
      <c r="I282" t="str">
        <f>HYPERLINK("https://zfin.org/ZDB-GENE-060503-312")</f>
        <v>https://zfin.org/ZDB-GENE-060503-312</v>
      </c>
      <c r="J282" t="s">
        <v>842</v>
      </c>
    </row>
    <row r="283" spans="1:10" x14ac:dyDescent="0.2">
      <c r="A283">
        <v>8.2251019117660805E-79</v>
      </c>
      <c r="B283">
        <v>0.67457537876085605</v>
      </c>
      <c r="C283">
        <v>0.59299999999999997</v>
      </c>
      <c r="D283">
        <v>7.9000000000000001E-2</v>
      </c>
      <c r="E283">
        <v>1.14312466369725E-74</v>
      </c>
      <c r="F283">
        <v>1</v>
      </c>
      <c r="G283" t="s">
        <v>843</v>
      </c>
      <c r="H283" t="s">
        <v>844</v>
      </c>
      <c r="I283" t="str">
        <f>HYPERLINK("https://zfin.org/ZDB-GENE-030131-8451")</f>
        <v>https://zfin.org/ZDB-GENE-030131-8451</v>
      </c>
      <c r="J283" t="s">
        <v>845</v>
      </c>
    </row>
    <row r="284" spans="1:10" x14ac:dyDescent="0.2">
      <c r="A284">
        <v>1.4200563571358401E-78</v>
      </c>
      <c r="B284">
        <v>0.365622449923105</v>
      </c>
      <c r="C284">
        <v>0.24299999999999999</v>
      </c>
      <c r="D284">
        <v>0.01</v>
      </c>
      <c r="E284">
        <v>1.9735943251473898E-74</v>
      </c>
      <c r="F284">
        <v>1</v>
      </c>
      <c r="G284" t="s">
        <v>846</v>
      </c>
      <c r="H284" t="s">
        <v>847</v>
      </c>
      <c r="I284" t="str">
        <f>HYPERLINK("https://zfin.org/ZDB-GENE-041010-163")</f>
        <v>https://zfin.org/ZDB-GENE-041010-163</v>
      </c>
      <c r="J284" t="s">
        <v>848</v>
      </c>
    </row>
    <row r="285" spans="1:10" x14ac:dyDescent="0.2">
      <c r="A285">
        <v>1.6770392526442799E-78</v>
      </c>
      <c r="B285">
        <v>-1.5055665721809099</v>
      </c>
      <c r="C285">
        <v>0.97899999999999998</v>
      </c>
      <c r="D285">
        <v>0.995</v>
      </c>
      <c r="E285">
        <v>2.3307491533250199E-74</v>
      </c>
      <c r="F285">
        <v>1</v>
      </c>
      <c r="G285" t="s">
        <v>849</v>
      </c>
      <c r="H285" t="s">
        <v>850</v>
      </c>
      <c r="I285" t="str">
        <f>HYPERLINK("https://zfin.org/ZDB-GENE-040426-2209")</f>
        <v>https://zfin.org/ZDB-GENE-040426-2209</v>
      </c>
      <c r="J285" t="s">
        <v>851</v>
      </c>
    </row>
    <row r="286" spans="1:10" x14ac:dyDescent="0.2">
      <c r="A286">
        <v>2.4695376445705599E-78</v>
      </c>
      <c r="B286">
        <v>0.381186260890991</v>
      </c>
      <c r="C286">
        <v>0.221</v>
      </c>
      <c r="D286">
        <v>8.0000000000000002E-3</v>
      </c>
      <c r="E286">
        <v>3.43216341842417E-74</v>
      </c>
      <c r="F286">
        <v>1</v>
      </c>
      <c r="G286" t="s">
        <v>852</v>
      </c>
      <c r="H286" t="s">
        <v>853</v>
      </c>
      <c r="I286" t="str">
        <f>HYPERLINK("https://zfin.org/ZDB-GENE-040910-5")</f>
        <v>https://zfin.org/ZDB-GENE-040910-5</v>
      </c>
      <c r="J286" t="s">
        <v>854</v>
      </c>
    </row>
    <row r="287" spans="1:10" x14ac:dyDescent="0.2">
      <c r="A287">
        <v>7.75402478019006E-78</v>
      </c>
      <c r="B287">
        <v>0.44424118008916702</v>
      </c>
      <c r="C287">
        <v>0.214</v>
      </c>
      <c r="D287">
        <v>7.0000000000000001E-3</v>
      </c>
      <c r="E287">
        <v>1.07765436395081E-73</v>
      </c>
      <c r="F287">
        <v>1</v>
      </c>
      <c r="G287" t="s">
        <v>855</v>
      </c>
      <c r="H287" t="s">
        <v>856</v>
      </c>
      <c r="I287" t="str">
        <f>HYPERLINK("https://zfin.org/ZDB-GENE-091204-123")</f>
        <v>https://zfin.org/ZDB-GENE-091204-123</v>
      </c>
      <c r="J287" t="s">
        <v>857</v>
      </c>
    </row>
    <row r="288" spans="1:10" x14ac:dyDescent="0.2">
      <c r="A288">
        <v>1.2181739079715001E-77</v>
      </c>
      <c r="B288">
        <v>0.36232758807804799</v>
      </c>
      <c r="C288">
        <v>0.193</v>
      </c>
      <c r="D288">
        <v>5.0000000000000001E-3</v>
      </c>
      <c r="E288">
        <v>1.69301809729879E-73</v>
      </c>
      <c r="F288">
        <v>1</v>
      </c>
      <c r="G288" t="s">
        <v>858</v>
      </c>
      <c r="H288" t="s">
        <v>859</v>
      </c>
      <c r="I288" t="str">
        <f>HYPERLINK("https://zfin.org/ZDB-GENE-101001-4")</f>
        <v>https://zfin.org/ZDB-GENE-101001-4</v>
      </c>
      <c r="J288" t="s">
        <v>860</v>
      </c>
    </row>
    <row r="289" spans="1:10" x14ac:dyDescent="0.2">
      <c r="A289">
        <v>1.9379368052056299E-77</v>
      </c>
      <c r="B289">
        <v>1.73356739847662</v>
      </c>
      <c r="C289">
        <v>0.99299999999999999</v>
      </c>
      <c r="D289">
        <v>0.56799999999999995</v>
      </c>
      <c r="E289">
        <v>2.6933445718747801E-73</v>
      </c>
      <c r="F289">
        <v>1</v>
      </c>
      <c r="G289" t="s">
        <v>861</v>
      </c>
      <c r="H289" t="s">
        <v>862</v>
      </c>
      <c r="I289" t="str">
        <f>HYPERLINK("https://zfin.org/ZDB-GENE-030131-1226")</f>
        <v>https://zfin.org/ZDB-GENE-030131-1226</v>
      </c>
      <c r="J289" t="s">
        <v>863</v>
      </c>
    </row>
    <row r="290" spans="1:10" x14ac:dyDescent="0.2">
      <c r="A290">
        <v>9.6646413350154898E-77</v>
      </c>
      <c r="B290">
        <v>0.33635754575456001</v>
      </c>
      <c r="C290">
        <v>0.17100000000000001</v>
      </c>
      <c r="D290">
        <v>3.0000000000000001E-3</v>
      </c>
      <c r="E290">
        <v>1.34319185274045E-72</v>
      </c>
      <c r="F290">
        <v>1</v>
      </c>
      <c r="G290" t="s">
        <v>864</v>
      </c>
      <c r="H290" t="s">
        <v>865</v>
      </c>
      <c r="I290" t="str">
        <f>HYPERLINK("https://zfin.org/ZDB-GENE-040317-1")</f>
        <v>https://zfin.org/ZDB-GENE-040317-1</v>
      </c>
      <c r="J290" t="s">
        <v>866</v>
      </c>
    </row>
    <row r="291" spans="1:10" x14ac:dyDescent="0.2">
      <c r="A291">
        <v>1.26731450395706E-76</v>
      </c>
      <c r="B291">
        <v>0.60522782762648197</v>
      </c>
      <c r="C291">
        <v>0.47099999999999997</v>
      </c>
      <c r="D291">
        <v>5.1999999999999998E-2</v>
      </c>
      <c r="E291">
        <v>1.7613136975995199E-72</v>
      </c>
      <c r="F291">
        <v>1</v>
      </c>
      <c r="G291" t="s">
        <v>867</v>
      </c>
      <c r="H291" t="s">
        <v>868</v>
      </c>
      <c r="I291" t="str">
        <f>HYPERLINK("https://zfin.org/ZDB-GENE-040625-150")</f>
        <v>https://zfin.org/ZDB-GENE-040625-150</v>
      </c>
      <c r="J291" t="s">
        <v>869</v>
      </c>
    </row>
    <row r="292" spans="1:10" x14ac:dyDescent="0.2">
      <c r="A292">
        <v>3.3503577069378502E-76</v>
      </c>
      <c r="B292">
        <v>0.26192873535965999</v>
      </c>
      <c r="C292">
        <v>0.13600000000000001</v>
      </c>
      <c r="D292">
        <v>1E-3</v>
      </c>
      <c r="E292">
        <v>4.6563271411022204E-72</v>
      </c>
      <c r="F292">
        <v>1</v>
      </c>
      <c r="G292" t="s">
        <v>870</v>
      </c>
      <c r="H292" t="s">
        <v>871</v>
      </c>
      <c r="I292" t="str">
        <f>HYPERLINK("https://zfin.org/ZDB-GENE-091112-20")</f>
        <v>https://zfin.org/ZDB-GENE-091112-20</v>
      </c>
      <c r="J292" t="s">
        <v>872</v>
      </c>
    </row>
    <row r="293" spans="1:10" x14ac:dyDescent="0.2">
      <c r="A293">
        <v>4.2518449481112801E-76</v>
      </c>
      <c r="B293">
        <v>0.33756053615864601</v>
      </c>
      <c r="C293">
        <v>0.20699999999999999</v>
      </c>
      <c r="D293">
        <v>7.0000000000000001E-3</v>
      </c>
      <c r="E293">
        <v>5.9092141088850602E-72</v>
      </c>
      <c r="F293">
        <v>1</v>
      </c>
      <c r="G293" t="s">
        <v>873</v>
      </c>
      <c r="H293" t="s">
        <v>874</v>
      </c>
      <c r="I293" t="str">
        <f>HYPERLINK("https://zfin.org/ZDB-GENE-061207-9")</f>
        <v>https://zfin.org/ZDB-GENE-061207-9</v>
      </c>
      <c r="J293" t="s">
        <v>875</v>
      </c>
    </row>
    <row r="294" spans="1:10" x14ac:dyDescent="0.2">
      <c r="A294">
        <v>1.26200445651064E-75</v>
      </c>
      <c r="B294">
        <v>0.30407976519744501</v>
      </c>
      <c r="C294">
        <v>0.186</v>
      </c>
      <c r="D294">
        <v>5.0000000000000001E-3</v>
      </c>
      <c r="E294">
        <v>1.75393379365848E-71</v>
      </c>
      <c r="F294">
        <v>1</v>
      </c>
      <c r="G294" t="s">
        <v>876</v>
      </c>
      <c r="H294" t="s">
        <v>877</v>
      </c>
      <c r="I294" t="str">
        <f>HYPERLINK("https://zfin.org/ZDB-GENE-060526-328")</f>
        <v>https://zfin.org/ZDB-GENE-060526-328</v>
      </c>
      <c r="J294" t="s">
        <v>878</v>
      </c>
    </row>
    <row r="295" spans="1:10" x14ac:dyDescent="0.2">
      <c r="A295">
        <v>2.6699276954930198E-75</v>
      </c>
      <c r="B295">
        <v>0.38041315940555198</v>
      </c>
      <c r="C295">
        <v>0.32900000000000001</v>
      </c>
      <c r="D295">
        <v>2.3E-2</v>
      </c>
      <c r="E295">
        <v>3.7106655111962001E-71</v>
      </c>
      <c r="F295">
        <v>1</v>
      </c>
      <c r="G295" t="s">
        <v>879</v>
      </c>
      <c r="H295" t="s">
        <v>880</v>
      </c>
      <c r="I295" t="str">
        <f>HYPERLINK("https://zfin.org/ZDB-GENE-040426-1690")</f>
        <v>https://zfin.org/ZDB-GENE-040426-1690</v>
      </c>
      <c r="J295" t="s">
        <v>881</v>
      </c>
    </row>
    <row r="296" spans="1:10" x14ac:dyDescent="0.2">
      <c r="A296">
        <v>3.2605590287994999E-75</v>
      </c>
      <c r="B296">
        <v>1.3410848067057699</v>
      </c>
      <c r="C296">
        <v>1</v>
      </c>
      <c r="D296">
        <v>0.85</v>
      </c>
      <c r="E296">
        <v>4.5315249382255399E-71</v>
      </c>
      <c r="F296">
        <v>1</v>
      </c>
      <c r="G296" t="s">
        <v>882</v>
      </c>
      <c r="H296" t="s">
        <v>883</v>
      </c>
      <c r="I296" t="str">
        <f>HYPERLINK("https://zfin.org/ZDB-GENE-030131-5590")</f>
        <v>https://zfin.org/ZDB-GENE-030131-5590</v>
      </c>
      <c r="J296" t="s">
        <v>884</v>
      </c>
    </row>
    <row r="297" spans="1:10" x14ac:dyDescent="0.2">
      <c r="A297">
        <v>4.1089615971536202E-75</v>
      </c>
      <c r="B297">
        <v>0.53969967937422902</v>
      </c>
      <c r="C297">
        <v>0.38600000000000001</v>
      </c>
      <c r="D297">
        <v>3.4000000000000002E-2</v>
      </c>
      <c r="E297">
        <v>5.7106348277240996E-71</v>
      </c>
      <c r="F297">
        <v>1</v>
      </c>
      <c r="G297" t="s">
        <v>885</v>
      </c>
      <c r="H297" t="s">
        <v>886</v>
      </c>
      <c r="I297" t="str">
        <f>HYPERLINK("https://zfin.org/ZDB-GENE-050522-504")</f>
        <v>https://zfin.org/ZDB-GENE-050522-504</v>
      </c>
      <c r="J297" t="s">
        <v>887</v>
      </c>
    </row>
    <row r="298" spans="1:10" x14ac:dyDescent="0.2">
      <c r="A298">
        <v>2.4107349540615698E-74</v>
      </c>
      <c r="B298">
        <v>0.51091396262231303</v>
      </c>
      <c r="C298">
        <v>0.41399999999999998</v>
      </c>
      <c r="D298">
        <v>0.04</v>
      </c>
      <c r="E298">
        <v>3.35043943915477E-70</v>
      </c>
      <c r="F298">
        <v>1</v>
      </c>
      <c r="G298" t="s">
        <v>888</v>
      </c>
      <c r="H298" t="s">
        <v>889</v>
      </c>
      <c r="I298" t="str">
        <f>HYPERLINK("https://zfin.org/ZDB-GENE-030131-1980")</f>
        <v>https://zfin.org/ZDB-GENE-030131-1980</v>
      </c>
      <c r="J298" t="s">
        <v>890</v>
      </c>
    </row>
    <row r="299" spans="1:10" x14ac:dyDescent="0.2">
      <c r="A299">
        <v>2.99548603015227E-74</v>
      </c>
      <c r="B299">
        <v>0.32860951334606903</v>
      </c>
      <c r="C299">
        <v>0.20699999999999999</v>
      </c>
      <c r="D299">
        <v>7.0000000000000001E-3</v>
      </c>
      <c r="E299">
        <v>4.1631264847056301E-70</v>
      </c>
      <c r="F299">
        <v>1</v>
      </c>
      <c r="G299" t="s">
        <v>891</v>
      </c>
      <c r="H299" t="s">
        <v>892</v>
      </c>
      <c r="I299" t="str">
        <f>HYPERLINK("https://zfin.org/ZDB-GENE-080225-26")</f>
        <v>https://zfin.org/ZDB-GENE-080225-26</v>
      </c>
      <c r="J299" t="s">
        <v>893</v>
      </c>
    </row>
    <row r="300" spans="1:10" x14ac:dyDescent="0.2">
      <c r="A300">
        <v>5.7527850500366699E-74</v>
      </c>
      <c r="B300">
        <v>0.27556845530171198</v>
      </c>
      <c r="C300">
        <v>0.186</v>
      </c>
      <c r="D300">
        <v>5.0000000000000001E-3</v>
      </c>
      <c r="E300">
        <v>7.9952206625409696E-70</v>
      </c>
      <c r="F300">
        <v>1</v>
      </c>
      <c r="G300" t="s">
        <v>894</v>
      </c>
      <c r="H300" t="s">
        <v>895</v>
      </c>
      <c r="I300" t="str">
        <f>HYPERLINK("https://zfin.org/ZDB-GENE-051030-42")</f>
        <v>https://zfin.org/ZDB-GENE-051030-42</v>
      </c>
      <c r="J300" t="s">
        <v>896</v>
      </c>
    </row>
    <row r="301" spans="1:10" x14ac:dyDescent="0.2">
      <c r="A301">
        <v>9.9301979552084905E-74</v>
      </c>
      <c r="B301">
        <v>0.28824292572471599</v>
      </c>
      <c r="C301">
        <v>0.17899999999999999</v>
      </c>
      <c r="D301">
        <v>4.0000000000000001E-3</v>
      </c>
      <c r="E301">
        <v>1.38009891181488E-69</v>
      </c>
      <c r="F301">
        <v>1</v>
      </c>
      <c r="G301" t="s">
        <v>897</v>
      </c>
      <c r="H301" t="s">
        <v>898</v>
      </c>
      <c r="I301" t="str">
        <f>HYPERLINK("https://zfin.org/ZDB-GENE-141216-459")</f>
        <v>https://zfin.org/ZDB-GENE-141216-459</v>
      </c>
      <c r="J301" t="s">
        <v>899</v>
      </c>
    </row>
    <row r="302" spans="1:10" x14ac:dyDescent="0.2">
      <c r="A302">
        <v>1.0267741664197E-73</v>
      </c>
      <c r="B302">
        <v>2.2023467199181699</v>
      </c>
      <c r="C302">
        <v>1</v>
      </c>
      <c r="D302">
        <v>0.45700000000000002</v>
      </c>
      <c r="E302">
        <v>1.4270107364901001E-69</v>
      </c>
      <c r="F302">
        <v>1</v>
      </c>
      <c r="G302" t="s">
        <v>900</v>
      </c>
      <c r="H302" t="s">
        <v>901</v>
      </c>
      <c r="I302" t="str">
        <f>HYPERLINK("https://zfin.org/ZDB-GENE-040426-2879")</f>
        <v>https://zfin.org/ZDB-GENE-040426-2879</v>
      </c>
      <c r="J302" t="s">
        <v>902</v>
      </c>
    </row>
    <row r="303" spans="1:10" x14ac:dyDescent="0.2">
      <c r="A303">
        <v>1.3604956533637499E-73</v>
      </c>
      <c r="B303">
        <v>0.26439959283939402</v>
      </c>
      <c r="C303">
        <v>0.14299999999999999</v>
      </c>
      <c r="D303">
        <v>2E-3</v>
      </c>
      <c r="E303">
        <v>1.8908168590449399E-69</v>
      </c>
      <c r="F303">
        <v>1</v>
      </c>
      <c r="G303" t="s">
        <v>903</v>
      </c>
      <c r="H303" t="s">
        <v>904</v>
      </c>
      <c r="I303" t="str">
        <f>HYPERLINK("https://zfin.org/ZDB-GENE-070202-9")</f>
        <v>https://zfin.org/ZDB-GENE-070202-9</v>
      </c>
      <c r="J303" t="s">
        <v>905</v>
      </c>
    </row>
    <row r="304" spans="1:10" x14ac:dyDescent="0.2">
      <c r="A304">
        <v>1.6053297559978601E-73</v>
      </c>
      <c r="B304">
        <v>0.353269708095795</v>
      </c>
      <c r="C304">
        <v>0.33600000000000002</v>
      </c>
      <c r="D304">
        <v>2.5000000000000001E-2</v>
      </c>
      <c r="E304">
        <v>2.2310872948858301E-69</v>
      </c>
      <c r="F304">
        <v>1</v>
      </c>
      <c r="G304" t="s">
        <v>906</v>
      </c>
      <c r="H304" t="s">
        <v>907</v>
      </c>
      <c r="I304" t="str">
        <f>HYPERLINK("https://zfin.org/ZDB-GENE-040426-914")</f>
        <v>https://zfin.org/ZDB-GENE-040426-914</v>
      </c>
      <c r="J304" t="s">
        <v>908</v>
      </c>
    </row>
    <row r="305" spans="1:10" x14ac:dyDescent="0.2">
      <c r="A305">
        <v>6.9363061753943202E-73</v>
      </c>
      <c r="B305">
        <v>1.23018944213822</v>
      </c>
      <c r="C305">
        <v>1</v>
      </c>
      <c r="D305">
        <v>0.74</v>
      </c>
      <c r="E305">
        <v>9.640078322563031E-69</v>
      </c>
      <c r="F305">
        <v>1</v>
      </c>
      <c r="G305" t="s">
        <v>909</v>
      </c>
      <c r="H305" t="s">
        <v>910</v>
      </c>
      <c r="I305" t="str">
        <f>HYPERLINK("https://zfin.org/ZDB-GENE-030326-2")</f>
        <v>https://zfin.org/ZDB-GENE-030326-2</v>
      </c>
      <c r="J305" t="s">
        <v>911</v>
      </c>
    </row>
    <row r="306" spans="1:10" x14ac:dyDescent="0.2">
      <c r="A306">
        <v>8.9494555468142005E-73</v>
      </c>
      <c r="B306">
        <v>0.46021069335093401</v>
      </c>
      <c r="C306">
        <v>0.42099999999999999</v>
      </c>
      <c r="D306">
        <v>4.2000000000000003E-2</v>
      </c>
      <c r="E306">
        <v>1.24379533189624E-68</v>
      </c>
      <c r="F306">
        <v>1</v>
      </c>
      <c r="G306" t="s">
        <v>912</v>
      </c>
      <c r="H306" t="s">
        <v>913</v>
      </c>
      <c r="I306" t="str">
        <f>HYPERLINK("https://zfin.org/ZDB-GENE-040718-223")</f>
        <v>https://zfin.org/ZDB-GENE-040718-223</v>
      </c>
      <c r="J306" t="s">
        <v>914</v>
      </c>
    </row>
    <row r="307" spans="1:10" x14ac:dyDescent="0.2">
      <c r="A307">
        <v>1.33727151832502E-72</v>
      </c>
      <c r="B307">
        <v>0.25453455964950999</v>
      </c>
      <c r="C307">
        <v>0.13600000000000001</v>
      </c>
      <c r="D307">
        <v>1E-3</v>
      </c>
      <c r="E307">
        <v>1.8585399561681101E-68</v>
      </c>
      <c r="F307">
        <v>1</v>
      </c>
      <c r="G307" t="s">
        <v>915</v>
      </c>
      <c r="H307" t="s">
        <v>916</v>
      </c>
      <c r="I307" t="str">
        <f>HYPERLINK("https://zfin.org/ZDB-GENE-110411-215")</f>
        <v>https://zfin.org/ZDB-GENE-110411-215</v>
      </c>
      <c r="J307" t="s">
        <v>917</v>
      </c>
    </row>
    <row r="308" spans="1:10" x14ac:dyDescent="0.2">
      <c r="A308">
        <v>1.48892574521493E-72</v>
      </c>
      <c r="B308">
        <v>0.92167397510631899</v>
      </c>
      <c r="C308">
        <v>0.86399999999999999</v>
      </c>
      <c r="D308">
        <v>0.20200000000000001</v>
      </c>
      <c r="E308">
        <v>2.0693090006997001E-68</v>
      </c>
      <c r="F308">
        <v>1</v>
      </c>
      <c r="G308" t="s">
        <v>918</v>
      </c>
      <c r="H308" t="s">
        <v>919</v>
      </c>
      <c r="I308" t="str">
        <f>HYPERLINK("https://zfin.org/ZDB-GENE-020419-11")</f>
        <v>https://zfin.org/ZDB-GENE-020419-11</v>
      </c>
      <c r="J308" t="s">
        <v>920</v>
      </c>
    </row>
    <row r="309" spans="1:10" x14ac:dyDescent="0.2">
      <c r="A309">
        <v>4.5005126227711001E-72</v>
      </c>
      <c r="B309">
        <v>0.46106349477103198</v>
      </c>
      <c r="C309">
        <v>0.35</v>
      </c>
      <c r="D309">
        <v>2.9000000000000001E-2</v>
      </c>
      <c r="E309">
        <v>6.2548124431272702E-68</v>
      </c>
      <c r="F309">
        <v>1</v>
      </c>
      <c r="G309" t="s">
        <v>921</v>
      </c>
      <c r="H309" t="s">
        <v>922</v>
      </c>
      <c r="I309" t="str">
        <f>HYPERLINK("https://zfin.org/ZDB-GENE-040426-1083")</f>
        <v>https://zfin.org/ZDB-GENE-040426-1083</v>
      </c>
      <c r="J309" t="s">
        <v>923</v>
      </c>
    </row>
    <row r="310" spans="1:10" x14ac:dyDescent="0.2">
      <c r="A310">
        <v>4.6097098430847196E-72</v>
      </c>
      <c r="B310">
        <v>1.20131222501736</v>
      </c>
      <c r="C310">
        <v>1</v>
      </c>
      <c r="D310">
        <v>0.52200000000000002</v>
      </c>
      <c r="E310">
        <v>6.4065747399191402E-68</v>
      </c>
      <c r="F310">
        <v>1</v>
      </c>
      <c r="G310" t="s">
        <v>924</v>
      </c>
      <c r="H310" t="s">
        <v>925</v>
      </c>
      <c r="I310" t="str">
        <f>HYPERLINK("https://zfin.org/ZDB-GENE-050522-153")</f>
        <v>https://zfin.org/ZDB-GENE-050522-153</v>
      </c>
      <c r="J310" t="s">
        <v>926</v>
      </c>
    </row>
    <row r="311" spans="1:10" x14ac:dyDescent="0.2">
      <c r="A311">
        <v>5.5986875134942401E-72</v>
      </c>
      <c r="B311">
        <v>0.44380158143882897</v>
      </c>
      <c r="C311">
        <v>0.33600000000000002</v>
      </c>
      <c r="D311">
        <v>2.5999999999999999E-2</v>
      </c>
      <c r="E311">
        <v>7.78105590625429E-68</v>
      </c>
      <c r="F311">
        <v>1</v>
      </c>
      <c r="G311" t="s">
        <v>927</v>
      </c>
      <c r="H311" t="s">
        <v>928</v>
      </c>
      <c r="I311" t="str">
        <f>HYPERLINK("https://zfin.org/ZDB-GENE-050417-439")</f>
        <v>https://zfin.org/ZDB-GENE-050417-439</v>
      </c>
      <c r="J311" t="s">
        <v>929</v>
      </c>
    </row>
    <row r="312" spans="1:10" x14ac:dyDescent="0.2">
      <c r="A312">
        <v>9.2004499123105109E-72</v>
      </c>
      <c r="B312">
        <v>0.59410282633729194</v>
      </c>
      <c r="C312">
        <v>0.52100000000000002</v>
      </c>
      <c r="D312">
        <v>6.6000000000000003E-2</v>
      </c>
      <c r="E312">
        <v>1.2786785288129199E-67</v>
      </c>
      <c r="F312">
        <v>1</v>
      </c>
      <c r="G312" t="s">
        <v>930</v>
      </c>
      <c r="H312" t="s">
        <v>931</v>
      </c>
      <c r="I312" t="str">
        <f>HYPERLINK("https://zfin.org/ZDB-GENE-040426-1682")</f>
        <v>https://zfin.org/ZDB-GENE-040426-1682</v>
      </c>
      <c r="J312" t="s">
        <v>932</v>
      </c>
    </row>
    <row r="313" spans="1:10" x14ac:dyDescent="0.2">
      <c r="A313">
        <v>1.01965253881889E-71</v>
      </c>
      <c r="B313">
        <v>0.27312793330805701</v>
      </c>
      <c r="C313">
        <v>0.129</v>
      </c>
      <c r="D313">
        <v>1E-3</v>
      </c>
      <c r="E313">
        <v>1.41711309845049E-67</v>
      </c>
      <c r="F313">
        <v>1</v>
      </c>
      <c r="G313" t="s">
        <v>933</v>
      </c>
      <c r="H313" t="s">
        <v>934</v>
      </c>
      <c r="I313" t="str">
        <f>HYPERLINK("https://zfin.org/ZDB-GENE-080919-1")</f>
        <v>https://zfin.org/ZDB-GENE-080919-1</v>
      </c>
      <c r="J313" t="s">
        <v>935</v>
      </c>
    </row>
    <row r="314" spans="1:10" x14ac:dyDescent="0.2">
      <c r="A314">
        <v>1.12247280731572E-71</v>
      </c>
      <c r="B314">
        <v>0.26671300556917699</v>
      </c>
      <c r="C314">
        <v>0.17899999999999999</v>
      </c>
      <c r="D314">
        <v>5.0000000000000001E-3</v>
      </c>
      <c r="E314">
        <v>1.5600127076073901E-67</v>
      </c>
      <c r="F314">
        <v>1</v>
      </c>
      <c r="G314" t="s">
        <v>936</v>
      </c>
      <c r="H314" t="s">
        <v>937</v>
      </c>
      <c r="I314" t="str">
        <f>HYPERLINK("https://zfin.org/ZDB-GENE-041014-73")</f>
        <v>https://zfin.org/ZDB-GENE-041014-73</v>
      </c>
      <c r="J314" t="s">
        <v>938</v>
      </c>
    </row>
    <row r="315" spans="1:10" x14ac:dyDescent="0.2">
      <c r="A315">
        <v>1.2256569124555501E-71</v>
      </c>
      <c r="B315">
        <v>0.385773118457785</v>
      </c>
      <c r="C315">
        <v>0.25700000000000001</v>
      </c>
      <c r="D315">
        <v>1.4E-2</v>
      </c>
      <c r="E315">
        <v>1.7034179769307201E-67</v>
      </c>
      <c r="F315">
        <v>1</v>
      </c>
      <c r="G315" t="s">
        <v>939</v>
      </c>
      <c r="H315" t="s">
        <v>940</v>
      </c>
      <c r="I315" t="str">
        <f>HYPERLINK("https://zfin.org/ZDB-GENE-131127-114")</f>
        <v>https://zfin.org/ZDB-GENE-131127-114</v>
      </c>
      <c r="J315" t="s">
        <v>941</v>
      </c>
    </row>
    <row r="316" spans="1:10" x14ac:dyDescent="0.2">
      <c r="A316">
        <v>2.0528828269362999E-71</v>
      </c>
      <c r="B316">
        <v>1.03635378372119</v>
      </c>
      <c r="C316">
        <v>0.96399999999999997</v>
      </c>
      <c r="D316">
        <v>0.27100000000000002</v>
      </c>
      <c r="E316">
        <v>2.8530965528760701E-67</v>
      </c>
      <c r="F316">
        <v>1</v>
      </c>
      <c r="G316" t="s">
        <v>942</v>
      </c>
      <c r="H316" t="s">
        <v>943</v>
      </c>
      <c r="I316" t="str">
        <f>HYPERLINK("https://zfin.org/ZDB-GENE-040801-218")</f>
        <v>https://zfin.org/ZDB-GENE-040801-218</v>
      </c>
      <c r="J316" t="s">
        <v>944</v>
      </c>
    </row>
    <row r="317" spans="1:10" x14ac:dyDescent="0.2">
      <c r="A317">
        <v>3.0006331461455801E-71</v>
      </c>
      <c r="B317">
        <v>-1.8160903423136201</v>
      </c>
      <c r="C317">
        <v>1</v>
      </c>
      <c r="D317">
        <v>1</v>
      </c>
      <c r="E317">
        <v>4.1702799465131201E-67</v>
      </c>
      <c r="F317">
        <v>1</v>
      </c>
      <c r="G317" t="s">
        <v>945</v>
      </c>
      <c r="H317" t="s">
        <v>946</v>
      </c>
      <c r="I317" t="str">
        <f>HYPERLINK("https://zfin.org/ZDB-GENE-080225-18")</f>
        <v>https://zfin.org/ZDB-GENE-080225-18</v>
      </c>
      <c r="J317" t="s">
        <v>947</v>
      </c>
    </row>
    <row r="318" spans="1:10" x14ac:dyDescent="0.2">
      <c r="A318">
        <v>3.0135408058777399E-71</v>
      </c>
      <c r="B318">
        <v>0.58340901873327999</v>
      </c>
      <c r="C318">
        <v>0.47099999999999997</v>
      </c>
      <c r="D318">
        <v>5.5E-2</v>
      </c>
      <c r="E318">
        <v>4.1882190120088901E-67</v>
      </c>
      <c r="F318">
        <v>1</v>
      </c>
      <c r="G318" t="s">
        <v>948</v>
      </c>
      <c r="H318" t="s">
        <v>949</v>
      </c>
      <c r="I318" t="str">
        <f>HYPERLINK("https://zfin.org/ZDB-GENE-110411-40")</f>
        <v>https://zfin.org/ZDB-GENE-110411-40</v>
      </c>
      <c r="J318" t="s">
        <v>950</v>
      </c>
    </row>
    <row r="319" spans="1:10" x14ac:dyDescent="0.2">
      <c r="A319">
        <v>1.1864499222404999E-70</v>
      </c>
      <c r="B319">
        <v>0.33163443316852098</v>
      </c>
      <c r="C319">
        <v>0.23599999999999999</v>
      </c>
      <c r="D319">
        <v>1.0999999999999999E-2</v>
      </c>
      <c r="E319">
        <v>1.6489281019298501E-66</v>
      </c>
      <c r="F319">
        <v>1</v>
      </c>
      <c r="G319" t="s">
        <v>951</v>
      </c>
      <c r="H319" t="s">
        <v>952</v>
      </c>
      <c r="I319" t="str">
        <f>HYPERLINK("https://zfin.org/ZDB-GENE-110623-3")</f>
        <v>https://zfin.org/ZDB-GENE-110623-3</v>
      </c>
      <c r="J319" t="s">
        <v>953</v>
      </c>
    </row>
    <row r="320" spans="1:10" x14ac:dyDescent="0.2">
      <c r="A320">
        <v>5.5778529921149599E-70</v>
      </c>
      <c r="B320">
        <v>0.35782796538001199</v>
      </c>
      <c r="C320">
        <v>0.27100000000000002</v>
      </c>
      <c r="D320">
        <v>1.6E-2</v>
      </c>
      <c r="E320">
        <v>7.7521000884413702E-66</v>
      </c>
      <c r="F320">
        <v>1</v>
      </c>
      <c r="G320" t="s">
        <v>954</v>
      </c>
      <c r="H320" t="s">
        <v>955</v>
      </c>
      <c r="I320" t="str">
        <f>HYPERLINK("https://zfin.org/ZDB-GENE-081030-16")</f>
        <v>https://zfin.org/ZDB-GENE-081030-16</v>
      </c>
      <c r="J320" t="s">
        <v>956</v>
      </c>
    </row>
    <row r="321" spans="1:10" x14ac:dyDescent="0.2">
      <c r="A321">
        <v>7.7833544803973397E-70</v>
      </c>
      <c r="B321">
        <v>-1.5924195383961199</v>
      </c>
      <c r="C321">
        <v>0.82899999999999996</v>
      </c>
      <c r="D321">
        <v>0.97399999999999998</v>
      </c>
      <c r="E321">
        <v>1.0817306056856199E-65</v>
      </c>
      <c r="F321">
        <v>1</v>
      </c>
      <c r="G321" t="s">
        <v>957</v>
      </c>
      <c r="H321" t="s">
        <v>958</v>
      </c>
      <c r="I321" t="str">
        <f>HYPERLINK("https://zfin.org/ZDB-GENE-010328-2")</f>
        <v>https://zfin.org/ZDB-GENE-010328-2</v>
      </c>
      <c r="J321" t="s">
        <v>959</v>
      </c>
    </row>
    <row r="322" spans="1:10" x14ac:dyDescent="0.2">
      <c r="A322">
        <v>1.13264725401576E-69</v>
      </c>
      <c r="B322">
        <v>0.268943820694656</v>
      </c>
      <c r="C322">
        <v>0.17899999999999999</v>
      </c>
      <c r="D322">
        <v>5.0000000000000001E-3</v>
      </c>
      <c r="E322">
        <v>1.5741531536311001E-65</v>
      </c>
      <c r="F322">
        <v>1</v>
      </c>
      <c r="G322" t="s">
        <v>960</v>
      </c>
      <c r="H322" t="s">
        <v>961</v>
      </c>
      <c r="I322" t="str">
        <f>HYPERLINK("https://zfin.org/")</f>
        <v>https://zfin.org/</v>
      </c>
      <c r="J322" t="s">
        <v>962</v>
      </c>
    </row>
    <row r="323" spans="1:10" x14ac:dyDescent="0.2">
      <c r="A323">
        <v>4.0927778799757998E-69</v>
      </c>
      <c r="B323">
        <v>0.37177942107805501</v>
      </c>
      <c r="C323">
        <v>0.26400000000000001</v>
      </c>
      <c r="D323">
        <v>1.6E-2</v>
      </c>
      <c r="E323">
        <v>5.6881426975903697E-65</v>
      </c>
      <c r="F323">
        <v>1</v>
      </c>
      <c r="G323" t="s">
        <v>963</v>
      </c>
      <c r="H323" t="s">
        <v>964</v>
      </c>
      <c r="I323" t="str">
        <f>HYPERLINK("https://zfin.org/ZDB-GENE-040801-151")</f>
        <v>https://zfin.org/ZDB-GENE-040801-151</v>
      </c>
      <c r="J323" t="s">
        <v>965</v>
      </c>
    </row>
    <row r="324" spans="1:10" x14ac:dyDescent="0.2">
      <c r="A324">
        <v>6.4100822611615001E-69</v>
      </c>
      <c r="B324">
        <v>0.27423994763757298</v>
      </c>
      <c r="C324">
        <v>0.221</v>
      </c>
      <c r="D324">
        <v>0.01</v>
      </c>
      <c r="E324">
        <v>8.9087323265622499E-65</v>
      </c>
      <c r="F324">
        <v>1</v>
      </c>
      <c r="G324" t="s">
        <v>966</v>
      </c>
      <c r="H324" t="s">
        <v>967</v>
      </c>
      <c r="I324" t="str">
        <f>HYPERLINK("https://zfin.org/ZDB-GENE-041210-9")</f>
        <v>https://zfin.org/ZDB-GENE-041210-9</v>
      </c>
      <c r="J324" t="s">
        <v>968</v>
      </c>
    </row>
    <row r="325" spans="1:10" x14ac:dyDescent="0.2">
      <c r="A325">
        <v>7.7901708717013697E-69</v>
      </c>
      <c r="B325">
        <v>0.45319154626040098</v>
      </c>
      <c r="C325">
        <v>0.28599999999999998</v>
      </c>
      <c r="D325">
        <v>1.9E-2</v>
      </c>
      <c r="E325">
        <v>1.08267794774906E-64</v>
      </c>
      <c r="F325">
        <v>1</v>
      </c>
      <c r="G325" t="s">
        <v>969</v>
      </c>
      <c r="H325" t="s">
        <v>970</v>
      </c>
      <c r="I325" t="str">
        <f>HYPERLINK("https://zfin.org/ZDB-GENE-080204-119")</f>
        <v>https://zfin.org/ZDB-GENE-080204-119</v>
      </c>
      <c r="J325" t="s">
        <v>971</v>
      </c>
    </row>
    <row r="326" spans="1:10" x14ac:dyDescent="0.2">
      <c r="A326">
        <v>1.21469853202793E-68</v>
      </c>
      <c r="B326">
        <v>0.743379053569726</v>
      </c>
      <c r="C326">
        <v>0.629</v>
      </c>
      <c r="D326">
        <v>0.104</v>
      </c>
      <c r="E326">
        <v>1.6881880198124102E-64</v>
      </c>
      <c r="F326">
        <v>1</v>
      </c>
      <c r="G326" t="s">
        <v>972</v>
      </c>
      <c r="H326" t="s">
        <v>973</v>
      </c>
      <c r="I326" t="str">
        <f>HYPERLINK("https://zfin.org/ZDB-GENE-040426-1414")</f>
        <v>https://zfin.org/ZDB-GENE-040426-1414</v>
      </c>
      <c r="J326" t="s">
        <v>974</v>
      </c>
    </row>
    <row r="327" spans="1:10" x14ac:dyDescent="0.2">
      <c r="A327">
        <v>1.3827481772875601E-68</v>
      </c>
      <c r="B327">
        <v>-1.1752464604115</v>
      </c>
      <c r="C327">
        <v>1</v>
      </c>
      <c r="D327">
        <v>1</v>
      </c>
      <c r="E327">
        <v>1.92174341679425E-64</v>
      </c>
      <c r="F327">
        <v>1</v>
      </c>
      <c r="G327" t="s">
        <v>975</v>
      </c>
      <c r="H327" t="s">
        <v>976</v>
      </c>
      <c r="I327" t="str">
        <f>HYPERLINK("https://zfin.org/ZDB-GENE-141216-248")</f>
        <v>https://zfin.org/ZDB-GENE-141216-248</v>
      </c>
      <c r="J327" t="s">
        <v>977</v>
      </c>
    </row>
    <row r="328" spans="1:10" x14ac:dyDescent="0.2">
      <c r="A328">
        <v>2.6208607657777101E-68</v>
      </c>
      <c r="B328">
        <v>0.87530971360645604</v>
      </c>
      <c r="C328">
        <v>0.76400000000000001</v>
      </c>
      <c r="D328">
        <v>0.161</v>
      </c>
      <c r="E328">
        <v>3.6424722922778597E-64</v>
      </c>
      <c r="F328">
        <v>1</v>
      </c>
      <c r="G328" t="s">
        <v>978</v>
      </c>
      <c r="H328" t="s">
        <v>979</v>
      </c>
      <c r="I328" t="str">
        <f>HYPERLINK("https://zfin.org/ZDB-GENE-040801-120")</f>
        <v>https://zfin.org/ZDB-GENE-040801-120</v>
      </c>
      <c r="J328" t="s">
        <v>980</v>
      </c>
    </row>
    <row r="329" spans="1:10" x14ac:dyDescent="0.2">
      <c r="A329">
        <v>3.21988615612132E-68</v>
      </c>
      <c r="B329">
        <v>0.34940021553145201</v>
      </c>
      <c r="C329">
        <v>0.24299999999999999</v>
      </c>
      <c r="D329">
        <v>1.2999999999999999E-2</v>
      </c>
      <c r="E329">
        <v>4.4749977797774102E-64</v>
      </c>
      <c r="F329">
        <v>1</v>
      </c>
      <c r="G329" t="s">
        <v>981</v>
      </c>
      <c r="H329" t="s">
        <v>982</v>
      </c>
      <c r="I329" t="str">
        <f>HYPERLINK("https://zfin.org/ZDB-GENE-040722-2")</f>
        <v>https://zfin.org/ZDB-GENE-040722-2</v>
      </c>
      <c r="J329" t="s">
        <v>983</v>
      </c>
    </row>
    <row r="330" spans="1:10" x14ac:dyDescent="0.2">
      <c r="A330">
        <v>8.0446501377715206E-67</v>
      </c>
      <c r="B330">
        <v>1.2317953822084</v>
      </c>
      <c r="C330">
        <v>0.95699999999999996</v>
      </c>
      <c r="D330">
        <v>0.35</v>
      </c>
      <c r="E330">
        <v>1.1180454761474901E-62</v>
      </c>
      <c r="F330">
        <v>1</v>
      </c>
      <c r="G330" t="s">
        <v>984</v>
      </c>
      <c r="H330" t="s">
        <v>985</v>
      </c>
      <c r="I330" t="str">
        <f>HYPERLINK("https://zfin.org/ZDB-GENE-040718-162")</f>
        <v>https://zfin.org/ZDB-GENE-040718-162</v>
      </c>
      <c r="J330" t="s">
        <v>986</v>
      </c>
    </row>
    <row r="331" spans="1:10" x14ac:dyDescent="0.2">
      <c r="A331">
        <v>1.59053739817104E-66</v>
      </c>
      <c r="B331">
        <v>0.328295552492472</v>
      </c>
      <c r="C331">
        <v>0.221</v>
      </c>
      <c r="D331">
        <v>1.0999999999999999E-2</v>
      </c>
      <c r="E331">
        <v>2.2105288759781201E-62</v>
      </c>
      <c r="F331">
        <v>1</v>
      </c>
      <c r="G331" t="s">
        <v>987</v>
      </c>
      <c r="H331" t="s">
        <v>988</v>
      </c>
      <c r="I331" t="str">
        <f>HYPERLINK("https://zfin.org/ZDB-GENE-030131-7437")</f>
        <v>https://zfin.org/ZDB-GENE-030131-7437</v>
      </c>
      <c r="J331" t="s">
        <v>989</v>
      </c>
    </row>
    <row r="332" spans="1:10" x14ac:dyDescent="0.2">
      <c r="A332">
        <v>3.7039128998890698E-66</v>
      </c>
      <c r="B332">
        <v>0.59977394122670902</v>
      </c>
      <c r="C332">
        <v>0.50700000000000001</v>
      </c>
      <c r="D332">
        <v>6.8000000000000005E-2</v>
      </c>
      <c r="E332">
        <v>5.1476981482658298E-62</v>
      </c>
      <c r="F332">
        <v>1</v>
      </c>
      <c r="G332" t="s">
        <v>990</v>
      </c>
      <c r="H332" t="s">
        <v>991</v>
      </c>
      <c r="I332" t="str">
        <f>HYPERLINK("https://zfin.org/ZDB-GENE-041210-60")</f>
        <v>https://zfin.org/ZDB-GENE-041210-60</v>
      </c>
      <c r="J332" t="s">
        <v>992</v>
      </c>
    </row>
    <row r="333" spans="1:10" x14ac:dyDescent="0.2">
      <c r="A333">
        <v>3.9432323530894102E-66</v>
      </c>
      <c r="B333">
        <v>0.80357876551965002</v>
      </c>
      <c r="C333">
        <v>0.66400000000000003</v>
      </c>
      <c r="D333">
        <v>0.12</v>
      </c>
      <c r="E333">
        <v>5.4803043243236697E-62</v>
      </c>
      <c r="F333">
        <v>1</v>
      </c>
      <c r="G333" t="s">
        <v>993</v>
      </c>
      <c r="H333" t="s">
        <v>994</v>
      </c>
      <c r="I333" t="str">
        <f>HYPERLINK("https://zfin.org/ZDB-GENE-040426-1200")</f>
        <v>https://zfin.org/ZDB-GENE-040426-1200</v>
      </c>
      <c r="J333" t="s">
        <v>995</v>
      </c>
    </row>
    <row r="334" spans="1:10" x14ac:dyDescent="0.2">
      <c r="A334">
        <v>7.9226065803843196E-66</v>
      </c>
      <c r="B334">
        <v>1.2523516977659499</v>
      </c>
      <c r="C334">
        <v>0.98599999999999999</v>
      </c>
      <c r="D334">
        <v>0.628</v>
      </c>
      <c r="E334">
        <v>1.10108386254181E-61</v>
      </c>
      <c r="F334">
        <v>1</v>
      </c>
      <c r="G334" t="s">
        <v>996</v>
      </c>
      <c r="H334" t="s">
        <v>997</v>
      </c>
      <c r="I334" t="str">
        <f>HYPERLINK("https://zfin.org/ZDB-GENE-030131-5590")</f>
        <v>https://zfin.org/ZDB-GENE-030131-5590</v>
      </c>
      <c r="J334" t="s">
        <v>998</v>
      </c>
    </row>
    <row r="335" spans="1:10" x14ac:dyDescent="0.2">
      <c r="A335">
        <v>8.2005526762019495E-65</v>
      </c>
      <c r="B335">
        <v>0.30039523681429597</v>
      </c>
      <c r="C335">
        <v>0.22900000000000001</v>
      </c>
      <c r="D335">
        <v>1.2E-2</v>
      </c>
      <c r="E335">
        <v>1.1397128109385499E-60</v>
      </c>
      <c r="F335">
        <v>1</v>
      </c>
      <c r="G335" t="s">
        <v>999</v>
      </c>
      <c r="H335" t="s">
        <v>1000</v>
      </c>
      <c r="I335" t="str">
        <f>HYPERLINK("https://zfin.org/ZDB-GENE-160114-44")</f>
        <v>https://zfin.org/ZDB-GENE-160114-44</v>
      </c>
      <c r="J335" t="s">
        <v>1001</v>
      </c>
    </row>
    <row r="336" spans="1:10" x14ac:dyDescent="0.2">
      <c r="A336">
        <v>1.511275241519E-64</v>
      </c>
      <c r="B336">
        <v>0.43662363421967598</v>
      </c>
      <c r="C336">
        <v>0.36399999999999999</v>
      </c>
      <c r="D336">
        <v>3.5999999999999997E-2</v>
      </c>
      <c r="E336">
        <v>2.1003703306631099E-60</v>
      </c>
      <c r="F336">
        <v>1</v>
      </c>
      <c r="G336" t="s">
        <v>1002</v>
      </c>
      <c r="H336" t="s">
        <v>1003</v>
      </c>
      <c r="I336" t="str">
        <f>HYPERLINK("https://zfin.org/ZDB-GENE-040426-2294")</f>
        <v>https://zfin.org/ZDB-GENE-040426-2294</v>
      </c>
      <c r="J336" t="s">
        <v>1004</v>
      </c>
    </row>
    <row r="337" spans="1:10" x14ac:dyDescent="0.2">
      <c r="A337">
        <v>1.86259754559938E-64</v>
      </c>
      <c r="B337">
        <v>0.86454357041835495</v>
      </c>
      <c r="C337">
        <v>0.86399999999999999</v>
      </c>
      <c r="D337">
        <v>0.20799999999999999</v>
      </c>
      <c r="E337">
        <v>2.5886380688740201E-60</v>
      </c>
      <c r="F337">
        <v>1</v>
      </c>
      <c r="G337" t="s">
        <v>1005</v>
      </c>
      <c r="H337" t="s">
        <v>1006</v>
      </c>
      <c r="I337" t="str">
        <f>HYPERLINK("https://zfin.org/ZDB-GENE-041010-133")</f>
        <v>https://zfin.org/ZDB-GENE-041010-133</v>
      </c>
      <c r="J337" t="s">
        <v>1007</v>
      </c>
    </row>
    <row r="338" spans="1:10" x14ac:dyDescent="0.2">
      <c r="A338">
        <v>2.85957203589305E-64</v>
      </c>
      <c r="B338">
        <v>0.56899951642926205</v>
      </c>
      <c r="C338">
        <v>0.45</v>
      </c>
      <c r="D338">
        <v>5.6000000000000001E-2</v>
      </c>
      <c r="E338">
        <v>3.97423321548416E-60</v>
      </c>
      <c r="F338">
        <v>1</v>
      </c>
      <c r="G338" t="s">
        <v>1008</v>
      </c>
      <c r="H338" t="s">
        <v>1009</v>
      </c>
      <c r="I338" t="str">
        <f>HYPERLINK("https://zfin.org/ZDB-GENE-081104-219")</f>
        <v>https://zfin.org/ZDB-GENE-081104-219</v>
      </c>
      <c r="J338" t="s">
        <v>1010</v>
      </c>
    </row>
    <row r="339" spans="1:10" x14ac:dyDescent="0.2">
      <c r="A339">
        <v>3.1787795610590703E-64</v>
      </c>
      <c r="B339">
        <v>0.85928948404351502</v>
      </c>
      <c r="C339">
        <v>0.83599999999999997</v>
      </c>
      <c r="D339">
        <v>0.20100000000000001</v>
      </c>
      <c r="E339">
        <v>4.4178678339598899E-60</v>
      </c>
      <c r="F339">
        <v>1</v>
      </c>
      <c r="G339" t="s">
        <v>1011</v>
      </c>
      <c r="H339" t="s">
        <v>1012</v>
      </c>
      <c r="I339" t="str">
        <f>HYPERLINK("https://zfin.org/ZDB-GENE-990415-17")</f>
        <v>https://zfin.org/ZDB-GENE-990415-17</v>
      </c>
      <c r="J339" t="s">
        <v>1013</v>
      </c>
    </row>
    <row r="340" spans="1:10" x14ac:dyDescent="0.2">
      <c r="A340">
        <v>5.4374182793903003E-64</v>
      </c>
      <c r="B340">
        <v>1.13572090585135</v>
      </c>
      <c r="C340">
        <v>0.99299999999999999</v>
      </c>
      <c r="D340">
        <v>0.42699999999999999</v>
      </c>
      <c r="E340">
        <v>7.5569239246966301E-60</v>
      </c>
      <c r="F340">
        <v>1</v>
      </c>
      <c r="G340" t="s">
        <v>1014</v>
      </c>
      <c r="H340" t="s">
        <v>1015</v>
      </c>
      <c r="I340" t="str">
        <f>HYPERLINK("https://zfin.org/ZDB-GENE-030131-5590")</f>
        <v>https://zfin.org/ZDB-GENE-030131-5590</v>
      </c>
      <c r="J340" t="s">
        <v>1016</v>
      </c>
    </row>
    <row r="341" spans="1:10" x14ac:dyDescent="0.2">
      <c r="A341">
        <v>7.5193179819491598E-64</v>
      </c>
      <c r="B341">
        <v>0.25294398990086298</v>
      </c>
      <c r="C341">
        <v>0.157</v>
      </c>
      <c r="D341">
        <v>4.0000000000000001E-3</v>
      </c>
      <c r="E341">
        <v>1.0450348131312901E-59</v>
      </c>
      <c r="F341">
        <v>1</v>
      </c>
      <c r="G341" t="s">
        <v>1017</v>
      </c>
      <c r="H341" t="s">
        <v>1018</v>
      </c>
      <c r="I341" t="str">
        <f>HYPERLINK("https://zfin.org/ZDB-GENE-031006-8")</f>
        <v>https://zfin.org/ZDB-GENE-031006-8</v>
      </c>
      <c r="J341" t="s">
        <v>1019</v>
      </c>
    </row>
    <row r="342" spans="1:10" x14ac:dyDescent="0.2">
      <c r="A342">
        <v>7.7325247018338398E-64</v>
      </c>
      <c r="B342">
        <v>0.327289583276415</v>
      </c>
      <c r="C342">
        <v>0.23599999999999999</v>
      </c>
      <c r="D342">
        <v>1.2999999999999999E-2</v>
      </c>
      <c r="E342">
        <v>1.07466628306087E-59</v>
      </c>
      <c r="F342">
        <v>1</v>
      </c>
      <c r="G342" t="s">
        <v>1020</v>
      </c>
      <c r="H342" t="s">
        <v>1021</v>
      </c>
      <c r="I342" t="str">
        <f>HYPERLINK("https://zfin.org/ZDB-GENE-060503-723")</f>
        <v>https://zfin.org/ZDB-GENE-060503-723</v>
      </c>
      <c r="J342" t="s">
        <v>1022</v>
      </c>
    </row>
    <row r="343" spans="1:10" x14ac:dyDescent="0.2">
      <c r="A343">
        <v>2.28272784262126E-63</v>
      </c>
      <c r="B343">
        <v>-1.47555813274776</v>
      </c>
      <c r="C343">
        <v>1</v>
      </c>
      <c r="D343">
        <v>1</v>
      </c>
      <c r="E343">
        <v>3.1725351556750302E-59</v>
      </c>
      <c r="F343">
        <v>1</v>
      </c>
      <c r="G343" t="s">
        <v>1023</v>
      </c>
      <c r="H343" t="s">
        <v>1024</v>
      </c>
      <c r="I343" t="str">
        <f>HYPERLINK("https://zfin.org/ZDB-GENE-130603-61")</f>
        <v>https://zfin.org/ZDB-GENE-130603-61</v>
      </c>
      <c r="J343" t="s">
        <v>1025</v>
      </c>
    </row>
    <row r="344" spans="1:10" x14ac:dyDescent="0.2">
      <c r="A344">
        <v>4.1330951315700599E-63</v>
      </c>
      <c r="B344">
        <v>0.30798979974512802</v>
      </c>
      <c r="C344">
        <v>0.214</v>
      </c>
      <c r="D344">
        <v>1.0999999999999999E-2</v>
      </c>
      <c r="E344">
        <v>5.7441756138560703E-59</v>
      </c>
      <c r="F344">
        <v>1</v>
      </c>
      <c r="G344" t="s">
        <v>1026</v>
      </c>
      <c r="H344" t="s">
        <v>1027</v>
      </c>
      <c r="I344" t="str">
        <f>HYPERLINK("https://zfin.org/ZDB-GENE-070209-295")</f>
        <v>https://zfin.org/ZDB-GENE-070209-295</v>
      </c>
      <c r="J344" t="s">
        <v>1028</v>
      </c>
    </row>
    <row r="345" spans="1:10" x14ac:dyDescent="0.2">
      <c r="A345">
        <v>4.76220193062313E-63</v>
      </c>
      <c r="B345">
        <v>0.44390228484946098</v>
      </c>
      <c r="C345">
        <v>0.32900000000000001</v>
      </c>
      <c r="D345">
        <v>2.9000000000000001E-2</v>
      </c>
      <c r="E345">
        <v>6.6185082431800297E-59</v>
      </c>
      <c r="F345">
        <v>1</v>
      </c>
      <c r="G345" t="s">
        <v>1029</v>
      </c>
      <c r="H345" t="s">
        <v>1030</v>
      </c>
      <c r="I345" t="str">
        <f>HYPERLINK("https://zfin.org/ZDB-GENE-060608-2")</f>
        <v>https://zfin.org/ZDB-GENE-060608-2</v>
      </c>
      <c r="J345" t="s">
        <v>1031</v>
      </c>
    </row>
    <row r="346" spans="1:10" x14ac:dyDescent="0.2">
      <c r="A346">
        <v>1.0255629894765399E-61</v>
      </c>
      <c r="B346">
        <v>-1.40711746986971</v>
      </c>
      <c r="C346">
        <v>0.83599999999999997</v>
      </c>
      <c r="D346">
        <v>0.96599999999999997</v>
      </c>
      <c r="E346">
        <v>1.4253274427745001E-57</v>
      </c>
      <c r="F346">
        <v>1</v>
      </c>
      <c r="G346" t="s">
        <v>1032</v>
      </c>
      <c r="H346" t="s">
        <v>1033</v>
      </c>
      <c r="I346" t="str">
        <f>HYPERLINK("https://zfin.org/ZDB-GENE-040426-2315")</f>
        <v>https://zfin.org/ZDB-GENE-040426-2315</v>
      </c>
      <c r="J346" t="s">
        <v>1034</v>
      </c>
    </row>
    <row r="347" spans="1:10" x14ac:dyDescent="0.2">
      <c r="A347">
        <v>1.6705932817891999E-61</v>
      </c>
      <c r="B347">
        <v>0.34465617102096102</v>
      </c>
      <c r="C347">
        <v>0.26400000000000001</v>
      </c>
      <c r="D347">
        <v>1.7999999999999999E-2</v>
      </c>
      <c r="E347">
        <v>2.3217905430306299E-57</v>
      </c>
      <c r="F347">
        <v>1</v>
      </c>
      <c r="G347" t="s">
        <v>1035</v>
      </c>
      <c r="H347" t="s">
        <v>1036</v>
      </c>
      <c r="I347" t="str">
        <f>HYPERLINK("https://zfin.org/ZDB-GENE-010724-8")</f>
        <v>https://zfin.org/ZDB-GENE-010724-8</v>
      </c>
      <c r="J347" t="s">
        <v>1037</v>
      </c>
    </row>
    <row r="348" spans="1:10" x14ac:dyDescent="0.2">
      <c r="A348">
        <v>1.7982601468338899E-60</v>
      </c>
      <c r="B348">
        <v>0.25542406358109898</v>
      </c>
      <c r="C348">
        <v>0.121</v>
      </c>
      <c r="D348">
        <v>2E-3</v>
      </c>
      <c r="E348">
        <v>2.4992219520697499E-56</v>
      </c>
      <c r="F348">
        <v>1</v>
      </c>
      <c r="G348" t="s">
        <v>1038</v>
      </c>
      <c r="H348" t="s">
        <v>1039</v>
      </c>
      <c r="I348" t="str">
        <f>HYPERLINK("https://zfin.org/ZDB-GENE-080327-7")</f>
        <v>https://zfin.org/ZDB-GENE-080327-7</v>
      </c>
      <c r="J348" t="s">
        <v>1040</v>
      </c>
    </row>
    <row r="349" spans="1:10" x14ac:dyDescent="0.2">
      <c r="A349">
        <v>2.6769048590321999E-60</v>
      </c>
      <c r="B349">
        <v>0.42855917337921001</v>
      </c>
      <c r="C349">
        <v>0.36399999999999999</v>
      </c>
      <c r="D349">
        <v>3.7999999999999999E-2</v>
      </c>
      <c r="E349">
        <v>3.7203623730829499E-56</v>
      </c>
      <c r="F349">
        <v>1</v>
      </c>
      <c r="G349" t="s">
        <v>1041</v>
      </c>
      <c r="H349" t="s">
        <v>1042</v>
      </c>
      <c r="I349" t="str">
        <f>HYPERLINK("https://zfin.org/ZDB-GENE-040426-1901")</f>
        <v>https://zfin.org/ZDB-GENE-040426-1901</v>
      </c>
      <c r="J349" t="s">
        <v>1043</v>
      </c>
    </row>
    <row r="350" spans="1:10" x14ac:dyDescent="0.2">
      <c r="A350">
        <v>5.1871090508150901E-60</v>
      </c>
      <c r="B350">
        <v>0.33783423935558599</v>
      </c>
      <c r="C350">
        <v>0.24299999999999999</v>
      </c>
      <c r="D350">
        <v>1.6E-2</v>
      </c>
      <c r="E350">
        <v>7.2090441588228099E-56</v>
      </c>
      <c r="F350">
        <v>1</v>
      </c>
      <c r="G350" t="s">
        <v>1044</v>
      </c>
      <c r="H350" t="s">
        <v>1045</v>
      </c>
      <c r="I350" t="str">
        <f>HYPERLINK("https://zfin.org/ZDB-GENE-060130-108")</f>
        <v>https://zfin.org/ZDB-GENE-060130-108</v>
      </c>
      <c r="J350" t="s">
        <v>1046</v>
      </c>
    </row>
    <row r="351" spans="1:10" x14ac:dyDescent="0.2">
      <c r="A351">
        <v>2.13461174170911E-59</v>
      </c>
      <c r="B351">
        <v>0.62662851423667598</v>
      </c>
      <c r="C351">
        <v>0.629</v>
      </c>
      <c r="D351">
        <v>0.115</v>
      </c>
      <c r="E351">
        <v>2.96668339862732E-55</v>
      </c>
      <c r="F351">
        <v>1</v>
      </c>
      <c r="G351" t="s">
        <v>1047</v>
      </c>
      <c r="H351" t="s">
        <v>1048</v>
      </c>
      <c r="I351" t="str">
        <f>HYPERLINK("https://zfin.org/ZDB-GENE-030131-9642")</f>
        <v>https://zfin.org/ZDB-GENE-030131-9642</v>
      </c>
      <c r="J351" t="s">
        <v>1049</v>
      </c>
    </row>
    <row r="352" spans="1:10" x14ac:dyDescent="0.2">
      <c r="A352">
        <v>2.1935865500247198E-59</v>
      </c>
      <c r="B352">
        <v>0.25445426388484799</v>
      </c>
      <c r="C352">
        <v>0.193</v>
      </c>
      <c r="D352">
        <v>8.9999999999999993E-3</v>
      </c>
      <c r="E352">
        <v>3.04864658722435E-55</v>
      </c>
      <c r="F352">
        <v>1</v>
      </c>
      <c r="G352" t="s">
        <v>1050</v>
      </c>
      <c r="H352" t="s">
        <v>1051</v>
      </c>
      <c r="I352" t="str">
        <f>HYPERLINK("https://zfin.org/ZDB-GENE-050913-81")</f>
        <v>https://zfin.org/ZDB-GENE-050913-81</v>
      </c>
      <c r="J352" t="s">
        <v>1052</v>
      </c>
    </row>
    <row r="353" spans="1:10" x14ac:dyDescent="0.2">
      <c r="A353">
        <v>4.7827730085980004E-59</v>
      </c>
      <c r="B353">
        <v>0.37732617404834001</v>
      </c>
      <c r="C353">
        <v>0.2</v>
      </c>
      <c r="D353">
        <v>0.01</v>
      </c>
      <c r="E353">
        <v>6.6470979273495E-55</v>
      </c>
      <c r="F353">
        <v>1</v>
      </c>
      <c r="G353" t="s">
        <v>1053</v>
      </c>
      <c r="H353" t="s">
        <v>1054</v>
      </c>
      <c r="I353" t="str">
        <f>HYPERLINK("https://zfin.org/ZDB-GENE-091204-411")</f>
        <v>https://zfin.org/ZDB-GENE-091204-411</v>
      </c>
      <c r="J353" t="s">
        <v>1055</v>
      </c>
    </row>
    <row r="354" spans="1:10" x14ac:dyDescent="0.2">
      <c r="A354">
        <v>1.04527218168587E-58</v>
      </c>
      <c r="B354">
        <v>0.32910314352335701</v>
      </c>
      <c r="C354">
        <v>0.214</v>
      </c>
      <c r="D354">
        <v>1.2E-2</v>
      </c>
      <c r="E354">
        <v>1.45271927810702E-54</v>
      </c>
      <c r="F354">
        <v>1</v>
      </c>
      <c r="G354" t="s">
        <v>1056</v>
      </c>
      <c r="H354" t="s">
        <v>1057</v>
      </c>
      <c r="I354" t="str">
        <f>HYPERLINK("https://zfin.org/ZDB-GENE-131127-55")</f>
        <v>https://zfin.org/ZDB-GENE-131127-55</v>
      </c>
      <c r="J354" t="s">
        <v>1058</v>
      </c>
    </row>
    <row r="355" spans="1:10" x14ac:dyDescent="0.2">
      <c r="A355">
        <v>1.9793140381453099E-58</v>
      </c>
      <c r="B355">
        <v>-0.78485758868858202</v>
      </c>
      <c r="C355">
        <v>1</v>
      </c>
      <c r="D355">
        <v>1</v>
      </c>
      <c r="E355">
        <v>2.7508506502143498E-54</v>
      </c>
      <c r="F355">
        <v>1</v>
      </c>
      <c r="G355" t="s">
        <v>1059</v>
      </c>
      <c r="H355" t="s">
        <v>1060</v>
      </c>
      <c r="I355" t="str">
        <f>HYPERLINK("https://zfin.org/ZDB-GENE-990415-52")</f>
        <v>https://zfin.org/ZDB-GENE-990415-52</v>
      </c>
      <c r="J355" t="s">
        <v>1061</v>
      </c>
    </row>
    <row r="356" spans="1:10" x14ac:dyDescent="0.2">
      <c r="A356">
        <v>2.0620179193837901E-58</v>
      </c>
      <c r="B356">
        <v>0.44511749217103502</v>
      </c>
      <c r="C356">
        <v>0.42899999999999999</v>
      </c>
      <c r="D356">
        <v>5.3999999999999999E-2</v>
      </c>
      <c r="E356">
        <v>2.8657925043595898E-54</v>
      </c>
      <c r="F356">
        <v>1</v>
      </c>
      <c r="G356" t="s">
        <v>1062</v>
      </c>
      <c r="H356" t="s">
        <v>1063</v>
      </c>
      <c r="I356" t="str">
        <f>HYPERLINK("https://zfin.org/ZDB-GENE-030131-3027")</f>
        <v>https://zfin.org/ZDB-GENE-030131-3027</v>
      </c>
      <c r="J356" t="s">
        <v>1064</v>
      </c>
    </row>
    <row r="357" spans="1:10" x14ac:dyDescent="0.2">
      <c r="A357">
        <v>2.8368037431719799E-58</v>
      </c>
      <c r="B357">
        <v>-1.869588621011</v>
      </c>
      <c r="C357">
        <v>0.81399999999999995</v>
      </c>
      <c r="D357">
        <v>0.93600000000000005</v>
      </c>
      <c r="E357">
        <v>3.9425898422604202E-54</v>
      </c>
      <c r="F357">
        <v>1</v>
      </c>
      <c r="G357" t="s">
        <v>1065</v>
      </c>
      <c r="H357" t="s">
        <v>1066</v>
      </c>
      <c r="I357" t="str">
        <f>HYPERLINK("https://zfin.org/ZDB-GENE-030131-3532")</f>
        <v>https://zfin.org/ZDB-GENE-030131-3532</v>
      </c>
      <c r="J357" t="s">
        <v>1067</v>
      </c>
    </row>
    <row r="358" spans="1:10" x14ac:dyDescent="0.2">
      <c r="A358">
        <v>4.0168641025621401E-58</v>
      </c>
      <c r="B358">
        <v>0.55773578269229995</v>
      </c>
      <c r="C358">
        <v>0.41399999999999998</v>
      </c>
      <c r="D358">
        <v>5.2999999999999999E-2</v>
      </c>
      <c r="E358">
        <v>5.5826377297408595E-54</v>
      </c>
      <c r="F358">
        <v>1</v>
      </c>
      <c r="G358" t="s">
        <v>1068</v>
      </c>
      <c r="H358" t="s">
        <v>1069</v>
      </c>
      <c r="I358" t="str">
        <f>HYPERLINK("https://zfin.org/ZDB-GENE-031118-91")</f>
        <v>https://zfin.org/ZDB-GENE-031118-91</v>
      </c>
      <c r="J358" t="s">
        <v>1070</v>
      </c>
    </row>
    <row r="359" spans="1:10" x14ac:dyDescent="0.2">
      <c r="A359">
        <v>4.0962153787265399E-58</v>
      </c>
      <c r="B359">
        <v>0.25975707987010699</v>
      </c>
      <c r="C359">
        <v>0.15</v>
      </c>
      <c r="D359">
        <v>4.0000000000000001E-3</v>
      </c>
      <c r="E359">
        <v>5.6929201333541503E-54</v>
      </c>
      <c r="F359">
        <v>1</v>
      </c>
      <c r="G359" t="s">
        <v>1071</v>
      </c>
      <c r="H359" t="s">
        <v>1072</v>
      </c>
      <c r="I359" t="str">
        <f>HYPERLINK("https://zfin.org/ZDB-GENE-060531-163")</f>
        <v>https://zfin.org/ZDB-GENE-060531-163</v>
      </c>
      <c r="J359" t="s">
        <v>1073</v>
      </c>
    </row>
    <row r="360" spans="1:10" x14ac:dyDescent="0.2">
      <c r="A360">
        <v>4.2463923364481999E-58</v>
      </c>
      <c r="B360">
        <v>1.15245930188613</v>
      </c>
      <c r="C360">
        <v>0.78600000000000003</v>
      </c>
      <c r="D360">
        <v>0.214</v>
      </c>
      <c r="E360">
        <v>5.9016360691957004E-54</v>
      </c>
      <c r="F360">
        <v>1</v>
      </c>
      <c r="G360" t="s">
        <v>1074</v>
      </c>
      <c r="H360" t="s">
        <v>1075</v>
      </c>
      <c r="I360" t="str">
        <f>HYPERLINK("https://zfin.org/ZDB-GENE-030131-5590")</f>
        <v>https://zfin.org/ZDB-GENE-030131-5590</v>
      </c>
      <c r="J360" t="s">
        <v>1076</v>
      </c>
    </row>
    <row r="361" spans="1:10" x14ac:dyDescent="0.2">
      <c r="A361">
        <v>6.7085465963396096E-58</v>
      </c>
      <c r="B361">
        <v>0.39792072047534599</v>
      </c>
      <c r="C361">
        <v>0.35699999999999998</v>
      </c>
      <c r="D361">
        <v>3.7999999999999999E-2</v>
      </c>
      <c r="E361">
        <v>9.32353805959279E-54</v>
      </c>
      <c r="F361">
        <v>1</v>
      </c>
      <c r="G361" t="s">
        <v>1077</v>
      </c>
      <c r="H361" t="s">
        <v>1078</v>
      </c>
      <c r="I361" t="str">
        <f>HYPERLINK("https://zfin.org/ZDB-GENE-041212-41")</f>
        <v>https://zfin.org/ZDB-GENE-041212-41</v>
      </c>
      <c r="J361" t="s">
        <v>1079</v>
      </c>
    </row>
    <row r="362" spans="1:10" x14ac:dyDescent="0.2">
      <c r="A362">
        <v>8.2180264378609098E-58</v>
      </c>
      <c r="B362">
        <v>0.78176919033677905</v>
      </c>
      <c r="C362">
        <v>0.8</v>
      </c>
      <c r="D362">
        <v>0.191</v>
      </c>
      <c r="E362">
        <v>1.1421413143339101E-53</v>
      </c>
      <c r="F362">
        <v>1</v>
      </c>
      <c r="G362" t="s">
        <v>1080</v>
      </c>
      <c r="H362" t="s">
        <v>1081</v>
      </c>
      <c r="I362" t="str">
        <f>HYPERLINK("https://zfin.org/ZDB-GENE-040426-1784")</f>
        <v>https://zfin.org/ZDB-GENE-040426-1784</v>
      </c>
      <c r="J362" t="s">
        <v>1082</v>
      </c>
    </row>
    <row r="363" spans="1:10" x14ac:dyDescent="0.2">
      <c r="A363">
        <v>8.8578053386151395E-57</v>
      </c>
      <c r="B363">
        <v>0.27500571292265802</v>
      </c>
      <c r="C363">
        <v>0.16400000000000001</v>
      </c>
      <c r="D363">
        <v>6.0000000000000001E-3</v>
      </c>
      <c r="E363">
        <v>1.2310577859607301E-52</v>
      </c>
      <c r="F363">
        <v>1</v>
      </c>
      <c r="G363" t="s">
        <v>1083</v>
      </c>
      <c r="H363" t="s">
        <v>1084</v>
      </c>
      <c r="I363" t="str">
        <f>HYPERLINK("https://zfin.org/ZDB-GENE-160113-42")</f>
        <v>https://zfin.org/ZDB-GENE-160113-42</v>
      </c>
      <c r="J363" t="s">
        <v>1085</v>
      </c>
    </row>
    <row r="364" spans="1:10" x14ac:dyDescent="0.2">
      <c r="A364">
        <v>2.3664360220873302E-56</v>
      </c>
      <c r="B364">
        <v>1.0772547285488201</v>
      </c>
      <c r="C364">
        <v>0.84299999999999997</v>
      </c>
      <c r="D364">
        <v>0.26500000000000001</v>
      </c>
      <c r="E364">
        <v>3.2888727834969698E-52</v>
      </c>
      <c r="F364">
        <v>1</v>
      </c>
      <c r="G364" t="s">
        <v>1086</v>
      </c>
      <c r="H364" t="s">
        <v>1087</v>
      </c>
      <c r="I364" t="str">
        <f>HYPERLINK("https://zfin.org/ZDB-GENE-040426-1119")</f>
        <v>https://zfin.org/ZDB-GENE-040426-1119</v>
      </c>
      <c r="J364" t="s">
        <v>1088</v>
      </c>
    </row>
    <row r="365" spans="1:10" x14ac:dyDescent="0.2">
      <c r="A365">
        <v>2.4564090636633601E-56</v>
      </c>
      <c r="B365">
        <v>0.51299038224809301</v>
      </c>
      <c r="C365">
        <v>0.47899999999999998</v>
      </c>
      <c r="D365">
        <v>7.0999999999999994E-2</v>
      </c>
      <c r="E365">
        <v>3.4139173166793397E-52</v>
      </c>
      <c r="F365">
        <v>1</v>
      </c>
      <c r="G365" t="s">
        <v>1089</v>
      </c>
      <c r="H365" t="s">
        <v>1090</v>
      </c>
      <c r="I365" t="str">
        <f>HYPERLINK("https://zfin.org/ZDB-GENE-030131-5906")</f>
        <v>https://zfin.org/ZDB-GENE-030131-5906</v>
      </c>
      <c r="J365" t="s">
        <v>1091</v>
      </c>
    </row>
    <row r="366" spans="1:10" x14ac:dyDescent="0.2">
      <c r="A366">
        <v>4.1588361735522399E-56</v>
      </c>
      <c r="B366">
        <v>0.70144578950591396</v>
      </c>
      <c r="C366">
        <v>0.70699999999999996</v>
      </c>
      <c r="D366">
        <v>0.15</v>
      </c>
      <c r="E366">
        <v>5.7799505140029003E-52</v>
      </c>
      <c r="F366">
        <v>1</v>
      </c>
      <c r="G366" t="s">
        <v>1092</v>
      </c>
      <c r="H366" t="s">
        <v>1093</v>
      </c>
      <c r="I366" t="str">
        <f>HYPERLINK("https://zfin.org/ZDB-GENE-030219-147")</f>
        <v>https://zfin.org/ZDB-GENE-030219-147</v>
      </c>
      <c r="J366" t="s">
        <v>1094</v>
      </c>
    </row>
    <row r="367" spans="1:10" x14ac:dyDescent="0.2">
      <c r="A367">
        <v>4.7151689470416303E-56</v>
      </c>
      <c r="B367">
        <v>0.34716464614042503</v>
      </c>
      <c r="C367">
        <v>0.17100000000000001</v>
      </c>
      <c r="D367">
        <v>7.0000000000000001E-3</v>
      </c>
      <c r="E367">
        <v>6.5531418025984597E-52</v>
      </c>
      <c r="F367">
        <v>1</v>
      </c>
      <c r="G367" t="s">
        <v>1095</v>
      </c>
      <c r="H367" t="s">
        <v>1096</v>
      </c>
      <c r="I367" t="str">
        <f>HYPERLINK("https://zfin.org/ZDB-GENE-070705-190")</f>
        <v>https://zfin.org/ZDB-GENE-070705-190</v>
      </c>
      <c r="J367" t="s">
        <v>1097</v>
      </c>
    </row>
    <row r="368" spans="1:10" x14ac:dyDescent="0.2">
      <c r="A368">
        <v>5.1664126988753701E-56</v>
      </c>
      <c r="B368">
        <v>1.08590424895294</v>
      </c>
      <c r="C368">
        <v>0.96399999999999997</v>
      </c>
      <c r="D368">
        <v>0.38900000000000001</v>
      </c>
      <c r="E368">
        <v>7.1802803688969896E-52</v>
      </c>
      <c r="F368">
        <v>1</v>
      </c>
      <c r="G368" t="s">
        <v>1098</v>
      </c>
      <c r="H368" t="s">
        <v>1099</v>
      </c>
      <c r="I368" t="str">
        <f>HYPERLINK("https://zfin.org/ZDB-GENE-030127-1")</f>
        <v>https://zfin.org/ZDB-GENE-030127-1</v>
      </c>
      <c r="J368" t="s">
        <v>1100</v>
      </c>
    </row>
    <row r="369" spans="1:10" x14ac:dyDescent="0.2">
      <c r="A369">
        <v>1.7657274546328202E-55</v>
      </c>
      <c r="B369">
        <v>0.30354059515624399</v>
      </c>
      <c r="C369">
        <v>0.20699999999999999</v>
      </c>
      <c r="D369">
        <v>1.2E-2</v>
      </c>
      <c r="E369">
        <v>2.4540080164486999E-51</v>
      </c>
      <c r="F369">
        <v>1</v>
      </c>
      <c r="G369" t="s">
        <v>1101</v>
      </c>
      <c r="H369" t="s">
        <v>1102</v>
      </c>
      <c r="I369" t="str">
        <f>HYPERLINK("https://zfin.org/ZDB-GENE-040426-1218")</f>
        <v>https://zfin.org/ZDB-GENE-040426-1218</v>
      </c>
      <c r="J369" t="s">
        <v>1103</v>
      </c>
    </row>
    <row r="370" spans="1:10" x14ac:dyDescent="0.2">
      <c r="A370">
        <v>1.9718285181266898E-55</v>
      </c>
      <c r="B370">
        <v>0.309922050399701</v>
      </c>
      <c r="C370">
        <v>0.214</v>
      </c>
      <c r="D370">
        <v>1.2999999999999999E-2</v>
      </c>
      <c r="E370">
        <v>2.7404472744924703E-51</v>
      </c>
      <c r="F370">
        <v>1</v>
      </c>
      <c r="G370" t="s">
        <v>1104</v>
      </c>
      <c r="H370" t="s">
        <v>1105</v>
      </c>
      <c r="I370" t="str">
        <f>HYPERLINK("https://zfin.org/ZDB-GENE-060503-135")</f>
        <v>https://zfin.org/ZDB-GENE-060503-135</v>
      </c>
      <c r="J370" t="s">
        <v>1106</v>
      </c>
    </row>
    <row r="371" spans="1:10" x14ac:dyDescent="0.2">
      <c r="A371">
        <v>2.9823532439752198E-54</v>
      </c>
      <c r="B371">
        <v>0.25080880168756797</v>
      </c>
      <c r="C371">
        <v>0.14299999999999999</v>
      </c>
      <c r="D371">
        <v>4.0000000000000001E-3</v>
      </c>
      <c r="E371">
        <v>4.1448745384767599E-50</v>
      </c>
      <c r="F371">
        <v>1</v>
      </c>
      <c r="G371" t="s">
        <v>1107</v>
      </c>
      <c r="H371" t="s">
        <v>1108</v>
      </c>
      <c r="I371" t="str">
        <f>HYPERLINK("https://zfin.org/ZDB-GENE-100316-7")</f>
        <v>https://zfin.org/ZDB-GENE-100316-7</v>
      </c>
      <c r="J371" t="s">
        <v>1109</v>
      </c>
    </row>
    <row r="372" spans="1:10" x14ac:dyDescent="0.2">
      <c r="A372">
        <v>4.75468078058172E-54</v>
      </c>
      <c r="B372">
        <v>0.43270645393651602</v>
      </c>
      <c r="C372">
        <v>0.371</v>
      </c>
      <c r="D372">
        <v>4.4999999999999998E-2</v>
      </c>
      <c r="E372">
        <v>6.6080553488524802E-50</v>
      </c>
      <c r="F372">
        <v>1</v>
      </c>
      <c r="G372" t="s">
        <v>1110</v>
      </c>
      <c r="H372" t="s">
        <v>1111</v>
      </c>
      <c r="I372" t="str">
        <f>HYPERLINK("https://zfin.org/ZDB-GENE-040426-1604")</f>
        <v>https://zfin.org/ZDB-GENE-040426-1604</v>
      </c>
      <c r="J372" t="s">
        <v>1112</v>
      </c>
    </row>
    <row r="373" spans="1:10" x14ac:dyDescent="0.2">
      <c r="A373">
        <v>1.1319269087687201E-53</v>
      </c>
      <c r="B373">
        <v>0.42282403981187999</v>
      </c>
      <c r="C373">
        <v>0.34300000000000003</v>
      </c>
      <c r="D373">
        <v>3.7999999999999999E-2</v>
      </c>
      <c r="E373">
        <v>1.57315201780676E-49</v>
      </c>
      <c r="F373">
        <v>1</v>
      </c>
      <c r="G373" t="s">
        <v>1113</v>
      </c>
      <c r="H373" t="s">
        <v>1114</v>
      </c>
      <c r="I373" t="str">
        <f>HYPERLINK("https://zfin.org/ZDB-GENE-040625-74")</f>
        <v>https://zfin.org/ZDB-GENE-040625-74</v>
      </c>
      <c r="J373" t="s">
        <v>1115</v>
      </c>
    </row>
    <row r="374" spans="1:10" x14ac:dyDescent="0.2">
      <c r="A374">
        <v>1.54789232656196E-53</v>
      </c>
      <c r="B374">
        <v>-1.8164402516826801</v>
      </c>
      <c r="C374">
        <v>0.50700000000000001</v>
      </c>
      <c r="D374">
        <v>0.89</v>
      </c>
      <c r="E374">
        <v>2.1512607554558201E-49</v>
      </c>
      <c r="F374">
        <v>1</v>
      </c>
      <c r="G374" t="s">
        <v>1116</v>
      </c>
      <c r="H374" t="s">
        <v>1117</v>
      </c>
      <c r="I374" t="str">
        <f>HYPERLINK("https://zfin.org/ZDB-GENE-110411-160")</f>
        <v>https://zfin.org/ZDB-GENE-110411-160</v>
      </c>
      <c r="J374" t="s">
        <v>1118</v>
      </c>
    </row>
    <row r="375" spans="1:10" x14ac:dyDescent="0.2">
      <c r="A375">
        <v>1.95973394081914E-53</v>
      </c>
      <c r="B375">
        <v>0.35817214387018498</v>
      </c>
      <c r="C375">
        <v>0.114</v>
      </c>
      <c r="D375">
        <v>2E-3</v>
      </c>
      <c r="E375">
        <v>2.7236382309504398E-49</v>
      </c>
      <c r="F375">
        <v>1</v>
      </c>
      <c r="G375" t="s">
        <v>1119</v>
      </c>
      <c r="H375" t="s">
        <v>1120</v>
      </c>
      <c r="I375" t="str">
        <f>HYPERLINK("https://zfin.org/ZDB-GENE-030131-6619")</f>
        <v>https://zfin.org/ZDB-GENE-030131-6619</v>
      </c>
      <c r="J375" t="s">
        <v>1121</v>
      </c>
    </row>
    <row r="376" spans="1:10" x14ac:dyDescent="0.2">
      <c r="A376">
        <v>2.0670321631051E-53</v>
      </c>
      <c r="B376">
        <v>0.74284775652958801</v>
      </c>
      <c r="C376">
        <v>0.83599999999999997</v>
      </c>
      <c r="D376">
        <v>0.216</v>
      </c>
      <c r="E376">
        <v>2.8727613002834701E-49</v>
      </c>
      <c r="F376">
        <v>1</v>
      </c>
      <c r="G376" t="s">
        <v>1122</v>
      </c>
      <c r="H376" t="s">
        <v>1123</v>
      </c>
      <c r="I376" t="str">
        <f>HYPERLINK("https://zfin.org/ZDB-GENE-040426-1650")</f>
        <v>https://zfin.org/ZDB-GENE-040426-1650</v>
      </c>
      <c r="J376" t="s">
        <v>1124</v>
      </c>
    </row>
    <row r="377" spans="1:10" x14ac:dyDescent="0.2">
      <c r="A377">
        <v>3.0544027315827798E-53</v>
      </c>
      <c r="B377">
        <v>0.93851148247904004</v>
      </c>
      <c r="C377">
        <v>1</v>
      </c>
      <c r="D377">
        <v>0.96399999999999997</v>
      </c>
      <c r="E377">
        <v>4.24500891635375E-49</v>
      </c>
      <c r="F377">
        <v>1</v>
      </c>
      <c r="G377" t="s">
        <v>1125</v>
      </c>
      <c r="H377" t="s">
        <v>1126</v>
      </c>
      <c r="I377" t="str">
        <f>HYPERLINK("https://zfin.org/ZDB-GENE-040718-72")</f>
        <v>https://zfin.org/ZDB-GENE-040718-72</v>
      </c>
      <c r="J377" t="s">
        <v>1127</v>
      </c>
    </row>
    <row r="378" spans="1:10" x14ac:dyDescent="0.2">
      <c r="A378">
        <v>8.2270554920953603E-53</v>
      </c>
      <c r="B378">
        <v>0.42628714654824501</v>
      </c>
      <c r="C378">
        <v>0.41399999999999998</v>
      </c>
      <c r="D378">
        <v>5.6000000000000001E-2</v>
      </c>
      <c r="E378">
        <v>1.14339617229141E-48</v>
      </c>
      <c r="F378">
        <v>1</v>
      </c>
      <c r="G378" t="s">
        <v>1128</v>
      </c>
      <c r="H378" t="s">
        <v>1129</v>
      </c>
      <c r="I378" t="str">
        <f>HYPERLINK("https://zfin.org/ZDB-GENE-040115-2")</f>
        <v>https://zfin.org/ZDB-GENE-040115-2</v>
      </c>
      <c r="J378" t="s">
        <v>1130</v>
      </c>
    </row>
    <row r="379" spans="1:10" x14ac:dyDescent="0.2">
      <c r="A379">
        <v>1.5574546602263599E-52</v>
      </c>
      <c r="B379">
        <v>0.44726827740501102</v>
      </c>
      <c r="C379">
        <v>0.35699999999999998</v>
      </c>
      <c r="D379">
        <v>4.2999999999999997E-2</v>
      </c>
      <c r="E379">
        <v>2.1645504867826001E-48</v>
      </c>
      <c r="F379">
        <v>1</v>
      </c>
      <c r="G379" t="s">
        <v>1131</v>
      </c>
      <c r="H379" t="s">
        <v>1132</v>
      </c>
      <c r="I379" t="str">
        <f>HYPERLINK("https://zfin.org/ZDB-GENE-040718-384")</f>
        <v>https://zfin.org/ZDB-GENE-040718-384</v>
      </c>
      <c r="J379" t="s">
        <v>1133</v>
      </c>
    </row>
    <row r="380" spans="1:10" x14ac:dyDescent="0.2">
      <c r="A380">
        <v>2.4721768220452701E-52</v>
      </c>
      <c r="B380">
        <v>0.64435000333262604</v>
      </c>
      <c r="C380">
        <v>0.47899999999999998</v>
      </c>
      <c r="D380">
        <v>7.8E-2</v>
      </c>
      <c r="E380">
        <v>3.4358313472785103E-48</v>
      </c>
      <c r="F380">
        <v>1</v>
      </c>
      <c r="G380" t="s">
        <v>1134</v>
      </c>
      <c r="H380" t="s">
        <v>1135</v>
      </c>
      <c r="I380" t="str">
        <f>HYPERLINK("https://zfin.org/ZDB-GENE-020103-2")</f>
        <v>https://zfin.org/ZDB-GENE-020103-2</v>
      </c>
      <c r="J380" t="s">
        <v>1136</v>
      </c>
    </row>
    <row r="381" spans="1:10" x14ac:dyDescent="0.2">
      <c r="A381">
        <v>4.6665279789063002E-52</v>
      </c>
      <c r="B381">
        <v>0.92987840948966305</v>
      </c>
      <c r="C381">
        <v>0.98599999999999999</v>
      </c>
      <c r="D381">
        <v>0.45400000000000001</v>
      </c>
      <c r="E381">
        <v>6.4855405850839702E-48</v>
      </c>
      <c r="F381">
        <v>1</v>
      </c>
      <c r="G381" t="s">
        <v>1137</v>
      </c>
      <c r="H381" t="s">
        <v>1138</v>
      </c>
      <c r="I381" t="str">
        <f>HYPERLINK("https://zfin.org/ZDB-GENE-040718-199")</f>
        <v>https://zfin.org/ZDB-GENE-040718-199</v>
      </c>
      <c r="J381" t="s">
        <v>1139</v>
      </c>
    </row>
    <row r="382" spans="1:10" x14ac:dyDescent="0.2">
      <c r="A382">
        <v>1.27095815478607E-51</v>
      </c>
      <c r="B382">
        <v>0.327782358664721</v>
      </c>
      <c r="C382">
        <v>0.2</v>
      </c>
      <c r="D382">
        <v>1.2E-2</v>
      </c>
      <c r="E382">
        <v>1.76637764352168E-47</v>
      </c>
      <c r="F382">
        <v>1</v>
      </c>
      <c r="G382" t="s">
        <v>1140</v>
      </c>
      <c r="H382" t="s">
        <v>1141</v>
      </c>
      <c r="I382" t="str">
        <f>HYPERLINK("https://zfin.org/ZDB-GENE-050309-265")</f>
        <v>https://zfin.org/ZDB-GENE-050309-265</v>
      </c>
      <c r="J382" t="s">
        <v>1142</v>
      </c>
    </row>
    <row r="383" spans="1:10" x14ac:dyDescent="0.2">
      <c r="A383">
        <v>1.4831304675685101E-51</v>
      </c>
      <c r="B383">
        <v>0.34022414813732599</v>
      </c>
      <c r="C383">
        <v>0.221</v>
      </c>
      <c r="D383">
        <v>1.6E-2</v>
      </c>
      <c r="E383">
        <v>2.0612547238267199E-47</v>
      </c>
      <c r="F383">
        <v>1</v>
      </c>
      <c r="G383" t="s">
        <v>1143</v>
      </c>
      <c r="H383" t="s">
        <v>1144</v>
      </c>
      <c r="I383" t="str">
        <f>HYPERLINK("https://zfin.org/ZDB-GENE-070206-10")</f>
        <v>https://zfin.org/ZDB-GENE-070206-10</v>
      </c>
      <c r="J383" t="s">
        <v>1145</v>
      </c>
    </row>
    <row r="384" spans="1:10" x14ac:dyDescent="0.2">
      <c r="A384">
        <v>5.9894252877121003E-51</v>
      </c>
      <c r="B384">
        <v>0.54365705973060696</v>
      </c>
      <c r="C384">
        <v>0.46400000000000002</v>
      </c>
      <c r="D384">
        <v>7.3999999999999996E-2</v>
      </c>
      <c r="E384">
        <v>8.3241032648622795E-47</v>
      </c>
      <c r="F384">
        <v>1</v>
      </c>
      <c r="G384" t="s">
        <v>1146</v>
      </c>
      <c r="H384" t="s">
        <v>1147</v>
      </c>
      <c r="I384" t="str">
        <f>HYPERLINK("https://zfin.org/ZDB-GENE-040426-2503")</f>
        <v>https://zfin.org/ZDB-GENE-040426-2503</v>
      </c>
      <c r="J384" t="s">
        <v>1148</v>
      </c>
    </row>
    <row r="385" spans="1:10" x14ac:dyDescent="0.2">
      <c r="A385">
        <v>7.43183773874421E-51</v>
      </c>
      <c r="B385">
        <v>-1.4542289078617701</v>
      </c>
      <c r="C385">
        <v>0.57099999999999995</v>
      </c>
      <c r="D385">
        <v>0.88500000000000001</v>
      </c>
      <c r="E385">
        <v>1.0328768089306699E-46</v>
      </c>
      <c r="F385">
        <v>1</v>
      </c>
      <c r="G385" t="s">
        <v>1149</v>
      </c>
      <c r="H385" t="s">
        <v>1150</v>
      </c>
      <c r="I385" t="str">
        <f>HYPERLINK("https://zfin.org/ZDB-GENE-040426-2768")</f>
        <v>https://zfin.org/ZDB-GENE-040426-2768</v>
      </c>
      <c r="J385" t="s">
        <v>1151</v>
      </c>
    </row>
    <row r="386" spans="1:10" x14ac:dyDescent="0.2">
      <c r="A386">
        <v>2.1171713948196899E-50</v>
      </c>
      <c r="B386">
        <v>0.25079648510082397</v>
      </c>
      <c r="C386">
        <v>0.121</v>
      </c>
      <c r="D386">
        <v>3.0000000000000001E-3</v>
      </c>
      <c r="E386">
        <v>2.9424448045204001E-46</v>
      </c>
      <c r="F386">
        <v>1</v>
      </c>
      <c r="G386" t="s">
        <v>1152</v>
      </c>
      <c r="H386" t="s">
        <v>1153</v>
      </c>
      <c r="I386" t="str">
        <f>HYPERLINK("https://zfin.org/ZDB-GENE-091118-68")</f>
        <v>https://zfin.org/ZDB-GENE-091118-68</v>
      </c>
      <c r="J386" t="s">
        <v>1154</v>
      </c>
    </row>
    <row r="387" spans="1:10" x14ac:dyDescent="0.2">
      <c r="A387">
        <v>5.3339819814714601E-50</v>
      </c>
      <c r="B387">
        <v>0.947820165339467</v>
      </c>
      <c r="C387">
        <v>0.97099999999999997</v>
      </c>
      <c r="D387">
        <v>0.53</v>
      </c>
      <c r="E387">
        <v>7.4131681578490397E-46</v>
      </c>
      <c r="F387">
        <v>1</v>
      </c>
      <c r="G387" t="s">
        <v>1155</v>
      </c>
      <c r="H387" t="s">
        <v>1156</v>
      </c>
      <c r="I387" t="str">
        <f>HYPERLINK("https://zfin.org/ZDB-GENE-040426-1966")</f>
        <v>https://zfin.org/ZDB-GENE-040426-1966</v>
      </c>
      <c r="J387" t="s">
        <v>1157</v>
      </c>
    </row>
    <row r="388" spans="1:10" x14ac:dyDescent="0.2">
      <c r="A388">
        <v>9.7661943090730692E-50</v>
      </c>
      <c r="B388">
        <v>0.35474844742606298</v>
      </c>
      <c r="C388">
        <v>0.221</v>
      </c>
      <c r="D388">
        <v>1.6E-2</v>
      </c>
      <c r="E388">
        <v>1.35730568507497E-45</v>
      </c>
      <c r="F388">
        <v>1</v>
      </c>
      <c r="G388" t="s">
        <v>1158</v>
      </c>
      <c r="H388" t="s">
        <v>1159</v>
      </c>
      <c r="I388" t="str">
        <f>HYPERLINK("https://zfin.org/ZDB-GENE-110411-177")</f>
        <v>https://zfin.org/ZDB-GENE-110411-177</v>
      </c>
      <c r="J388" t="s">
        <v>1160</v>
      </c>
    </row>
    <row r="389" spans="1:10" x14ac:dyDescent="0.2">
      <c r="A389">
        <v>1.0028148762053199E-49</v>
      </c>
      <c r="B389">
        <v>0.459631616962143</v>
      </c>
      <c r="C389">
        <v>0.32100000000000001</v>
      </c>
      <c r="D389">
        <v>3.6999999999999998E-2</v>
      </c>
      <c r="E389">
        <v>1.3937121149501499E-45</v>
      </c>
      <c r="F389">
        <v>1</v>
      </c>
      <c r="G389" t="s">
        <v>1161</v>
      </c>
      <c r="H389" t="s">
        <v>1162</v>
      </c>
      <c r="I389" t="str">
        <f>HYPERLINK("https://zfin.org/ZDB-GENE-040426-1143")</f>
        <v>https://zfin.org/ZDB-GENE-040426-1143</v>
      </c>
      <c r="J389" t="s">
        <v>1163</v>
      </c>
    </row>
    <row r="390" spans="1:10" x14ac:dyDescent="0.2">
      <c r="A390">
        <v>1.3345284268331201E-49</v>
      </c>
      <c r="B390">
        <v>0.77045373059502598</v>
      </c>
      <c r="C390">
        <v>0.88600000000000001</v>
      </c>
      <c r="D390">
        <v>0.27400000000000002</v>
      </c>
      <c r="E390">
        <v>1.8547276076126701E-45</v>
      </c>
      <c r="F390">
        <v>1</v>
      </c>
      <c r="G390" t="s">
        <v>1164</v>
      </c>
      <c r="H390" t="s">
        <v>1165</v>
      </c>
      <c r="I390" t="str">
        <f>HYPERLINK("https://zfin.org/ZDB-GENE-030131-6514")</f>
        <v>https://zfin.org/ZDB-GENE-030131-6514</v>
      </c>
      <c r="J390" t="s">
        <v>1166</v>
      </c>
    </row>
    <row r="391" spans="1:10" x14ac:dyDescent="0.2">
      <c r="A391">
        <v>2.5857400655098302E-49</v>
      </c>
      <c r="B391">
        <v>-1.49548611745445</v>
      </c>
      <c r="C391">
        <v>0.80700000000000005</v>
      </c>
      <c r="D391">
        <v>0.92500000000000004</v>
      </c>
      <c r="E391">
        <v>3.5936615430455697E-45</v>
      </c>
      <c r="F391">
        <v>1</v>
      </c>
      <c r="G391" t="s">
        <v>1167</v>
      </c>
      <c r="H391" t="s">
        <v>1168</v>
      </c>
      <c r="I391" t="str">
        <f>HYPERLINK("https://zfin.org/ZDB-GENE-061201-9")</f>
        <v>https://zfin.org/ZDB-GENE-061201-9</v>
      </c>
      <c r="J391" t="s">
        <v>1169</v>
      </c>
    </row>
    <row r="392" spans="1:10" x14ac:dyDescent="0.2">
      <c r="A392">
        <v>2.67713419971836E-49</v>
      </c>
      <c r="B392">
        <v>0.41166232605958297</v>
      </c>
      <c r="C392">
        <v>0.34300000000000003</v>
      </c>
      <c r="D392">
        <v>4.2000000000000003E-2</v>
      </c>
      <c r="E392">
        <v>3.7206811107685803E-45</v>
      </c>
      <c r="F392">
        <v>1</v>
      </c>
      <c r="G392" t="s">
        <v>1170</v>
      </c>
      <c r="H392" t="s">
        <v>1171</v>
      </c>
      <c r="I392" t="str">
        <f>HYPERLINK("https://zfin.org/ZDB-GENE-040426-1663")</f>
        <v>https://zfin.org/ZDB-GENE-040426-1663</v>
      </c>
      <c r="J392" t="s">
        <v>1172</v>
      </c>
    </row>
    <row r="393" spans="1:10" x14ac:dyDescent="0.2">
      <c r="A393">
        <v>3.8374003317649397E-49</v>
      </c>
      <c r="B393">
        <v>0.66934747910500503</v>
      </c>
      <c r="C393">
        <v>0.77100000000000002</v>
      </c>
      <c r="D393">
        <v>0.19600000000000001</v>
      </c>
      <c r="E393">
        <v>5.33321898108691E-45</v>
      </c>
      <c r="F393">
        <v>1</v>
      </c>
      <c r="G393" t="s">
        <v>1173</v>
      </c>
      <c r="H393" t="s">
        <v>1174</v>
      </c>
      <c r="I393" t="str">
        <f>HYPERLINK("https://zfin.org/ZDB-GENE-040426-1087")</f>
        <v>https://zfin.org/ZDB-GENE-040426-1087</v>
      </c>
      <c r="J393" t="s">
        <v>1175</v>
      </c>
    </row>
    <row r="394" spans="1:10" x14ac:dyDescent="0.2">
      <c r="A394">
        <v>5.9435119110626796E-49</v>
      </c>
      <c r="B394">
        <v>0.33537388085358999</v>
      </c>
      <c r="C394">
        <v>0.29299999999999998</v>
      </c>
      <c r="D394">
        <v>0.03</v>
      </c>
      <c r="E394">
        <v>8.2602928539949101E-45</v>
      </c>
      <c r="F394">
        <v>1</v>
      </c>
      <c r="G394" t="s">
        <v>1176</v>
      </c>
      <c r="H394" t="s">
        <v>1177</v>
      </c>
      <c r="I394" t="str">
        <f>HYPERLINK("https://zfin.org/ZDB-GENE-041008-14")</f>
        <v>https://zfin.org/ZDB-GENE-041008-14</v>
      </c>
      <c r="J394" t="s">
        <v>1178</v>
      </c>
    </row>
    <row r="395" spans="1:10" x14ac:dyDescent="0.2">
      <c r="A395">
        <v>1.5196892089065799E-48</v>
      </c>
      <c r="B395">
        <v>-1.3744753715742299</v>
      </c>
      <c r="C395">
        <v>0.73599999999999999</v>
      </c>
      <c r="D395">
        <v>0.88800000000000001</v>
      </c>
      <c r="E395">
        <v>2.11206406253837E-44</v>
      </c>
      <c r="F395">
        <v>1</v>
      </c>
      <c r="G395" t="s">
        <v>1179</v>
      </c>
      <c r="H395" t="s">
        <v>1180</v>
      </c>
      <c r="I395" t="str">
        <f>HYPERLINK("https://zfin.org/ZDB-GENE-030410-1")</f>
        <v>https://zfin.org/ZDB-GENE-030410-1</v>
      </c>
      <c r="J395" t="s">
        <v>1181</v>
      </c>
    </row>
    <row r="396" spans="1:10" x14ac:dyDescent="0.2">
      <c r="A396">
        <v>1.7957208126828801E-48</v>
      </c>
      <c r="B396">
        <v>0.65151938321362601</v>
      </c>
      <c r="C396">
        <v>0.72899999999999998</v>
      </c>
      <c r="D396">
        <v>0.17899999999999999</v>
      </c>
      <c r="E396">
        <v>2.49569278546667E-44</v>
      </c>
      <c r="F396">
        <v>1</v>
      </c>
      <c r="G396" t="s">
        <v>1182</v>
      </c>
      <c r="H396" t="s">
        <v>1183</v>
      </c>
      <c r="I396" t="str">
        <f>HYPERLINK("https://zfin.org/ZDB-GENE-040426-1341")</f>
        <v>https://zfin.org/ZDB-GENE-040426-1341</v>
      </c>
      <c r="J396" t="s">
        <v>1184</v>
      </c>
    </row>
    <row r="397" spans="1:10" x14ac:dyDescent="0.2">
      <c r="A397">
        <v>2.12750868570531E-48</v>
      </c>
      <c r="B397">
        <v>0.25257388820569399</v>
      </c>
      <c r="C397">
        <v>0.16400000000000001</v>
      </c>
      <c r="D397">
        <v>8.0000000000000002E-3</v>
      </c>
      <c r="E397">
        <v>2.9568115713932399E-44</v>
      </c>
      <c r="F397">
        <v>1</v>
      </c>
      <c r="G397" t="s">
        <v>1185</v>
      </c>
      <c r="H397" t="s">
        <v>1186</v>
      </c>
      <c r="I397" t="str">
        <f>HYPERLINK("https://zfin.org/ZDB-GENE-051113-296")</f>
        <v>https://zfin.org/ZDB-GENE-051113-296</v>
      </c>
      <c r="J397" t="s">
        <v>1187</v>
      </c>
    </row>
    <row r="398" spans="1:10" x14ac:dyDescent="0.2">
      <c r="A398">
        <v>2.8868086819432902E-48</v>
      </c>
      <c r="B398">
        <v>0.43042697412143599</v>
      </c>
      <c r="C398">
        <v>0.25700000000000001</v>
      </c>
      <c r="D398">
        <v>2.4E-2</v>
      </c>
      <c r="E398">
        <v>4.0120867061647899E-44</v>
      </c>
      <c r="F398">
        <v>1</v>
      </c>
      <c r="G398" t="s">
        <v>1188</v>
      </c>
      <c r="H398" t="s">
        <v>1189</v>
      </c>
      <c r="I398" t="str">
        <f>HYPERLINK("https://zfin.org/ZDB-GENE-050208-747")</f>
        <v>https://zfin.org/ZDB-GENE-050208-747</v>
      </c>
      <c r="J398" t="s">
        <v>1190</v>
      </c>
    </row>
    <row r="399" spans="1:10" x14ac:dyDescent="0.2">
      <c r="A399">
        <v>4.0419388926391097E-48</v>
      </c>
      <c r="B399">
        <v>0.67311818184509997</v>
      </c>
      <c r="C399">
        <v>0.77100000000000002</v>
      </c>
      <c r="D399">
        <v>0.19700000000000001</v>
      </c>
      <c r="E399">
        <v>5.6174866729898298E-44</v>
      </c>
      <c r="F399">
        <v>1</v>
      </c>
      <c r="G399" t="s">
        <v>1191</v>
      </c>
      <c r="H399" t="s">
        <v>1192</v>
      </c>
      <c r="I399" t="str">
        <f>HYPERLINK("https://zfin.org/ZDB-GENE-030131-6965")</f>
        <v>https://zfin.org/ZDB-GENE-030131-6965</v>
      </c>
      <c r="J399" t="s">
        <v>1193</v>
      </c>
    </row>
    <row r="400" spans="1:10" x14ac:dyDescent="0.2">
      <c r="A400">
        <v>1.38801767769744E-47</v>
      </c>
      <c r="B400">
        <v>0.339568696584367</v>
      </c>
      <c r="C400">
        <v>0.16400000000000001</v>
      </c>
      <c r="D400">
        <v>8.9999999999999993E-3</v>
      </c>
      <c r="E400">
        <v>1.9290669684639099E-43</v>
      </c>
      <c r="F400">
        <v>1</v>
      </c>
      <c r="G400" t="s">
        <v>1194</v>
      </c>
      <c r="H400" t="s">
        <v>1195</v>
      </c>
      <c r="I400" t="str">
        <f>HYPERLINK("https://zfin.org/ZDB-GENE-120215-114")</f>
        <v>https://zfin.org/ZDB-GENE-120215-114</v>
      </c>
      <c r="J400" t="s">
        <v>1196</v>
      </c>
    </row>
    <row r="401" spans="1:10" x14ac:dyDescent="0.2">
      <c r="A401">
        <v>1.8712210221067799E-47</v>
      </c>
      <c r="B401">
        <v>0.73168629508560001</v>
      </c>
      <c r="C401">
        <v>0.83599999999999997</v>
      </c>
      <c r="D401">
        <v>0.24299999999999999</v>
      </c>
      <c r="E401">
        <v>2.6006229765239999E-43</v>
      </c>
      <c r="F401">
        <v>1</v>
      </c>
      <c r="G401" t="s">
        <v>1197</v>
      </c>
      <c r="H401" t="s">
        <v>1198</v>
      </c>
      <c r="I401" t="str">
        <f>HYPERLINK("https://zfin.org/ZDB-GENE-060825-325")</f>
        <v>https://zfin.org/ZDB-GENE-060825-325</v>
      </c>
      <c r="J401" t="s">
        <v>1199</v>
      </c>
    </row>
    <row r="402" spans="1:10" x14ac:dyDescent="0.2">
      <c r="A402">
        <v>2.8563058682811899E-47</v>
      </c>
      <c r="B402">
        <v>0.72424146132274103</v>
      </c>
      <c r="C402">
        <v>0.77100000000000002</v>
      </c>
      <c r="D402">
        <v>0.21199999999999999</v>
      </c>
      <c r="E402">
        <v>3.9696938957371902E-43</v>
      </c>
      <c r="F402">
        <v>1</v>
      </c>
      <c r="G402" t="s">
        <v>1200</v>
      </c>
      <c r="H402" t="s">
        <v>1201</v>
      </c>
      <c r="I402" t="str">
        <f>HYPERLINK("https://zfin.org/ZDB-GENE-040426-1960")</f>
        <v>https://zfin.org/ZDB-GENE-040426-1960</v>
      </c>
      <c r="J402" t="s">
        <v>1202</v>
      </c>
    </row>
    <row r="403" spans="1:10" x14ac:dyDescent="0.2">
      <c r="A403">
        <v>4.8357795218011396E-47</v>
      </c>
      <c r="B403">
        <v>0.42141077449618197</v>
      </c>
      <c r="C403">
        <v>0.33600000000000002</v>
      </c>
      <c r="D403">
        <v>4.2000000000000003E-2</v>
      </c>
      <c r="E403">
        <v>6.7207663793992203E-43</v>
      </c>
      <c r="F403">
        <v>1</v>
      </c>
      <c r="G403" t="s">
        <v>1203</v>
      </c>
      <c r="H403" t="s">
        <v>1204</v>
      </c>
      <c r="I403" t="str">
        <f>HYPERLINK("https://zfin.org/ZDB-GENE-050113-1")</f>
        <v>https://zfin.org/ZDB-GENE-050113-1</v>
      </c>
      <c r="J403" t="s">
        <v>1205</v>
      </c>
    </row>
    <row r="404" spans="1:10" x14ac:dyDescent="0.2">
      <c r="A404">
        <v>1.24596249322125E-46</v>
      </c>
      <c r="B404">
        <v>0.69097411554058197</v>
      </c>
      <c r="C404">
        <v>0.85699999999999998</v>
      </c>
      <c r="D404">
        <v>0.24199999999999999</v>
      </c>
      <c r="E404">
        <v>1.7316386730788901E-42</v>
      </c>
      <c r="F404">
        <v>1</v>
      </c>
      <c r="G404" t="s">
        <v>1206</v>
      </c>
      <c r="H404" t="s">
        <v>1207</v>
      </c>
      <c r="I404" t="str">
        <f>HYPERLINK("https://zfin.org/ZDB-GENE-030826-21")</f>
        <v>https://zfin.org/ZDB-GENE-030826-21</v>
      </c>
      <c r="J404" t="s">
        <v>1208</v>
      </c>
    </row>
    <row r="405" spans="1:10" x14ac:dyDescent="0.2">
      <c r="A405">
        <v>1.32614439012745E-46</v>
      </c>
      <c r="B405">
        <v>0.46440342204858698</v>
      </c>
      <c r="C405">
        <v>0.49299999999999999</v>
      </c>
      <c r="D405">
        <v>8.6999999999999994E-2</v>
      </c>
      <c r="E405">
        <v>1.8430754733991301E-42</v>
      </c>
      <c r="F405">
        <v>1</v>
      </c>
      <c r="G405" t="s">
        <v>1209</v>
      </c>
      <c r="H405" t="s">
        <v>1210</v>
      </c>
      <c r="I405" t="str">
        <f>HYPERLINK("https://zfin.org/ZDB-GENE-120411-6")</f>
        <v>https://zfin.org/ZDB-GENE-120411-6</v>
      </c>
      <c r="J405" t="s">
        <v>1211</v>
      </c>
    </row>
    <row r="406" spans="1:10" x14ac:dyDescent="0.2">
      <c r="A406">
        <v>1.83399986261697E-46</v>
      </c>
      <c r="B406">
        <v>0.30416751394483899</v>
      </c>
      <c r="C406">
        <v>0.29299999999999998</v>
      </c>
      <c r="D406">
        <v>3.2000000000000001E-2</v>
      </c>
      <c r="E406">
        <v>2.5488930090650701E-42</v>
      </c>
      <c r="F406">
        <v>1</v>
      </c>
      <c r="G406" t="s">
        <v>1212</v>
      </c>
      <c r="H406" t="s">
        <v>1213</v>
      </c>
      <c r="I406" t="str">
        <f>HYPERLINK("https://zfin.org/ZDB-GENE-040426-1676")</f>
        <v>https://zfin.org/ZDB-GENE-040426-1676</v>
      </c>
      <c r="J406" t="s">
        <v>1214</v>
      </c>
    </row>
    <row r="407" spans="1:10" x14ac:dyDescent="0.2">
      <c r="A407">
        <v>5.9216626006567296E-46</v>
      </c>
      <c r="B407">
        <v>0.85196297837033597</v>
      </c>
      <c r="C407">
        <v>0.98599999999999999</v>
      </c>
      <c r="D407">
        <v>0.50800000000000001</v>
      </c>
      <c r="E407">
        <v>8.2299266823927195E-42</v>
      </c>
      <c r="F407">
        <v>1</v>
      </c>
      <c r="G407" t="s">
        <v>1215</v>
      </c>
      <c r="H407" t="s">
        <v>1216</v>
      </c>
      <c r="I407" t="str">
        <f>HYPERLINK("https://zfin.org/ZDB-GENE-071015-3")</f>
        <v>https://zfin.org/ZDB-GENE-071015-3</v>
      </c>
      <c r="J407" t="s">
        <v>1217</v>
      </c>
    </row>
    <row r="408" spans="1:10" x14ac:dyDescent="0.2">
      <c r="A408">
        <v>1.0193912449069E-45</v>
      </c>
      <c r="B408">
        <v>0.26548397532738399</v>
      </c>
      <c r="C408">
        <v>0.20699999999999999</v>
      </c>
      <c r="D408">
        <v>1.6E-2</v>
      </c>
      <c r="E408">
        <v>1.4167499521716E-41</v>
      </c>
      <c r="F408">
        <v>1</v>
      </c>
      <c r="G408" t="s">
        <v>1218</v>
      </c>
      <c r="H408" t="s">
        <v>1219</v>
      </c>
      <c r="I408" t="str">
        <f>HYPERLINK("https://zfin.org/ZDB-GENE-030521-42")</f>
        <v>https://zfin.org/ZDB-GENE-030521-42</v>
      </c>
      <c r="J408" t="s">
        <v>1220</v>
      </c>
    </row>
    <row r="409" spans="1:10" x14ac:dyDescent="0.2">
      <c r="A409">
        <v>1.06298979164286E-45</v>
      </c>
      <c r="B409">
        <v>-1.7849737451300001</v>
      </c>
      <c r="C409">
        <v>0.93600000000000005</v>
      </c>
      <c r="D409">
        <v>0.94199999999999995</v>
      </c>
      <c r="E409">
        <v>1.47734321242524E-41</v>
      </c>
      <c r="F409">
        <v>1</v>
      </c>
      <c r="G409" t="s">
        <v>1221</v>
      </c>
      <c r="H409" t="s">
        <v>1222</v>
      </c>
      <c r="I409" t="str">
        <f>HYPERLINK("https://zfin.org/ZDB-GENE-040426-1508")</f>
        <v>https://zfin.org/ZDB-GENE-040426-1508</v>
      </c>
      <c r="J409" t="s">
        <v>1223</v>
      </c>
    </row>
    <row r="410" spans="1:10" x14ac:dyDescent="0.2">
      <c r="A410">
        <v>1.7811910359390401E-45</v>
      </c>
      <c r="B410">
        <v>0.42503158973937799</v>
      </c>
      <c r="C410">
        <v>0.47099999999999997</v>
      </c>
      <c r="D410">
        <v>8.2000000000000003E-2</v>
      </c>
      <c r="E410">
        <v>2.4754993017480799E-41</v>
      </c>
      <c r="F410">
        <v>1</v>
      </c>
      <c r="G410" t="s">
        <v>1224</v>
      </c>
      <c r="H410" t="s">
        <v>1225</v>
      </c>
      <c r="I410" t="str">
        <f>HYPERLINK("https://zfin.org/ZDB-GENE-030131-760")</f>
        <v>https://zfin.org/ZDB-GENE-030131-760</v>
      </c>
      <c r="J410" t="s">
        <v>1226</v>
      </c>
    </row>
    <row r="411" spans="1:10" x14ac:dyDescent="0.2">
      <c r="A411">
        <v>2.0002523474740701E-45</v>
      </c>
      <c r="B411">
        <v>-1.7225873061610699</v>
      </c>
      <c r="C411">
        <v>0.4</v>
      </c>
      <c r="D411">
        <v>0.82</v>
      </c>
      <c r="E411">
        <v>2.77995071251947E-41</v>
      </c>
      <c r="F411">
        <v>1</v>
      </c>
      <c r="G411" t="s">
        <v>1227</v>
      </c>
      <c r="H411" t="s">
        <v>1228</v>
      </c>
      <c r="I411" t="str">
        <f>HYPERLINK("https://zfin.org/ZDB-GENE-060316-3")</f>
        <v>https://zfin.org/ZDB-GENE-060316-3</v>
      </c>
      <c r="J411" t="s">
        <v>1229</v>
      </c>
    </row>
    <row r="412" spans="1:10" x14ac:dyDescent="0.2">
      <c r="A412">
        <v>2.0599593227636899E-45</v>
      </c>
      <c r="B412">
        <v>0.27116409715760098</v>
      </c>
      <c r="C412">
        <v>0.27100000000000002</v>
      </c>
      <c r="D412">
        <v>2.8000000000000001E-2</v>
      </c>
      <c r="E412">
        <v>2.8629314667769798E-41</v>
      </c>
      <c r="F412">
        <v>1</v>
      </c>
      <c r="G412" t="s">
        <v>1230</v>
      </c>
      <c r="H412" t="s">
        <v>1231</v>
      </c>
      <c r="I412" t="str">
        <f>HYPERLINK("https://zfin.org/ZDB-GENE-040614-3")</f>
        <v>https://zfin.org/ZDB-GENE-040614-3</v>
      </c>
      <c r="J412" t="s">
        <v>1232</v>
      </c>
    </row>
    <row r="413" spans="1:10" x14ac:dyDescent="0.2">
      <c r="A413">
        <v>2.44985278807636E-45</v>
      </c>
      <c r="B413">
        <v>0.67069694160728699</v>
      </c>
      <c r="C413">
        <v>1</v>
      </c>
      <c r="D413">
        <v>0.88100000000000001</v>
      </c>
      <c r="E413">
        <v>3.4048054048685298E-41</v>
      </c>
      <c r="F413">
        <v>1</v>
      </c>
      <c r="G413" t="s">
        <v>1233</v>
      </c>
      <c r="H413" t="s">
        <v>1234</v>
      </c>
      <c r="I413" t="str">
        <f>HYPERLINK("https://zfin.org/ZDB-GENE-030131-8062")</f>
        <v>https://zfin.org/ZDB-GENE-030131-8062</v>
      </c>
      <c r="J413" t="s">
        <v>1235</v>
      </c>
    </row>
    <row r="414" spans="1:10" x14ac:dyDescent="0.2">
      <c r="A414">
        <v>2.9047823257707001E-45</v>
      </c>
      <c r="B414">
        <v>-0.72351701384251699</v>
      </c>
      <c r="C414">
        <v>0.99299999999999999</v>
      </c>
      <c r="D414">
        <v>0.98399999999999999</v>
      </c>
      <c r="E414">
        <v>4.0370664763561099E-41</v>
      </c>
      <c r="F414">
        <v>1</v>
      </c>
      <c r="G414" t="s">
        <v>1236</v>
      </c>
      <c r="H414" t="s">
        <v>1237</v>
      </c>
      <c r="I414" t="str">
        <f>HYPERLINK("https://zfin.org/ZDB-GENE-000210-32")</f>
        <v>https://zfin.org/ZDB-GENE-000210-32</v>
      </c>
      <c r="J414" t="s">
        <v>1238</v>
      </c>
    </row>
    <row r="415" spans="1:10" x14ac:dyDescent="0.2">
      <c r="A415">
        <v>5.2538117287925899E-45</v>
      </c>
      <c r="B415">
        <v>0.32378889260620702</v>
      </c>
      <c r="C415">
        <v>0.221</v>
      </c>
      <c r="D415">
        <v>1.9E-2</v>
      </c>
      <c r="E415">
        <v>7.30174754067594E-41</v>
      </c>
      <c r="F415">
        <v>1</v>
      </c>
      <c r="G415" t="s">
        <v>1239</v>
      </c>
      <c r="H415" t="s">
        <v>1240</v>
      </c>
      <c r="I415" t="str">
        <f>HYPERLINK("https://zfin.org/ZDB-GENE-030318-3")</f>
        <v>https://zfin.org/ZDB-GENE-030318-3</v>
      </c>
      <c r="J415" t="s">
        <v>1241</v>
      </c>
    </row>
    <row r="416" spans="1:10" x14ac:dyDescent="0.2">
      <c r="A416">
        <v>5.5376341713898502E-45</v>
      </c>
      <c r="B416">
        <v>0.31430086070893898</v>
      </c>
      <c r="C416">
        <v>0.25</v>
      </c>
      <c r="D416">
        <v>2.4E-2</v>
      </c>
      <c r="E416">
        <v>7.6962039713976104E-41</v>
      </c>
      <c r="F416">
        <v>1</v>
      </c>
      <c r="G416" t="s">
        <v>1242</v>
      </c>
      <c r="H416" t="s">
        <v>1243</v>
      </c>
      <c r="I416" t="str">
        <f>HYPERLINK("https://zfin.org/ZDB-GENE-040426-1162")</f>
        <v>https://zfin.org/ZDB-GENE-040426-1162</v>
      </c>
      <c r="J416" t="s">
        <v>1244</v>
      </c>
    </row>
    <row r="417" spans="1:10" x14ac:dyDescent="0.2">
      <c r="A417">
        <v>8.4551858887845505E-45</v>
      </c>
      <c r="B417">
        <v>0.348400434222916</v>
      </c>
      <c r="C417">
        <v>0.22900000000000001</v>
      </c>
      <c r="D417">
        <v>0.02</v>
      </c>
      <c r="E417">
        <v>1.1751017348232801E-40</v>
      </c>
      <c r="F417">
        <v>1</v>
      </c>
      <c r="G417" t="s">
        <v>1245</v>
      </c>
      <c r="H417" t="s">
        <v>1246</v>
      </c>
      <c r="I417" t="str">
        <f>HYPERLINK("https://zfin.org/ZDB-GENE-040426-1040")</f>
        <v>https://zfin.org/ZDB-GENE-040426-1040</v>
      </c>
      <c r="J417" t="s">
        <v>1247</v>
      </c>
    </row>
    <row r="418" spans="1:10" x14ac:dyDescent="0.2">
      <c r="A418">
        <v>1.70266728103334E-44</v>
      </c>
      <c r="B418">
        <v>0.516505423117671</v>
      </c>
      <c r="C418">
        <v>0.47099999999999997</v>
      </c>
      <c r="D418">
        <v>8.5000000000000006E-2</v>
      </c>
      <c r="E418">
        <v>2.36636698718014E-40</v>
      </c>
      <c r="F418">
        <v>1</v>
      </c>
      <c r="G418" t="s">
        <v>1248</v>
      </c>
      <c r="H418" t="s">
        <v>1249</v>
      </c>
      <c r="I418" t="str">
        <f>HYPERLINK("https://zfin.org/ZDB-GENE-050419-195")</f>
        <v>https://zfin.org/ZDB-GENE-050419-195</v>
      </c>
      <c r="J418" t="s">
        <v>1250</v>
      </c>
    </row>
    <row r="419" spans="1:10" x14ac:dyDescent="0.2">
      <c r="A419">
        <v>2.07278962075036E-44</v>
      </c>
      <c r="B419">
        <v>0.48005329273314201</v>
      </c>
      <c r="C419">
        <v>0.6</v>
      </c>
      <c r="D419">
        <v>0.128</v>
      </c>
      <c r="E419">
        <v>2.8807630149188501E-40</v>
      </c>
      <c r="F419">
        <v>1</v>
      </c>
      <c r="G419" t="s">
        <v>1251</v>
      </c>
      <c r="H419" t="s">
        <v>1252</v>
      </c>
      <c r="I419" t="str">
        <f>HYPERLINK("https://zfin.org/ZDB-GENE-080102-3")</f>
        <v>https://zfin.org/ZDB-GENE-080102-3</v>
      </c>
      <c r="J419" t="s">
        <v>1253</v>
      </c>
    </row>
    <row r="420" spans="1:10" x14ac:dyDescent="0.2">
      <c r="A420">
        <v>3.3751920180759301E-44</v>
      </c>
      <c r="B420">
        <v>0.272905873750172</v>
      </c>
      <c r="C420">
        <v>0.20699999999999999</v>
      </c>
      <c r="D420">
        <v>1.6E-2</v>
      </c>
      <c r="E420">
        <v>4.6908418667219203E-40</v>
      </c>
      <c r="F420">
        <v>1</v>
      </c>
      <c r="G420" t="s">
        <v>1254</v>
      </c>
      <c r="H420" t="s">
        <v>1255</v>
      </c>
      <c r="I420" t="str">
        <f>HYPERLINK("https://zfin.org/ZDB-GENE-070620-18")</f>
        <v>https://zfin.org/ZDB-GENE-070620-18</v>
      </c>
      <c r="J420" t="s">
        <v>1256</v>
      </c>
    </row>
    <row r="421" spans="1:10" x14ac:dyDescent="0.2">
      <c r="A421">
        <v>3.6260789260169899E-44</v>
      </c>
      <c r="B421">
        <v>0.31272867904663498</v>
      </c>
      <c r="C421">
        <v>0.23599999999999999</v>
      </c>
      <c r="D421">
        <v>2.1999999999999999E-2</v>
      </c>
      <c r="E421">
        <v>5.0395244913784101E-40</v>
      </c>
      <c r="F421">
        <v>1</v>
      </c>
      <c r="G421" t="s">
        <v>1257</v>
      </c>
      <c r="H421" t="s">
        <v>1258</v>
      </c>
      <c r="I421" t="str">
        <f>HYPERLINK("https://zfin.org/ZDB-GENE-030131-9020")</f>
        <v>https://zfin.org/ZDB-GENE-030131-9020</v>
      </c>
      <c r="J421" t="s">
        <v>1259</v>
      </c>
    </row>
    <row r="422" spans="1:10" x14ac:dyDescent="0.2">
      <c r="A422">
        <v>4.3973605650579798E-44</v>
      </c>
      <c r="B422">
        <v>0.42877028483920498</v>
      </c>
      <c r="C422">
        <v>0.25700000000000001</v>
      </c>
      <c r="D422">
        <v>2.5999999999999999E-2</v>
      </c>
      <c r="E422">
        <v>6.1114517133175797E-40</v>
      </c>
      <c r="F422">
        <v>1</v>
      </c>
      <c r="G422" t="s">
        <v>1260</v>
      </c>
      <c r="H422" t="s">
        <v>1261</v>
      </c>
      <c r="I422" t="str">
        <f>HYPERLINK("https://zfin.org/ZDB-GENE-061013-134")</f>
        <v>https://zfin.org/ZDB-GENE-061013-134</v>
      </c>
      <c r="J422" t="s">
        <v>1262</v>
      </c>
    </row>
    <row r="423" spans="1:10" x14ac:dyDescent="0.2">
      <c r="A423">
        <v>5.0642489138220395E-44</v>
      </c>
      <c r="B423">
        <v>0.81627213875851501</v>
      </c>
      <c r="C423">
        <v>0.95</v>
      </c>
      <c r="D423">
        <v>0.36</v>
      </c>
      <c r="E423">
        <v>7.0382931404298698E-40</v>
      </c>
      <c r="F423">
        <v>1</v>
      </c>
      <c r="G423" t="s">
        <v>1263</v>
      </c>
      <c r="H423" t="s">
        <v>1264</v>
      </c>
      <c r="I423" t="str">
        <f>HYPERLINK("https://zfin.org/ZDB-GENE-110914-234")</f>
        <v>https://zfin.org/ZDB-GENE-110914-234</v>
      </c>
      <c r="J423" t="s">
        <v>1265</v>
      </c>
    </row>
    <row r="424" spans="1:10" x14ac:dyDescent="0.2">
      <c r="A424">
        <v>8.7707056309625402E-44</v>
      </c>
      <c r="B424">
        <v>0.36156161018990102</v>
      </c>
      <c r="C424">
        <v>0.314</v>
      </c>
      <c r="D424">
        <v>0.04</v>
      </c>
      <c r="E424">
        <v>1.2189526685911701E-39</v>
      </c>
      <c r="F424">
        <v>1</v>
      </c>
      <c r="G424" t="s">
        <v>1266</v>
      </c>
      <c r="H424" t="s">
        <v>1267</v>
      </c>
      <c r="I424" t="str">
        <f>HYPERLINK("https://zfin.org/ZDB-GENE-040614-1")</f>
        <v>https://zfin.org/ZDB-GENE-040614-1</v>
      </c>
      <c r="J424" t="s">
        <v>1268</v>
      </c>
    </row>
    <row r="425" spans="1:10" x14ac:dyDescent="0.2">
      <c r="A425">
        <v>9.7786626161020301E-44</v>
      </c>
      <c r="B425">
        <v>-1.5065037493383999</v>
      </c>
      <c r="C425">
        <v>0.70699999999999996</v>
      </c>
      <c r="D425">
        <v>0.86399999999999999</v>
      </c>
      <c r="E425">
        <v>1.35903853038586E-39</v>
      </c>
      <c r="F425">
        <v>1</v>
      </c>
      <c r="G425" t="s">
        <v>1269</v>
      </c>
      <c r="H425" t="s">
        <v>1270</v>
      </c>
      <c r="I425" t="str">
        <f>HYPERLINK("https://zfin.org/ZDB-GENE-061111-1")</f>
        <v>https://zfin.org/ZDB-GENE-061111-1</v>
      </c>
      <c r="J425" t="s">
        <v>1271</v>
      </c>
    </row>
    <row r="426" spans="1:10" x14ac:dyDescent="0.2">
      <c r="A426">
        <v>1.0840607194568899E-43</v>
      </c>
      <c r="B426">
        <v>0.56677738184376203</v>
      </c>
      <c r="C426">
        <v>0.68600000000000005</v>
      </c>
      <c r="D426">
        <v>0.16500000000000001</v>
      </c>
      <c r="E426">
        <v>1.5066275879011801E-39</v>
      </c>
      <c r="F426">
        <v>1</v>
      </c>
      <c r="G426" t="s">
        <v>1272</v>
      </c>
      <c r="H426" t="s">
        <v>1273</v>
      </c>
      <c r="I426" t="str">
        <f>HYPERLINK("https://zfin.org/ZDB-GENE-020122-3")</f>
        <v>https://zfin.org/ZDB-GENE-020122-3</v>
      </c>
      <c r="J426" t="s">
        <v>1274</v>
      </c>
    </row>
    <row r="427" spans="1:10" x14ac:dyDescent="0.2">
      <c r="A427">
        <v>1.3154356258348E-43</v>
      </c>
      <c r="B427">
        <v>-1.66299724789549</v>
      </c>
      <c r="C427">
        <v>0.58599999999999997</v>
      </c>
      <c r="D427">
        <v>0.84899999999999998</v>
      </c>
      <c r="E427">
        <v>1.82819243278521E-39</v>
      </c>
      <c r="F427">
        <v>1</v>
      </c>
      <c r="G427" t="s">
        <v>1275</v>
      </c>
      <c r="H427" t="s">
        <v>1276</v>
      </c>
      <c r="I427" t="str">
        <f>HYPERLINK("https://zfin.org/ZDB-GENE-050522-73")</f>
        <v>https://zfin.org/ZDB-GENE-050522-73</v>
      </c>
      <c r="J427" t="s">
        <v>1277</v>
      </c>
    </row>
    <row r="428" spans="1:10" x14ac:dyDescent="0.2">
      <c r="A428">
        <v>1.8811895497809201E-43</v>
      </c>
      <c r="B428">
        <v>0.55395123590582596</v>
      </c>
      <c r="C428">
        <v>0.52100000000000002</v>
      </c>
      <c r="D428">
        <v>0.106</v>
      </c>
      <c r="E428">
        <v>2.6144772362855201E-39</v>
      </c>
      <c r="F428">
        <v>1</v>
      </c>
      <c r="G428" t="s">
        <v>1278</v>
      </c>
      <c r="H428" t="s">
        <v>1279</v>
      </c>
      <c r="I428" t="str">
        <f>HYPERLINK("https://zfin.org/ZDB-GENE-040426-1753")</f>
        <v>https://zfin.org/ZDB-GENE-040426-1753</v>
      </c>
      <c r="J428" t="s">
        <v>1280</v>
      </c>
    </row>
    <row r="429" spans="1:10" x14ac:dyDescent="0.2">
      <c r="A429">
        <v>2.48407012410047E-43</v>
      </c>
      <c r="B429">
        <v>0.38610405165692502</v>
      </c>
      <c r="C429">
        <v>0.35</v>
      </c>
      <c r="D429">
        <v>4.9000000000000002E-2</v>
      </c>
      <c r="E429">
        <v>3.4523606584748301E-39</v>
      </c>
      <c r="F429">
        <v>1</v>
      </c>
      <c r="G429" t="s">
        <v>1281</v>
      </c>
      <c r="H429" t="s">
        <v>1282</v>
      </c>
      <c r="I429" t="str">
        <f>HYPERLINK("https://zfin.org/ZDB-GENE-050309-125")</f>
        <v>https://zfin.org/ZDB-GENE-050309-125</v>
      </c>
      <c r="J429" t="s">
        <v>1283</v>
      </c>
    </row>
    <row r="430" spans="1:10" x14ac:dyDescent="0.2">
      <c r="A430">
        <v>3.17103680668567E-43</v>
      </c>
      <c r="B430">
        <v>-0.69098821794784604</v>
      </c>
      <c r="C430">
        <v>1</v>
      </c>
      <c r="D430">
        <v>0.999</v>
      </c>
      <c r="E430">
        <v>4.4071069539317401E-39</v>
      </c>
      <c r="F430">
        <v>1</v>
      </c>
      <c r="G430" t="s">
        <v>1284</v>
      </c>
      <c r="H430" t="s">
        <v>1285</v>
      </c>
      <c r="I430" t="str">
        <f>HYPERLINK("https://zfin.org/ZDB-GENE-030131-8663")</f>
        <v>https://zfin.org/ZDB-GENE-030131-8663</v>
      </c>
      <c r="J430" t="s">
        <v>1286</v>
      </c>
    </row>
    <row r="431" spans="1:10" x14ac:dyDescent="0.2">
      <c r="A431">
        <v>5.2621417907916098E-43</v>
      </c>
      <c r="B431">
        <v>0.25185078234182501</v>
      </c>
      <c r="C431">
        <v>0.16400000000000001</v>
      </c>
      <c r="D431">
        <v>0.01</v>
      </c>
      <c r="E431">
        <v>7.3133246608421801E-39</v>
      </c>
      <c r="F431">
        <v>1</v>
      </c>
      <c r="G431" t="s">
        <v>1287</v>
      </c>
      <c r="H431" t="s">
        <v>1288</v>
      </c>
      <c r="I431" t="str">
        <f>HYPERLINK("https://zfin.org/ZDB-GENE-110331-1")</f>
        <v>https://zfin.org/ZDB-GENE-110331-1</v>
      </c>
      <c r="J431" t="s">
        <v>1289</v>
      </c>
    </row>
    <row r="432" spans="1:10" x14ac:dyDescent="0.2">
      <c r="A432">
        <v>1.3039696339910601E-42</v>
      </c>
      <c r="B432">
        <v>-0.58907640056835897</v>
      </c>
      <c r="C432">
        <v>0.99299999999999999</v>
      </c>
      <c r="D432">
        <v>0.996</v>
      </c>
      <c r="E432">
        <v>1.8122569973207701E-38</v>
      </c>
      <c r="F432">
        <v>1</v>
      </c>
      <c r="G432" t="s">
        <v>1290</v>
      </c>
      <c r="H432" t="s">
        <v>1291</v>
      </c>
      <c r="I432" t="str">
        <f>HYPERLINK("https://zfin.org/ZDB-GENE-031018-2")</f>
        <v>https://zfin.org/ZDB-GENE-031018-2</v>
      </c>
      <c r="J432" t="s">
        <v>1292</v>
      </c>
    </row>
    <row r="433" spans="1:10" x14ac:dyDescent="0.2">
      <c r="A433">
        <v>2.3007345407015201E-42</v>
      </c>
      <c r="B433">
        <v>0.75184108343018696</v>
      </c>
      <c r="C433">
        <v>1</v>
      </c>
      <c r="D433">
        <v>0.95599999999999996</v>
      </c>
      <c r="E433">
        <v>3.1975608646669798E-38</v>
      </c>
      <c r="F433">
        <v>1</v>
      </c>
      <c r="G433" t="s">
        <v>1293</v>
      </c>
      <c r="H433" t="s">
        <v>1294</v>
      </c>
      <c r="I433" t="str">
        <f>HYPERLINK("https://zfin.org/ZDB-GENE-030131-9744")</f>
        <v>https://zfin.org/ZDB-GENE-030131-9744</v>
      </c>
      <c r="J433" t="s">
        <v>1295</v>
      </c>
    </row>
    <row r="434" spans="1:10" x14ac:dyDescent="0.2">
      <c r="A434">
        <v>4.1963865365651701E-42</v>
      </c>
      <c r="B434">
        <v>0.26153437960070303</v>
      </c>
      <c r="C434">
        <v>0.221</v>
      </c>
      <c r="D434">
        <v>0.02</v>
      </c>
      <c r="E434">
        <v>5.8321380085182697E-38</v>
      </c>
      <c r="F434">
        <v>1</v>
      </c>
      <c r="G434" t="s">
        <v>1296</v>
      </c>
      <c r="H434" t="s">
        <v>1297</v>
      </c>
      <c r="I434" t="str">
        <f>HYPERLINK("https://zfin.org/ZDB-GENE-040801-2")</f>
        <v>https://zfin.org/ZDB-GENE-040801-2</v>
      </c>
      <c r="J434" t="s">
        <v>1298</v>
      </c>
    </row>
    <row r="435" spans="1:10" x14ac:dyDescent="0.2">
      <c r="A435">
        <v>5.8746111819383104E-42</v>
      </c>
      <c r="B435">
        <v>0.30195709968494899</v>
      </c>
      <c r="C435">
        <v>0.33600000000000002</v>
      </c>
      <c r="D435">
        <v>4.5999999999999999E-2</v>
      </c>
      <c r="E435">
        <v>8.1645346206578603E-38</v>
      </c>
      <c r="F435">
        <v>1</v>
      </c>
      <c r="G435" t="s">
        <v>1299</v>
      </c>
      <c r="H435" t="s">
        <v>1300</v>
      </c>
      <c r="I435" t="str">
        <f>HYPERLINK("https://zfin.org/ZDB-GENE-041219-2")</f>
        <v>https://zfin.org/ZDB-GENE-041219-2</v>
      </c>
      <c r="J435" t="s">
        <v>1301</v>
      </c>
    </row>
    <row r="436" spans="1:10" x14ac:dyDescent="0.2">
      <c r="A436">
        <v>8.5211735672828597E-42</v>
      </c>
      <c r="B436">
        <v>0.54568892288692195</v>
      </c>
      <c r="C436">
        <v>0.57899999999999996</v>
      </c>
      <c r="D436">
        <v>0.129</v>
      </c>
      <c r="E436">
        <v>1.1842727023809699E-37</v>
      </c>
      <c r="F436">
        <v>1</v>
      </c>
      <c r="G436" t="s">
        <v>1302</v>
      </c>
      <c r="H436" t="s">
        <v>1303</v>
      </c>
      <c r="I436" t="str">
        <f>HYPERLINK("https://zfin.org/ZDB-GENE-040801-250")</f>
        <v>https://zfin.org/ZDB-GENE-040801-250</v>
      </c>
      <c r="J436" t="s">
        <v>1304</v>
      </c>
    </row>
    <row r="437" spans="1:10" x14ac:dyDescent="0.2">
      <c r="A437">
        <v>1.5030928463623401E-41</v>
      </c>
      <c r="B437">
        <v>-1.2978099539294901</v>
      </c>
      <c r="C437">
        <v>0.92900000000000005</v>
      </c>
      <c r="D437">
        <v>0.92800000000000005</v>
      </c>
      <c r="E437">
        <v>2.0889984378743901E-37</v>
      </c>
      <c r="F437">
        <v>1</v>
      </c>
      <c r="G437" t="s">
        <v>1305</v>
      </c>
      <c r="H437" t="s">
        <v>1306</v>
      </c>
      <c r="I437" t="str">
        <f>HYPERLINK("https://zfin.org/ZDB-GENE-030131-8304")</f>
        <v>https://zfin.org/ZDB-GENE-030131-8304</v>
      </c>
      <c r="J437" t="s">
        <v>1307</v>
      </c>
    </row>
    <row r="438" spans="1:10" x14ac:dyDescent="0.2">
      <c r="A438">
        <v>2.8814591643563701E-41</v>
      </c>
      <c r="B438">
        <v>0.367001670224615</v>
      </c>
      <c r="C438">
        <v>0.26400000000000001</v>
      </c>
      <c r="D438">
        <v>0.03</v>
      </c>
      <c r="E438">
        <v>4.0046519466224898E-37</v>
      </c>
      <c r="F438">
        <v>1</v>
      </c>
      <c r="G438" t="s">
        <v>1308</v>
      </c>
      <c r="H438" t="s">
        <v>1309</v>
      </c>
      <c r="I438" t="str">
        <f>HYPERLINK("https://zfin.org/ZDB-GENE-131120-165")</f>
        <v>https://zfin.org/ZDB-GENE-131120-165</v>
      </c>
      <c r="J438" t="s">
        <v>1310</v>
      </c>
    </row>
    <row r="439" spans="1:10" x14ac:dyDescent="0.2">
      <c r="A439">
        <v>3.9316940059569099E-41</v>
      </c>
      <c r="B439">
        <v>0.61910039605848399</v>
      </c>
      <c r="C439">
        <v>0.48599999999999999</v>
      </c>
      <c r="D439">
        <v>9.8000000000000004E-2</v>
      </c>
      <c r="E439">
        <v>5.4642683294789099E-37</v>
      </c>
      <c r="F439">
        <v>1</v>
      </c>
      <c r="G439" t="s">
        <v>1311</v>
      </c>
      <c r="H439" t="s">
        <v>1312</v>
      </c>
      <c r="I439" t="str">
        <f>HYPERLINK("https://zfin.org/ZDB-GENE-040718-448")</f>
        <v>https://zfin.org/ZDB-GENE-040718-448</v>
      </c>
      <c r="J439" t="s">
        <v>1313</v>
      </c>
    </row>
    <row r="440" spans="1:10" x14ac:dyDescent="0.2">
      <c r="A440">
        <v>5.2702450182232497E-41</v>
      </c>
      <c r="B440">
        <v>0.31383974920510999</v>
      </c>
      <c r="C440">
        <v>0.26400000000000001</v>
      </c>
      <c r="D440">
        <v>0.03</v>
      </c>
      <c r="E440">
        <v>7.3245865263266797E-37</v>
      </c>
      <c r="F440">
        <v>1</v>
      </c>
      <c r="G440" t="s">
        <v>1314</v>
      </c>
      <c r="H440" t="s">
        <v>1315</v>
      </c>
      <c r="I440" t="str">
        <f>HYPERLINK("https://zfin.org/ZDB-GENE-030131-9396")</f>
        <v>https://zfin.org/ZDB-GENE-030131-9396</v>
      </c>
      <c r="J440" t="s">
        <v>1316</v>
      </c>
    </row>
    <row r="441" spans="1:10" x14ac:dyDescent="0.2">
      <c r="A441">
        <v>9.3122549355549105E-41</v>
      </c>
      <c r="B441">
        <v>0.35305230477580002</v>
      </c>
      <c r="C441">
        <v>0.35699999999999998</v>
      </c>
      <c r="D441">
        <v>5.3999999999999999E-2</v>
      </c>
      <c r="E441">
        <v>1.29421719094342E-36</v>
      </c>
      <c r="F441">
        <v>1</v>
      </c>
      <c r="G441" t="s">
        <v>1317</v>
      </c>
      <c r="H441" t="s">
        <v>1318</v>
      </c>
      <c r="I441" t="str">
        <f>HYPERLINK("https://zfin.org/ZDB-GENE-030616-612")</f>
        <v>https://zfin.org/ZDB-GENE-030616-612</v>
      </c>
      <c r="J441" t="s">
        <v>1319</v>
      </c>
    </row>
    <row r="442" spans="1:10" x14ac:dyDescent="0.2">
      <c r="A442">
        <v>1.1250419573892E-40</v>
      </c>
      <c r="B442">
        <v>0.26911876070328</v>
      </c>
      <c r="C442">
        <v>0.27100000000000002</v>
      </c>
      <c r="D442">
        <v>3.2000000000000001E-2</v>
      </c>
      <c r="E442">
        <v>1.5635833123795101E-36</v>
      </c>
      <c r="F442">
        <v>1</v>
      </c>
      <c r="G442" t="s">
        <v>1320</v>
      </c>
      <c r="H442" t="s">
        <v>1321</v>
      </c>
      <c r="I442" t="str">
        <f>HYPERLINK("https://zfin.org/ZDB-GENE-040426-2505")</f>
        <v>https://zfin.org/ZDB-GENE-040426-2505</v>
      </c>
      <c r="J442" t="s">
        <v>1322</v>
      </c>
    </row>
    <row r="443" spans="1:10" x14ac:dyDescent="0.2">
      <c r="A443">
        <v>1.56728395753121E-40</v>
      </c>
      <c r="B443">
        <v>0.74253350765203197</v>
      </c>
      <c r="C443">
        <v>0.98599999999999999</v>
      </c>
      <c r="D443">
        <v>0.629</v>
      </c>
      <c r="E443">
        <v>2.17821124417688E-36</v>
      </c>
      <c r="F443">
        <v>1</v>
      </c>
      <c r="G443" t="s">
        <v>1323</v>
      </c>
      <c r="H443" t="s">
        <v>1324</v>
      </c>
      <c r="I443" t="str">
        <f>HYPERLINK("https://zfin.org/ZDB-GENE-030131-7715")</f>
        <v>https://zfin.org/ZDB-GENE-030131-7715</v>
      </c>
      <c r="J443" t="s">
        <v>1325</v>
      </c>
    </row>
    <row r="444" spans="1:10" x14ac:dyDescent="0.2">
      <c r="A444">
        <v>4.04617942477474E-40</v>
      </c>
      <c r="B444">
        <v>0.65975086414737405</v>
      </c>
      <c r="C444">
        <v>0.80700000000000005</v>
      </c>
      <c r="D444">
        <v>0.252</v>
      </c>
      <c r="E444">
        <v>5.6233801645519297E-36</v>
      </c>
      <c r="F444">
        <v>1</v>
      </c>
      <c r="G444" t="s">
        <v>1326</v>
      </c>
      <c r="H444" t="s">
        <v>1327</v>
      </c>
      <c r="I444" t="str">
        <f>HYPERLINK("https://zfin.org/ZDB-GENE-030131-8410")</f>
        <v>https://zfin.org/ZDB-GENE-030131-8410</v>
      </c>
      <c r="J444" t="s">
        <v>1328</v>
      </c>
    </row>
    <row r="445" spans="1:10" x14ac:dyDescent="0.2">
      <c r="A445">
        <v>7.8550155125253608E-40</v>
      </c>
      <c r="B445">
        <v>0.89279185121553495</v>
      </c>
      <c r="C445">
        <v>0.95</v>
      </c>
      <c r="D445">
        <v>0.48899999999999999</v>
      </c>
      <c r="E445">
        <v>1.09169005593077E-35</v>
      </c>
      <c r="F445">
        <v>1</v>
      </c>
      <c r="G445" t="s">
        <v>1329</v>
      </c>
      <c r="H445" t="s">
        <v>1330</v>
      </c>
      <c r="I445" t="str">
        <f>HYPERLINK("https://zfin.org/ZDB-GENE-030131-8541")</f>
        <v>https://zfin.org/ZDB-GENE-030131-8541</v>
      </c>
      <c r="J445" t="s">
        <v>1331</v>
      </c>
    </row>
    <row r="446" spans="1:10" x14ac:dyDescent="0.2">
      <c r="A446">
        <v>9.0297647737446008E-40</v>
      </c>
      <c r="B446">
        <v>-1.04890618616884</v>
      </c>
      <c r="C446">
        <v>0.871</v>
      </c>
      <c r="D446">
        <v>0.90300000000000002</v>
      </c>
      <c r="E446">
        <v>1.2549567082550201E-35</v>
      </c>
      <c r="F446">
        <v>1</v>
      </c>
      <c r="G446" t="s">
        <v>1332</v>
      </c>
      <c r="H446" t="s">
        <v>1333</v>
      </c>
      <c r="I446" t="str">
        <f>HYPERLINK("https://zfin.org/ZDB-GENE-040426-2740")</f>
        <v>https://zfin.org/ZDB-GENE-040426-2740</v>
      </c>
      <c r="J446" t="s">
        <v>1334</v>
      </c>
    </row>
    <row r="447" spans="1:10" x14ac:dyDescent="0.2">
      <c r="A447">
        <v>1.32978822909693E-39</v>
      </c>
      <c r="B447">
        <v>0.39207366980108099</v>
      </c>
      <c r="C447">
        <v>0.29299999999999998</v>
      </c>
      <c r="D447">
        <v>3.9E-2</v>
      </c>
      <c r="E447">
        <v>1.8481396807989201E-35</v>
      </c>
      <c r="F447">
        <v>1</v>
      </c>
      <c r="G447" t="s">
        <v>1335</v>
      </c>
      <c r="H447" t="s">
        <v>1336</v>
      </c>
      <c r="I447" t="str">
        <f>HYPERLINK("https://zfin.org/ZDB-GENE-040426-1725")</f>
        <v>https://zfin.org/ZDB-GENE-040426-1725</v>
      </c>
      <c r="J447" t="s">
        <v>1337</v>
      </c>
    </row>
    <row r="448" spans="1:10" x14ac:dyDescent="0.2">
      <c r="A448">
        <v>1.5950287704948201E-39</v>
      </c>
      <c r="B448">
        <v>0.45699334770741501</v>
      </c>
      <c r="C448">
        <v>0.55000000000000004</v>
      </c>
      <c r="D448">
        <v>0.11899999999999999</v>
      </c>
      <c r="E448">
        <v>2.2167709852337099E-35</v>
      </c>
      <c r="F448">
        <v>1</v>
      </c>
      <c r="G448" t="s">
        <v>1338</v>
      </c>
      <c r="H448" t="s">
        <v>1339</v>
      </c>
      <c r="I448" t="str">
        <f>HYPERLINK("https://zfin.org/ZDB-GENE-030131-8921")</f>
        <v>https://zfin.org/ZDB-GENE-030131-8921</v>
      </c>
      <c r="J448" t="s">
        <v>1340</v>
      </c>
    </row>
    <row r="449" spans="1:10" x14ac:dyDescent="0.2">
      <c r="A449">
        <v>1.61098190817242E-39</v>
      </c>
      <c r="B449">
        <v>-1.3651937887885699</v>
      </c>
      <c r="C449">
        <v>0.58599999999999997</v>
      </c>
      <c r="D449">
        <v>0.81799999999999995</v>
      </c>
      <c r="E449">
        <v>2.23894265597803E-35</v>
      </c>
      <c r="F449">
        <v>1</v>
      </c>
      <c r="G449" t="s">
        <v>1341</v>
      </c>
      <c r="H449" t="s">
        <v>1342</v>
      </c>
      <c r="I449" t="str">
        <f>HYPERLINK("https://zfin.org/ZDB-GENE-011210-2")</f>
        <v>https://zfin.org/ZDB-GENE-011210-2</v>
      </c>
      <c r="J449" t="s">
        <v>1343</v>
      </c>
    </row>
    <row r="450" spans="1:10" x14ac:dyDescent="0.2">
      <c r="A450">
        <v>1.7760493826742299E-39</v>
      </c>
      <c r="B450">
        <v>-1.3470016788263399</v>
      </c>
      <c r="C450">
        <v>0.871</v>
      </c>
      <c r="D450">
        <v>0.88500000000000001</v>
      </c>
      <c r="E450">
        <v>2.4683534320406402E-35</v>
      </c>
      <c r="F450">
        <v>1</v>
      </c>
      <c r="G450" t="s">
        <v>1344</v>
      </c>
      <c r="H450" t="s">
        <v>1345</v>
      </c>
      <c r="I450" t="str">
        <f>HYPERLINK("https://zfin.org/ZDB-GENE-141222-6")</f>
        <v>https://zfin.org/ZDB-GENE-141222-6</v>
      </c>
      <c r="J450" t="s">
        <v>1346</v>
      </c>
    </row>
    <row r="451" spans="1:10" x14ac:dyDescent="0.2">
      <c r="A451">
        <v>7.74607359259028E-39</v>
      </c>
      <c r="B451">
        <v>0.75622493489599496</v>
      </c>
      <c r="C451">
        <v>0.92100000000000004</v>
      </c>
      <c r="D451">
        <v>0.35599999999999998</v>
      </c>
      <c r="E451">
        <v>1.0765493078982E-34</v>
      </c>
      <c r="F451">
        <v>1</v>
      </c>
      <c r="G451" t="s">
        <v>1347</v>
      </c>
      <c r="H451" t="s">
        <v>1348</v>
      </c>
      <c r="I451" t="str">
        <f>HYPERLINK("https://zfin.org/ZDB-GENE-040912-91")</f>
        <v>https://zfin.org/ZDB-GENE-040912-91</v>
      </c>
      <c r="J451" t="s">
        <v>1349</v>
      </c>
    </row>
    <row r="452" spans="1:10" x14ac:dyDescent="0.2">
      <c r="A452">
        <v>1.9423897016862099E-38</v>
      </c>
      <c r="B452">
        <v>0.71653576447738099</v>
      </c>
      <c r="C452">
        <v>0.80700000000000005</v>
      </c>
      <c r="D452">
        <v>0.26700000000000002</v>
      </c>
      <c r="E452">
        <v>2.6995332074034899E-34</v>
      </c>
      <c r="F452">
        <v>1</v>
      </c>
      <c r="G452" t="s">
        <v>1350</v>
      </c>
      <c r="H452" t="s">
        <v>1351</v>
      </c>
      <c r="I452" t="str">
        <f>HYPERLINK("https://zfin.org/ZDB-GENE-050522-159")</f>
        <v>https://zfin.org/ZDB-GENE-050522-159</v>
      </c>
      <c r="J452" t="s">
        <v>1352</v>
      </c>
    </row>
    <row r="453" spans="1:10" x14ac:dyDescent="0.2">
      <c r="A453">
        <v>2.3845147271932002E-38</v>
      </c>
      <c r="B453">
        <v>-1.53817690332621</v>
      </c>
      <c r="C453">
        <v>0.75</v>
      </c>
      <c r="D453">
        <v>0.86899999999999999</v>
      </c>
      <c r="E453">
        <v>3.3139985678531099E-34</v>
      </c>
      <c r="F453">
        <v>1</v>
      </c>
      <c r="G453" t="s">
        <v>1353</v>
      </c>
      <c r="H453" t="s">
        <v>1354</v>
      </c>
      <c r="I453" t="str">
        <f>HYPERLINK("https://zfin.org/")</f>
        <v>https://zfin.org/</v>
      </c>
    </row>
    <row r="454" spans="1:10" x14ac:dyDescent="0.2">
      <c r="A454">
        <v>3.4495307306369E-38</v>
      </c>
      <c r="B454">
        <v>0.250371214644727</v>
      </c>
      <c r="C454">
        <v>0.25</v>
      </c>
      <c r="D454">
        <v>2.9000000000000001E-2</v>
      </c>
      <c r="E454">
        <v>4.7941578094391602E-34</v>
      </c>
      <c r="F454">
        <v>1</v>
      </c>
      <c r="G454" t="s">
        <v>1355</v>
      </c>
      <c r="H454" t="s">
        <v>1356</v>
      </c>
      <c r="I454" t="str">
        <f>HYPERLINK("https://zfin.org/ZDB-GENE-041114-88")</f>
        <v>https://zfin.org/ZDB-GENE-041114-88</v>
      </c>
      <c r="J454" t="s">
        <v>1357</v>
      </c>
    </row>
    <row r="455" spans="1:10" x14ac:dyDescent="0.2">
      <c r="A455">
        <v>4.12904697753536E-38</v>
      </c>
      <c r="B455">
        <v>0.27418670998479799</v>
      </c>
      <c r="C455">
        <v>0.25700000000000001</v>
      </c>
      <c r="D455">
        <v>3.1E-2</v>
      </c>
      <c r="E455">
        <v>5.7385494893786397E-34</v>
      </c>
      <c r="F455">
        <v>1</v>
      </c>
      <c r="G455" t="s">
        <v>1358</v>
      </c>
      <c r="H455" t="s">
        <v>1359</v>
      </c>
      <c r="I455" t="str">
        <f>HYPERLINK("https://zfin.org/ZDB-GENE-080225-36")</f>
        <v>https://zfin.org/ZDB-GENE-080225-36</v>
      </c>
      <c r="J455" t="s">
        <v>1360</v>
      </c>
    </row>
    <row r="456" spans="1:10" x14ac:dyDescent="0.2">
      <c r="A456">
        <v>4.31384254627714E-38</v>
      </c>
      <c r="B456">
        <v>0.44355465155700102</v>
      </c>
      <c r="C456">
        <v>0.5</v>
      </c>
      <c r="D456">
        <v>0.106</v>
      </c>
      <c r="E456">
        <v>5.9953783708159699E-34</v>
      </c>
      <c r="F456">
        <v>1</v>
      </c>
      <c r="G456" t="s">
        <v>1361</v>
      </c>
      <c r="H456" t="s">
        <v>1362</v>
      </c>
      <c r="I456" t="str">
        <f>HYPERLINK("https://zfin.org/ZDB-GENE-040614-2")</f>
        <v>https://zfin.org/ZDB-GENE-040614-2</v>
      </c>
      <c r="J456" t="s">
        <v>1363</v>
      </c>
    </row>
    <row r="457" spans="1:10" x14ac:dyDescent="0.2">
      <c r="A457">
        <v>5.3282959532012701E-38</v>
      </c>
      <c r="B457">
        <v>0.64699639406470899</v>
      </c>
      <c r="C457">
        <v>0.75700000000000001</v>
      </c>
      <c r="D457">
        <v>0.23200000000000001</v>
      </c>
      <c r="E457">
        <v>7.4052657157591203E-34</v>
      </c>
      <c r="F457">
        <v>1</v>
      </c>
      <c r="G457" t="s">
        <v>1364</v>
      </c>
      <c r="H457" t="s">
        <v>1365</v>
      </c>
      <c r="I457" t="str">
        <f>HYPERLINK("https://zfin.org/ZDB-GENE-040426-2448")</f>
        <v>https://zfin.org/ZDB-GENE-040426-2448</v>
      </c>
      <c r="J457" t="s">
        <v>1366</v>
      </c>
    </row>
    <row r="458" spans="1:10" x14ac:dyDescent="0.2">
      <c r="A458">
        <v>7.1700276529340003E-38</v>
      </c>
      <c r="B458">
        <v>0.387614043384993</v>
      </c>
      <c r="C458">
        <v>0.50700000000000001</v>
      </c>
      <c r="D458">
        <v>0.106</v>
      </c>
      <c r="E458">
        <v>9.9649044320476694E-34</v>
      </c>
      <c r="F458">
        <v>1</v>
      </c>
      <c r="G458" t="s">
        <v>1367</v>
      </c>
      <c r="H458" t="s">
        <v>1368</v>
      </c>
      <c r="I458" t="str">
        <f>HYPERLINK("https://zfin.org/ZDB-GENE-040426-2204")</f>
        <v>https://zfin.org/ZDB-GENE-040426-2204</v>
      </c>
      <c r="J458" t="s">
        <v>1369</v>
      </c>
    </row>
    <row r="459" spans="1:10" x14ac:dyDescent="0.2">
      <c r="A459">
        <v>1.0792288390821401E-37</v>
      </c>
      <c r="B459">
        <v>0.391416371890351</v>
      </c>
      <c r="C459">
        <v>0.41399999999999998</v>
      </c>
      <c r="D459">
        <v>7.5999999999999998E-2</v>
      </c>
      <c r="E459">
        <v>1.49991224055636E-33</v>
      </c>
      <c r="F459">
        <v>1</v>
      </c>
      <c r="G459" t="s">
        <v>1370</v>
      </c>
      <c r="H459" t="s">
        <v>1371</v>
      </c>
      <c r="I459" t="str">
        <f>HYPERLINK("https://zfin.org/ZDB-GENE-040426-713")</f>
        <v>https://zfin.org/ZDB-GENE-040426-713</v>
      </c>
      <c r="J459" t="s">
        <v>1372</v>
      </c>
    </row>
    <row r="460" spans="1:10" x14ac:dyDescent="0.2">
      <c r="A460">
        <v>1.9299190448817498E-37</v>
      </c>
      <c r="B460">
        <v>-1.2618805865775899</v>
      </c>
      <c r="C460">
        <v>0.59299999999999997</v>
      </c>
      <c r="D460">
        <v>0.81399999999999995</v>
      </c>
      <c r="E460">
        <v>2.6822014885766499E-33</v>
      </c>
      <c r="F460">
        <v>1</v>
      </c>
      <c r="G460" t="s">
        <v>1373</v>
      </c>
      <c r="H460" t="s">
        <v>1374</v>
      </c>
      <c r="I460" t="str">
        <f>HYPERLINK("https://zfin.org/ZDB-GENE-010726-1")</f>
        <v>https://zfin.org/ZDB-GENE-010726-1</v>
      </c>
      <c r="J460" t="s">
        <v>1375</v>
      </c>
    </row>
    <row r="461" spans="1:10" x14ac:dyDescent="0.2">
      <c r="A461">
        <v>2.31190455761035E-37</v>
      </c>
      <c r="B461">
        <v>0.48873724113991202</v>
      </c>
      <c r="C461">
        <v>0.443</v>
      </c>
      <c r="D461">
        <v>8.8999999999999996E-2</v>
      </c>
      <c r="E461">
        <v>3.2130849541668702E-33</v>
      </c>
      <c r="F461">
        <v>1</v>
      </c>
      <c r="G461" t="s">
        <v>1376</v>
      </c>
      <c r="H461" t="s">
        <v>1377</v>
      </c>
      <c r="I461" t="str">
        <f>HYPERLINK("https://zfin.org/ZDB-GENE-040907-1")</f>
        <v>https://zfin.org/ZDB-GENE-040907-1</v>
      </c>
      <c r="J461" t="s">
        <v>1378</v>
      </c>
    </row>
    <row r="462" spans="1:10" x14ac:dyDescent="0.2">
      <c r="A462">
        <v>2.9159301588289598E-37</v>
      </c>
      <c r="B462">
        <v>1.01370391017035</v>
      </c>
      <c r="C462">
        <v>0.95699999999999996</v>
      </c>
      <c r="D462">
        <v>0.54</v>
      </c>
      <c r="E462">
        <v>4.0525597347404902E-33</v>
      </c>
      <c r="F462">
        <v>1</v>
      </c>
      <c r="G462" t="s">
        <v>1379</v>
      </c>
      <c r="H462" t="s">
        <v>1380</v>
      </c>
      <c r="I462" t="str">
        <f>HYPERLINK("https://zfin.org/ZDB-GENE-030131-9170")</f>
        <v>https://zfin.org/ZDB-GENE-030131-9170</v>
      </c>
      <c r="J462" t="s">
        <v>1381</v>
      </c>
    </row>
    <row r="463" spans="1:10" x14ac:dyDescent="0.2">
      <c r="A463">
        <v>4.35914388013257E-37</v>
      </c>
      <c r="B463">
        <v>0.25637410970824798</v>
      </c>
      <c r="C463">
        <v>0.14299999999999999</v>
      </c>
      <c r="D463">
        <v>8.9999999999999993E-3</v>
      </c>
      <c r="E463">
        <v>6.05833816460824E-33</v>
      </c>
      <c r="F463">
        <v>1</v>
      </c>
      <c r="G463" t="s">
        <v>1382</v>
      </c>
      <c r="H463" t="s">
        <v>1383</v>
      </c>
      <c r="I463" t="str">
        <f>HYPERLINK("https://zfin.org/ZDB-GENE-040426-1758")</f>
        <v>https://zfin.org/ZDB-GENE-040426-1758</v>
      </c>
      <c r="J463" t="s">
        <v>1384</v>
      </c>
    </row>
    <row r="464" spans="1:10" x14ac:dyDescent="0.2">
      <c r="A464">
        <v>6.9190861528400102E-37</v>
      </c>
      <c r="B464">
        <v>0.259625486995815</v>
      </c>
      <c r="C464">
        <v>0.307</v>
      </c>
      <c r="D464">
        <v>4.3999999999999997E-2</v>
      </c>
      <c r="E464">
        <v>9.6161459352170505E-33</v>
      </c>
      <c r="F464">
        <v>1</v>
      </c>
      <c r="G464" t="s">
        <v>1385</v>
      </c>
      <c r="H464" t="s">
        <v>1386</v>
      </c>
      <c r="I464" t="str">
        <f>HYPERLINK("https://zfin.org/")</f>
        <v>https://zfin.org/</v>
      </c>
    </row>
    <row r="465" spans="1:10" x14ac:dyDescent="0.2">
      <c r="A465">
        <v>1.6533952346436401E-36</v>
      </c>
      <c r="B465">
        <v>1.51827755402552</v>
      </c>
      <c r="C465">
        <v>0.52900000000000003</v>
      </c>
      <c r="D465">
        <v>0.14099999999999999</v>
      </c>
      <c r="E465">
        <v>2.2978886971077301E-32</v>
      </c>
      <c r="F465">
        <v>1</v>
      </c>
      <c r="G465" t="s">
        <v>1387</v>
      </c>
      <c r="H465" t="s">
        <v>1388</v>
      </c>
      <c r="I465" t="str">
        <f>HYPERLINK("https://zfin.org/ZDB-GENE-121214-253")</f>
        <v>https://zfin.org/ZDB-GENE-121214-253</v>
      </c>
      <c r="J465" t="s">
        <v>1389</v>
      </c>
    </row>
    <row r="466" spans="1:10" x14ac:dyDescent="0.2">
      <c r="A466">
        <v>2.2115311686263301E-36</v>
      </c>
      <c r="B466">
        <v>0.29841406001203102</v>
      </c>
      <c r="C466">
        <v>0.2</v>
      </c>
      <c r="D466">
        <v>1.9E-2</v>
      </c>
      <c r="E466">
        <v>3.0735860181568701E-32</v>
      </c>
      <c r="F466">
        <v>1</v>
      </c>
      <c r="G466" t="s">
        <v>1390</v>
      </c>
      <c r="H466" t="s">
        <v>1391</v>
      </c>
      <c r="I466" t="str">
        <f>HYPERLINK("https://zfin.org/ZDB-GENE-050517-21")</f>
        <v>https://zfin.org/ZDB-GENE-050517-21</v>
      </c>
      <c r="J466" t="s">
        <v>1392</v>
      </c>
    </row>
    <row r="467" spans="1:10" x14ac:dyDescent="0.2">
      <c r="A467">
        <v>2.8398730592157099E-36</v>
      </c>
      <c r="B467">
        <v>0.40132075566529202</v>
      </c>
      <c r="C467">
        <v>0.42899999999999999</v>
      </c>
      <c r="D467">
        <v>8.4000000000000005E-2</v>
      </c>
      <c r="E467">
        <v>3.9468555776979901E-32</v>
      </c>
      <c r="F467">
        <v>1</v>
      </c>
      <c r="G467" t="s">
        <v>1393</v>
      </c>
      <c r="H467" t="s">
        <v>1394</v>
      </c>
      <c r="I467" t="str">
        <f>HYPERLINK("https://zfin.org/ZDB-GENE-030711-3")</f>
        <v>https://zfin.org/ZDB-GENE-030711-3</v>
      </c>
      <c r="J467" t="s">
        <v>1395</v>
      </c>
    </row>
    <row r="468" spans="1:10" x14ac:dyDescent="0.2">
      <c r="A468">
        <v>2.8427279464123701E-36</v>
      </c>
      <c r="B468">
        <v>0.45374337869291798</v>
      </c>
      <c r="C468">
        <v>0.40699999999999997</v>
      </c>
      <c r="D468">
        <v>7.8E-2</v>
      </c>
      <c r="E468">
        <v>3.9508232999239099E-32</v>
      </c>
      <c r="F468">
        <v>1</v>
      </c>
      <c r="G468" t="s">
        <v>1396</v>
      </c>
      <c r="H468" t="s">
        <v>1397</v>
      </c>
      <c r="I468" t="str">
        <f>HYPERLINK("https://zfin.org/ZDB-GENE-060825-166")</f>
        <v>https://zfin.org/ZDB-GENE-060825-166</v>
      </c>
      <c r="J468" t="s">
        <v>1398</v>
      </c>
    </row>
    <row r="469" spans="1:10" x14ac:dyDescent="0.2">
      <c r="A469">
        <v>4.5245212279630599E-36</v>
      </c>
      <c r="B469">
        <v>0.36756603109439201</v>
      </c>
      <c r="C469">
        <v>0.443</v>
      </c>
      <c r="D469">
        <v>8.7999999999999995E-2</v>
      </c>
      <c r="E469">
        <v>6.2881796026230502E-32</v>
      </c>
      <c r="F469">
        <v>1</v>
      </c>
      <c r="G469" t="s">
        <v>1399</v>
      </c>
      <c r="H469" t="s">
        <v>1400</v>
      </c>
      <c r="I469" t="str">
        <f>HYPERLINK("https://zfin.org/ZDB-GENE-111013-4")</f>
        <v>https://zfin.org/ZDB-GENE-111013-4</v>
      </c>
      <c r="J469" t="s">
        <v>1401</v>
      </c>
    </row>
    <row r="470" spans="1:10" x14ac:dyDescent="0.2">
      <c r="A470">
        <v>4.6954792393023603E-36</v>
      </c>
      <c r="B470">
        <v>0.354613055226083</v>
      </c>
      <c r="C470">
        <v>0.371</v>
      </c>
      <c r="D470">
        <v>6.5000000000000002E-2</v>
      </c>
      <c r="E470">
        <v>6.5257770467824201E-32</v>
      </c>
      <c r="F470">
        <v>1</v>
      </c>
      <c r="G470" t="s">
        <v>1402</v>
      </c>
      <c r="H470" t="s">
        <v>1403</v>
      </c>
      <c r="I470" t="str">
        <f>HYPERLINK("https://zfin.org/ZDB-GENE-040426-754")</f>
        <v>https://zfin.org/ZDB-GENE-040426-754</v>
      </c>
      <c r="J470" t="s">
        <v>1404</v>
      </c>
    </row>
    <row r="471" spans="1:10" x14ac:dyDescent="0.2">
      <c r="A471">
        <v>5.1333137144344401E-36</v>
      </c>
      <c r="B471">
        <v>-1.41420873667814</v>
      </c>
      <c r="C471">
        <v>0.51400000000000001</v>
      </c>
      <c r="D471">
        <v>0.79500000000000004</v>
      </c>
      <c r="E471">
        <v>7.1342794003209802E-32</v>
      </c>
      <c r="F471">
        <v>1</v>
      </c>
      <c r="G471" t="s">
        <v>1405</v>
      </c>
      <c r="H471" t="s">
        <v>1406</v>
      </c>
      <c r="I471" t="str">
        <f>HYPERLINK("https://zfin.org/ZDB-GENE-031002-9")</f>
        <v>https://zfin.org/ZDB-GENE-031002-9</v>
      </c>
      <c r="J471" t="s">
        <v>1407</v>
      </c>
    </row>
    <row r="472" spans="1:10" x14ac:dyDescent="0.2">
      <c r="A472">
        <v>5.5735116069419302E-36</v>
      </c>
      <c r="B472">
        <v>0.71966051881639403</v>
      </c>
      <c r="C472">
        <v>0.96399999999999997</v>
      </c>
      <c r="D472">
        <v>0.53900000000000003</v>
      </c>
      <c r="E472">
        <v>7.7460664313278905E-32</v>
      </c>
      <c r="F472">
        <v>1</v>
      </c>
      <c r="G472" t="s">
        <v>1408</v>
      </c>
      <c r="H472" t="s">
        <v>1409</v>
      </c>
      <c r="I472" t="str">
        <f>HYPERLINK("https://zfin.org/ZDB-GENE-050522-147")</f>
        <v>https://zfin.org/ZDB-GENE-050522-147</v>
      </c>
      <c r="J472" t="s">
        <v>1410</v>
      </c>
    </row>
    <row r="473" spans="1:10" x14ac:dyDescent="0.2">
      <c r="A473">
        <v>7.2607397676632005E-36</v>
      </c>
      <c r="B473">
        <v>0.30616985408618203</v>
      </c>
      <c r="C473">
        <v>0.314</v>
      </c>
      <c r="D473">
        <v>4.8000000000000001E-2</v>
      </c>
      <c r="E473">
        <v>1.0090976129098299E-31</v>
      </c>
      <c r="F473">
        <v>1</v>
      </c>
      <c r="G473" t="s">
        <v>1411</v>
      </c>
      <c r="H473" t="s">
        <v>1412</v>
      </c>
      <c r="I473" t="str">
        <f>HYPERLINK("https://zfin.org/ZDB-GENE-030131-41")</f>
        <v>https://zfin.org/ZDB-GENE-030131-41</v>
      </c>
      <c r="J473" t="s">
        <v>1413</v>
      </c>
    </row>
    <row r="474" spans="1:10" x14ac:dyDescent="0.2">
      <c r="A474">
        <v>8.2518241968921596E-36</v>
      </c>
      <c r="B474">
        <v>0.55691082041851203</v>
      </c>
      <c r="C474">
        <v>0.49299999999999999</v>
      </c>
      <c r="D474">
        <v>0.112</v>
      </c>
      <c r="E474">
        <v>1.1468385268840701E-31</v>
      </c>
      <c r="F474">
        <v>1</v>
      </c>
      <c r="G474" t="s">
        <v>1414</v>
      </c>
      <c r="H474" t="s">
        <v>1415</v>
      </c>
      <c r="I474" t="str">
        <f>HYPERLINK("https://zfin.org/ZDB-GENE-040426-2807")</f>
        <v>https://zfin.org/ZDB-GENE-040426-2807</v>
      </c>
      <c r="J474" t="s">
        <v>1416</v>
      </c>
    </row>
    <row r="475" spans="1:10" x14ac:dyDescent="0.2">
      <c r="A475">
        <v>8.6729789054850796E-36</v>
      </c>
      <c r="B475">
        <v>0.71600334301846302</v>
      </c>
      <c r="C475">
        <v>0.96399999999999997</v>
      </c>
      <c r="D475">
        <v>0.55300000000000005</v>
      </c>
      <c r="E475">
        <v>1.2053706082843199E-31</v>
      </c>
      <c r="F475">
        <v>1</v>
      </c>
      <c r="G475" t="s">
        <v>1417</v>
      </c>
      <c r="H475" t="s">
        <v>1418</v>
      </c>
      <c r="I475" t="str">
        <f>HYPERLINK("https://zfin.org/ZDB-GENE-050522-133")</f>
        <v>https://zfin.org/ZDB-GENE-050522-133</v>
      </c>
      <c r="J475" t="s">
        <v>1419</v>
      </c>
    </row>
    <row r="476" spans="1:10" x14ac:dyDescent="0.2">
      <c r="A476">
        <v>9.5404800759415295E-36</v>
      </c>
      <c r="B476">
        <v>0.41710661470903199</v>
      </c>
      <c r="C476">
        <v>0.46400000000000002</v>
      </c>
      <c r="D476">
        <v>9.7000000000000003E-2</v>
      </c>
      <c r="E476">
        <v>1.3259359209543501E-31</v>
      </c>
      <c r="F476">
        <v>1</v>
      </c>
      <c r="G476" t="s">
        <v>1420</v>
      </c>
      <c r="H476" t="s">
        <v>1421</v>
      </c>
      <c r="I476" t="str">
        <f>HYPERLINK("https://zfin.org/ZDB-GENE-050522-394")</f>
        <v>https://zfin.org/ZDB-GENE-050522-394</v>
      </c>
      <c r="J476" t="s">
        <v>1422</v>
      </c>
    </row>
    <row r="477" spans="1:10" x14ac:dyDescent="0.2">
      <c r="A477">
        <v>1.3991341217138201E-35</v>
      </c>
      <c r="B477">
        <v>0.64350513057759395</v>
      </c>
      <c r="C477">
        <v>0.85699999999999998</v>
      </c>
      <c r="D477">
        <v>0.30499999999999999</v>
      </c>
      <c r="E477">
        <v>1.9445166023578701E-31</v>
      </c>
      <c r="F477">
        <v>1</v>
      </c>
      <c r="G477" t="s">
        <v>1423</v>
      </c>
      <c r="H477" t="s">
        <v>1424</v>
      </c>
      <c r="I477" t="str">
        <f>HYPERLINK("https://zfin.org/ZDB-GENE-050522-279")</f>
        <v>https://zfin.org/ZDB-GENE-050522-279</v>
      </c>
      <c r="J477" t="s">
        <v>1425</v>
      </c>
    </row>
    <row r="478" spans="1:10" x14ac:dyDescent="0.2">
      <c r="A478">
        <v>1.9692385145451101E-35</v>
      </c>
      <c r="B478">
        <v>0.46074079690313702</v>
      </c>
      <c r="C478">
        <v>0.51400000000000001</v>
      </c>
      <c r="D478">
        <v>0.11700000000000001</v>
      </c>
      <c r="E478">
        <v>2.7368476875147898E-31</v>
      </c>
      <c r="F478">
        <v>1</v>
      </c>
      <c r="G478" t="s">
        <v>1426</v>
      </c>
      <c r="H478" t="s">
        <v>1427</v>
      </c>
      <c r="I478" t="str">
        <f>HYPERLINK("https://zfin.org/ZDB-GENE-030825-2")</f>
        <v>https://zfin.org/ZDB-GENE-030825-2</v>
      </c>
      <c r="J478" t="s">
        <v>1428</v>
      </c>
    </row>
    <row r="479" spans="1:10" x14ac:dyDescent="0.2">
      <c r="A479">
        <v>2.1253043621987501E-35</v>
      </c>
      <c r="B479">
        <v>0.35147956554070497</v>
      </c>
      <c r="C479">
        <v>0.29299999999999998</v>
      </c>
      <c r="D479">
        <v>4.2999999999999997E-2</v>
      </c>
      <c r="E479">
        <v>2.9537480025838298E-31</v>
      </c>
      <c r="F479">
        <v>1</v>
      </c>
      <c r="G479" t="s">
        <v>1429</v>
      </c>
      <c r="H479" t="s">
        <v>1430</v>
      </c>
      <c r="I479" t="str">
        <f>HYPERLINK("https://zfin.org/ZDB-GENE-051113-208")</f>
        <v>https://zfin.org/ZDB-GENE-051113-208</v>
      </c>
      <c r="J479" t="s">
        <v>1431</v>
      </c>
    </row>
    <row r="480" spans="1:10" x14ac:dyDescent="0.2">
      <c r="A480">
        <v>3.6186867682881001E-35</v>
      </c>
      <c r="B480">
        <v>0.68340270834620198</v>
      </c>
      <c r="C480">
        <v>0.871</v>
      </c>
      <c r="D480">
        <v>0.34399999999999997</v>
      </c>
      <c r="E480">
        <v>5.0292508705667997E-31</v>
      </c>
      <c r="F480">
        <v>1</v>
      </c>
      <c r="G480" t="s">
        <v>1432</v>
      </c>
      <c r="H480" t="s">
        <v>1433</v>
      </c>
      <c r="I480" t="str">
        <f>HYPERLINK("https://zfin.org/ZDB-GENE-040801-169")</f>
        <v>https://zfin.org/ZDB-GENE-040801-169</v>
      </c>
      <c r="J480" t="s">
        <v>1434</v>
      </c>
    </row>
    <row r="481" spans="1:10" x14ac:dyDescent="0.2">
      <c r="A481">
        <v>4.54759193182356E-35</v>
      </c>
      <c r="B481">
        <v>0.38164360248421098</v>
      </c>
      <c r="C481">
        <v>0.47899999999999998</v>
      </c>
      <c r="D481">
        <v>0.10299999999999999</v>
      </c>
      <c r="E481">
        <v>6.3202432668483897E-31</v>
      </c>
      <c r="F481">
        <v>1</v>
      </c>
      <c r="G481" t="s">
        <v>1435</v>
      </c>
      <c r="H481" t="s">
        <v>1436</v>
      </c>
      <c r="I481" t="str">
        <f>HYPERLINK("https://zfin.org/ZDB-GENE-040426-2711")</f>
        <v>https://zfin.org/ZDB-GENE-040426-2711</v>
      </c>
      <c r="J481" t="s">
        <v>1437</v>
      </c>
    </row>
    <row r="482" spans="1:10" x14ac:dyDescent="0.2">
      <c r="A482">
        <v>5.7598761537586501E-35</v>
      </c>
      <c r="B482">
        <v>0.76391767726780102</v>
      </c>
      <c r="C482">
        <v>0.88600000000000001</v>
      </c>
      <c r="D482">
        <v>0.36899999999999999</v>
      </c>
      <c r="E482">
        <v>8.0050758784937696E-31</v>
      </c>
      <c r="F482">
        <v>1</v>
      </c>
      <c r="G482" t="s">
        <v>1438</v>
      </c>
      <c r="H482" t="s">
        <v>1439</v>
      </c>
      <c r="I482" t="str">
        <f>HYPERLINK("https://zfin.org/ZDB-GENE-040625-38")</f>
        <v>https://zfin.org/ZDB-GENE-040625-38</v>
      </c>
      <c r="J482" t="s">
        <v>1440</v>
      </c>
    </row>
    <row r="483" spans="1:10" x14ac:dyDescent="0.2">
      <c r="A483">
        <v>6.8738267827342295E-35</v>
      </c>
      <c r="B483">
        <v>0.258763114129898</v>
      </c>
      <c r="C483">
        <v>0.28599999999999998</v>
      </c>
      <c r="D483">
        <v>4.1000000000000002E-2</v>
      </c>
      <c r="E483">
        <v>9.5532444626440304E-31</v>
      </c>
      <c r="F483">
        <v>1</v>
      </c>
      <c r="G483" t="s">
        <v>1441</v>
      </c>
      <c r="H483" t="s">
        <v>1442</v>
      </c>
      <c r="I483" t="str">
        <f>HYPERLINK("https://zfin.org/ZDB-GENE-040718-288")</f>
        <v>https://zfin.org/ZDB-GENE-040718-288</v>
      </c>
      <c r="J483" t="s">
        <v>1443</v>
      </c>
    </row>
    <row r="484" spans="1:10" x14ac:dyDescent="0.2">
      <c r="A484">
        <v>8.5120534736511003E-35</v>
      </c>
      <c r="B484">
        <v>0.66401885050984399</v>
      </c>
      <c r="C484">
        <v>0.879</v>
      </c>
      <c r="D484">
        <v>0.33100000000000002</v>
      </c>
      <c r="E484">
        <v>1.1830051917680301E-30</v>
      </c>
      <c r="F484">
        <v>1</v>
      </c>
      <c r="G484" t="s">
        <v>1444</v>
      </c>
      <c r="H484" t="s">
        <v>1445</v>
      </c>
      <c r="I484" t="str">
        <f>HYPERLINK("https://zfin.org/ZDB-GENE-050828-1")</f>
        <v>https://zfin.org/ZDB-GENE-050828-1</v>
      </c>
      <c r="J484" t="s">
        <v>1446</v>
      </c>
    </row>
    <row r="485" spans="1:10" x14ac:dyDescent="0.2">
      <c r="A485">
        <v>2.0847033171984E-34</v>
      </c>
      <c r="B485">
        <v>-0.87516432348203699</v>
      </c>
      <c r="C485">
        <v>0.89300000000000002</v>
      </c>
      <c r="D485">
        <v>0.90600000000000003</v>
      </c>
      <c r="E485">
        <v>2.8973206702423298E-30</v>
      </c>
      <c r="F485">
        <v>1</v>
      </c>
      <c r="G485" t="s">
        <v>1447</v>
      </c>
      <c r="H485" t="s">
        <v>1448</v>
      </c>
      <c r="I485" t="str">
        <f>HYPERLINK("https://zfin.org/ZDB-GENE-030131-8556")</f>
        <v>https://zfin.org/ZDB-GENE-030131-8556</v>
      </c>
      <c r="J485" t="s">
        <v>1449</v>
      </c>
    </row>
    <row r="486" spans="1:10" x14ac:dyDescent="0.2">
      <c r="A486">
        <v>2.6224786069591402E-34</v>
      </c>
      <c r="B486">
        <v>0.30667952701162698</v>
      </c>
      <c r="C486">
        <v>0.26400000000000001</v>
      </c>
      <c r="D486">
        <v>3.5999999999999997E-2</v>
      </c>
      <c r="E486">
        <v>3.6447207679518198E-30</v>
      </c>
      <c r="F486">
        <v>1</v>
      </c>
      <c r="G486" t="s">
        <v>1450</v>
      </c>
      <c r="H486" t="s">
        <v>1451</v>
      </c>
      <c r="I486" t="str">
        <f>HYPERLINK("https://zfin.org/ZDB-GENE-040718-155")</f>
        <v>https://zfin.org/ZDB-GENE-040718-155</v>
      </c>
      <c r="J486" t="s">
        <v>1452</v>
      </c>
    </row>
    <row r="487" spans="1:10" x14ac:dyDescent="0.2">
      <c r="A487">
        <v>2.9625728302195E-34</v>
      </c>
      <c r="B487">
        <v>0.33080849001433599</v>
      </c>
      <c r="C487">
        <v>0.39300000000000002</v>
      </c>
      <c r="D487">
        <v>7.3999999999999996E-2</v>
      </c>
      <c r="E487">
        <v>4.1173837194390603E-30</v>
      </c>
      <c r="F487">
        <v>1</v>
      </c>
      <c r="G487" t="s">
        <v>1453</v>
      </c>
      <c r="H487" t="s">
        <v>1454</v>
      </c>
      <c r="I487" t="str">
        <f>HYPERLINK("https://zfin.org/ZDB-GENE-040426-1632")</f>
        <v>https://zfin.org/ZDB-GENE-040426-1632</v>
      </c>
      <c r="J487" t="s">
        <v>1455</v>
      </c>
    </row>
    <row r="488" spans="1:10" x14ac:dyDescent="0.2">
      <c r="A488">
        <v>4.9841515185460803E-34</v>
      </c>
      <c r="B488">
        <v>0.56736594783684102</v>
      </c>
      <c r="C488">
        <v>0.186</v>
      </c>
      <c r="D488">
        <v>1.7999999999999999E-2</v>
      </c>
      <c r="E488">
        <v>6.9269737804753405E-30</v>
      </c>
      <c r="F488">
        <v>1</v>
      </c>
      <c r="G488" t="s">
        <v>1456</v>
      </c>
      <c r="H488" t="s">
        <v>1457</v>
      </c>
      <c r="I488" t="str">
        <f>HYPERLINK("https://zfin.org/ZDB-GENE-071004-24")</f>
        <v>https://zfin.org/ZDB-GENE-071004-24</v>
      </c>
      <c r="J488" t="s">
        <v>1458</v>
      </c>
    </row>
    <row r="489" spans="1:10" x14ac:dyDescent="0.2">
      <c r="A489">
        <v>7.21413915401967E-34</v>
      </c>
      <c r="B489">
        <v>-0.61333721185020695</v>
      </c>
      <c r="C489">
        <v>0.99299999999999999</v>
      </c>
      <c r="D489">
        <v>0.98099999999999998</v>
      </c>
      <c r="E489">
        <v>1.00262105962565E-29</v>
      </c>
      <c r="F489">
        <v>1</v>
      </c>
      <c r="G489" t="s">
        <v>1459</v>
      </c>
      <c r="H489" t="s">
        <v>1460</v>
      </c>
      <c r="I489" t="str">
        <f>HYPERLINK("https://zfin.org/ZDB-GENE-020419-25")</f>
        <v>https://zfin.org/ZDB-GENE-020419-25</v>
      </c>
      <c r="J489" t="s">
        <v>1461</v>
      </c>
    </row>
    <row r="490" spans="1:10" x14ac:dyDescent="0.2">
      <c r="A490">
        <v>8.3265205988105199E-34</v>
      </c>
      <c r="B490">
        <v>0.32485692604553701</v>
      </c>
      <c r="C490">
        <v>0.23599999999999999</v>
      </c>
      <c r="D490">
        <v>0.03</v>
      </c>
      <c r="E490">
        <v>1.1572198328226901E-29</v>
      </c>
      <c r="F490">
        <v>1</v>
      </c>
      <c r="G490" t="s">
        <v>1462</v>
      </c>
      <c r="H490" t="s">
        <v>1463</v>
      </c>
      <c r="I490" t="str">
        <f>HYPERLINK("https://zfin.org/ZDB-GENE-040426-2848")</f>
        <v>https://zfin.org/ZDB-GENE-040426-2848</v>
      </c>
      <c r="J490" t="s">
        <v>1464</v>
      </c>
    </row>
    <row r="491" spans="1:10" x14ac:dyDescent="0.2">
      <c r="A491">
        <v>8.9701125287552799E-34</v>
      </c>
      <c r="B491">
        <v>0.71468537672468302</v>
      </c>
      <c r="C491">
        <v>0.92900000000000005</v>
      </c>
      <c r="D491">
        <v>0.42499999999999999</v>
      </c>
      <c r="E491">
        <v>1.24666623924641E-29</v>
      </c>
      <c r="F491">
        <v>1</v>
      </c>
      <c r="G491" t="s">
        <v>1465</v>
      </c>
      <c r="H491" t="s">
        <v>1466</v>
      </c>
      <c r="I491" t="str">
        <f>HYPERLINK("https://zfin.org/ZDB-GENE-141216-417")</f>
        <v>https://zfin.org/ZDB-GENE-141216-417</v>
      </c>
      <c r="J491" t="s">
        <v>1467</v>
      </c>
    </row>
    <row r="492" spans="1:10" x14ac:dyDescent="0.2">
      <c r="A492">
        <v>1.1442705476463799E-33</v>
      </c>
      <c r="B492">
        <v>0.469030902183728</v>
      </c>
      <c r="C492">
        <v>0.57899999999999996</v>
      </c>
      <c r="D492">
        <v>0.14699999999999999</v>
      </c>
      <c r="E492">
        <v>1.5903072071189399E-29</v>
      </c>
      <c r="F492">
        <v>1</v>
      </c>
      <c r="G492" t="s">
        <v>1468</v>
      </c>
      <c r="H492" t="s">
        <v>1469</v>
      </c>
      <c r="I492" t="str">
        <f>HYPERLINK("https://zfin.org/ZDB-GENE-030131-7742")</f>
        <v>https://zfin.org/ZDB-GENE-030131-7742</v>
      </c>
      <c r="J492" t="s">
        <v>1470</v>
      </c>
    </row>
    <row r="493" spans="1:10" x14ac:dyDescent="0.2">
      <c r="A493">
        <v>1.9042114388796801E-33</v>
      </c>
      <c r="B493">
        <v>0.30602986940867999</v>
      </c>
      <c r="C493">
        <v>0.26400000000000001</v>
      </c>
      <c r="D493">
        <v>3.6999999999999998E-2</v>
      </c>
      <c r="E493">
        <v>2.6464730577549799E-29</v>
      </c>
      <c r="F493">
        <v>1</v>
      </c>
      <c r="G493" t="s">
        <v>1471</v>
      </c>
      <c r="H493" t="s">
        <v>1472</v>
      </c>
      <c r="I493" t="str">
        <f>HYPERLINK("https://zfin.org/ZDB-GENE-040912-80")</f>
        <v>https://zfin.org/ZDB-GENE-040912-80</v>
      </c>
      <c r="J493" t="s">
        <v>1473</v>
      </c>
    </row>
    <row r="494" spans="1:10" x14ac:dyDescent="0.2">
      <c r="A494">
        <v>2.0191232978598099E-33</v>
      </c>
      <c r="B494">
        <v>0.64980467308997203</v>
      </c>
      <c r="C494">
        <v>0.92100000000000004</v>
      </c>
      <c r="D494">
        <v>0.39900000000000002</v>
      </c>
      <c r="E494">
        <v>2.8061775593655698E-29</v>
      </c>
      <c r="F494">
        <v>1</v>
      </c>
      <c r="G494" t="s">
        <v>1474</v>
      </c>
      <c r="H494" t="s">
        <v>1475</v>
      </c>
      <c r="I494" t="str">
        <f>HYPERLINK("https://zfin.org/ZDB-GENE-040426-2143")</f>
        <v>https://zfin.org/ZDB-GENE-040426-2143</v>
      </c>
      <c r="J494" t="s">
        <v>1476</v>
      </c>
    </row>
    <row r="495" spans="1:10" x14ac:dyDescent="0.2">
      <c r="A495">
        <v>2.2848731360914E-33</v>
      </c>
      <c r="B495">
        <v>0.45476529169124802</v>
      </c>
      <c r="C495">
        <v>0.65700000000000003</v>
      </c>
      <c r="D495">
        <v>0.18</v>
      </c>
      <c r="E495">
        <v>3.17551668453982E-29</v>
      </c>
      <c r="F495">
        <v>1</v>
      </c>
      <c r="G495" t="s">
        <v>1477</v>
      </c>
      <c r="H495" t="s">
        <v>1478</v>
      </c>
      <c r="I495" t="str">
        <f>HYPERLINK("https://zfin.org/ZDB-GENE-040912-49")</f>
        <v>https://zfin.org/ZDB-GENE-040912-49</v>
      </c>
      <c r="J495" t="s">
        <v>1479</v>
      </c>
    </row>
    <row r="496" spans="1:10" x14ac:dyDescent="0.2">
      <c r="A496">
        <v>6.3679664295106194E-33</v>
      </c>
      <c r="B496">
        <v>0.54108740826312895</v>
      </c>
      <c r="C496">
        <v>0.77100000000000002</v>
      </c>
      <c r="D496">
        <v>0.248</v>
      </c>
      <c r="E496">
        <v>8.8501997437338598E-29</v>
      </c>
      <c r="F496">
        <v>1</v>
      </c>
      <c r="G496" t="s">
        <v>1480</v>
      </c>
      <c r="H496" t="s">
        <v>1481</v>
      </c>
      <c r="I496" t="str">
        <f>HYPERLINK("https://zfin.org/ZDB-GENE-040122-4")</f>
        <v>https://zfin.org/ZDB-GENE-040122-4</v>
      </c>
      <c r="J496" t="s">
        <v>1482</v>
      </c>
    </row>
    <row r="497" spans="1:10" x14ac:dyDescent="0.2">
      <c r="A497">
        <v>1.1315243556995401E-32</v>
      </c>
      <c r="B497">
        <v>0.322501160374771</v>
      </c>
      <c r="C497">
        <v>0.29299999999999998</v>
      </c>
      <c r="D497">
        <v>4.5999999999999999E-2</v>
      </c>
      <c r="E497">
        <v>1.57259254955122E-28</v>
      </c>
      <c r="F497">
        <v>1</v>
      </c>
      <c r="G497" t="s">
        <v>1483</v>
      </c>
      <c r="H497" t="s">
        <v>1484</v>
      </c>
      <c r="I497" t="str">
        <f>HYPERLINK("https://zfin.org/ZDB-GENE-040718-473")</f>
        <v>https://zfin.org/ZDB-GENE-040718-473</v>
      </c>
      <c r="J497" t="s">
        <v>1485</v>
      </c>
    </row>
    <row r="498" spans="1:10" x14ac:dyDescent="0.2">
      <c r="A498">
        <v>1.2947123942816701E-32</v>
      </c>
      <c r="B498">
        <v>0.40472636162641301</v>
      </c>
      <c r="C498">
        <v>0.57099999999999995</v>
      </c>
      <c r="D498">
        <v>0.14399999999999999</v>
      </c>
      <c r="E498">
        <v>1.79939128557267E-28</v>
      </c>
      <c r="F498">
        <v>1</v>
      </c>
      <c r="G498" t="s">
        <v>1486</v>
      </c>
      <c r="H498" t="s">
        <v>1487</v>
      </c>
      <c r="I498" t="str">
        <f>HYPERLINK("https://zfin.org/ZDB-GENE-050309-178")</f>
        <v>https://zfin.org/ZDB-GENE-050309-178</v>
      </c>
      <c r="J498" t="s">
        <v>1488</v>
      </c>
    </row>
    <row r="499" spans="1:10" x14ac:dyDescent="0.2">
      <c r="A499">
        <v>1.48227013563353E-32</v>
      </c>
      <c r="B499">
        <v>0.31961919922929199</v>
      </c>
      <c r="C499">
        <v>0.38600000000000001</v>
      </c>
      <c r="D499">
        <v>7.3999999999999996E-2</v>
      </c>
      <c r="E499">
        <v>2.06005903450347E-28</v>
      </c>
      <c r="F499">
        <v>1</v>
      </c>
      <c r="G499" t="s">
        <v>1489</v>
      </c>
      <c r="H499" t="s">
        <v>1490</v>
      </c>
      <c r="I499" t="str">
        <f>HYPERLINK("https://zfin.org/ZDB-GENE-131121-486")</f>
        <v>https://zfin.org/ZDB-GENE-131121-486</v>
      </c>
      <c r="J499" t="s">
        <v>1491</v>
      </c>
    </row>
    <row r="500" spans="1:10" x14ac:dyDescent="0.2">
      <c r="A500">
        <v>1.6738797803416801E-32</v>
      </c>
      <c r="B500">
        <v>0.29692865350054998</v>
      </c>
      <c r="C500">
        <v>0.2</v>
      </c>
      <c r="D500">
        <v>2.1999999999999999E-2</v>
      </c>
      <c r="E500">
        <v>2.32635811871886E-28</v>
      </c>
      <c r="F500">
        <v>1</v>
      </c>
      <c r="G500" t="s">
        <v>1492</v>
      </c>
      <c r="H500" t="s">
        <v>1493</v>
      </c>
      <c r="I500" t="str">
        <f>HYPERLINK("https://zfin.org/ZDB-GENE-990415-54")</f>
        <v>https://zfin.org/ZDB-GENE-990415-54</v>
      </c>
      <c r="J500" t="s">
        <v>1494</v>
      </c>
    </row>
    <row r="501" spans="1:10" x14ac:dyDescent="0.2">
      <c r="A501">
        <v>1.73439200284841E-32</v>
      </c>
      <c r="B501">
        <v>0.33159092278965502</v>
      </c>
      <c r="C501">
        <v>0.26400000000000001</v>
      </c>
      <c r="D501">
        <v>3.7999999999999999E-2</v>
      </c>
      <c r="E501">
        <v>2.4104580055587201E-28</v>
      </c>
      <c r="F501">
        <v>1</v>
      </c>
      <c r="G501" t="s">
        <v>1495</v>
      </c>
      <c r="H501" t="s">
        <v>1496</v>
      </c>
      <c r="I501" t="str">
        <f>HYPERLINK("https://zfin.org/ZDB-GENE-031222-5")</f>
        <v>https://zfin.org/ZDB-GENE-031222-5</v>
      </c>
      <c r="J501" t="s">
        <v>1497</v>
      </c>
    </row>
    <row r="502" spans="1:10" x14ac:dyDescent="0.2">
      <c r="A502">
        <v>2.44667111330419E-32</v>
      </c>
      <c r="B502">
        <v>-0.57543446021032796</v>
      </c>
      <c r="C502">
        <v>1</v>
      </c>
      <c r="D502">
        <v>0.999</v>
      </c>
      <c r="E502">
        <v>3.4003835132701599E-28</v>
      </c>
      <c r="F502">
        <v>1</v>
      </c>
      <c r="G502" t="s">
        <v>1498</v>
      </c>
      <c r="H502" t="s">
        <v>1499</v>
      </c>
      <c r="I502" t="str">
        <f>HYPERLINK("https://zfin.org/ZDB-GENE-030131-2022")</f>
        <v>https://zfin.org/ZDB-GENE-030131-2022</v>
      </c>
      <c r="J502" t="s">
        <v>1500</v>
      </c>
    </row>
    <row r="503" spans="1:10" x14ac:dyDescent="0.2">
      <c r="A503">
        <v>2.8604800499645598E-32</v>
      </c>
      <c r="B503">
        <v>0.50199109979939005</v>
      </c>
      <c r="C503">
        <v>0.52900000000000003</v>
      </c>
      <c r="D503">
        <v>0.13500000000000001</v>
      </c>
      <c r="E503">
        <v>3.9754951734407499E-28</v>
      </c>
      <c r="F503">
        <v>1</v>
      </c>
      <c r="G503" t="s">
        <v>1501</v>
      </c>
      <c r="H503" t="s">
        <v>1502</v>
      </c>
      <c r="I503" t="str">
        <f>HYPERLINK("https://zfin.org/ZDB-GENE-030131-5299")</f>
        <v>https://zfin.org/ZDB-GENE-030131-5299</v>
      </c>
      <c r="J503" t="s">
        <v>1503</v>
      </c>
    </row>
    <row r="504" spans="1:10" x14ac:dyDescent="0.2">
      <c r="A504">
        <v>3.6468976632756002E-32</v>
      </c>
      <c r="B504">
        <v>0.52929854750114902</v>
      </c>
      <c r="C504">
        <v>0.74299999999999999</v>
      </c>
      <c r="D504">
        <v>0.22900000000000001</v>
      </c>
      <c r="E504">
        <v>5.0684583724204299E-28</v>
      </c>
      <c r="F504">
        <v>1</v>
      </c>
      <c r="G504" t="s">
        <v>1504</v>
      </c>
      <c r="H504" t="s">
        <v>1505</v>
      </c>
      <c r="I504" t="str">
        <f>HYPERLINK("https://zfin.org/ZDB-GENE-040426-1861")</f>
        <v>https://zfin.org/ZDB-GENE-040426-1861</v>
      </c>
      <c r="J504" t="s">
        <v>1506</v>
      </c>
    </row>
    <row r="505" spans="1:10" x14ac:dyDescent="0.2">
      <c r="A505">
        <v>5.2856604893218798E-32</v>
      </c>
      <c r="B505">
        <v>-0.753592454723229</v>
      </c>
      <c r="C505">
        <v>0.96399999999999997</v>
      </c>
      <c r="D505">
        <v>0.95</v>
      </c>
      <c r="E505">
        <v>7.34601094805955E-28</v>
      </c>
      <c r="F505">
        <v>1</v>
      </c>
      <c r="G505" t="s">
        <v>1507</v>
      </c>
      <c r="H505" t="s">
        <v>1508</v>
      </c>
      <c r="I505" t="str">
        <f>HYPERLINK("https://zfin.org/ZDB-GENE-040718-203")</f>
        <v>https://zfin.org/ZDB-GENE-040718-203</v>
      </c>
      <c r="J505" t="s">
        <v>1509</v>
      </c>
    </row>
    <row r="506" spans="1:10" x14ac:dyDescent="0.2">
      <c r="A506">
        <v>1.2006218250211699E-31</v>
      </c>
      <c r="B506">
        <v>0.331280082458418</v>
      </c>
      <c r="C506">
        <v>0.45700000000000002</v>
      </c>
      <c r="D506">
        <v>0.10100000000000001</v>
      </c>
      <c r="E506">
        <v>1.6686242124144299E-27</v>
      </c>
      <c r="F506">
        <v>1</v>
      </c>
      <c r="G506" t="s">
        <v>1510</v>
      </c>
      <c r="H506" t="s">
        <v>1511</v>
      </c>
      <c r="I506" t="str">
        <f>HYPERLINK("https://zfin.org/ZDB-GENE-030131-1531")</f>
        <v>https://zfin.org/ZDB-GENE-030131-1531</v>
      </c>
      <c r="J506" t="s">
        <v>1512</v>
      </c>
    </row>
    <row r="507" spans="1:10" x14ac:dyDescent="0.2">
      <c r="A507">
        <v>1.23248422114447E-31</v>
      </c>
      <c r="B507">
        <v>0.54905683399247995</v>
      </c>
      <c r="C507">
        <v>0.80700000000000005</v>
      </c>
      <c r="D507">
        <v>0.28100000000000003</v>
      </c>
      <c r="E507">
        <v>1.71290657054659E-27</v>
      </c>
      <c r="F507">
        <v>1</v>
      </c>
      <c r="G507" t="s">
        <v>1513</v>
      </c>
      <c r="H507" t="s">
        <v>1514</v>
      </c>
      <c r="I507" t="str">
        <f>HYPERLINK("https://zfin.org/ZDB-GENE-011010-1")</f>
        <v>https://zfin.org/ZDB-GENE-011010-1</v>
      </c>
      <c r="J507" t="s">
        <v>1515</v>
      </c>
    </row>
    <row r="508" spans="1:10" x14ac:dyDescent="0.2">
      <c r="A508">
        <v>1.47829499875459E-31</v>
      </c>
      <c r="B508">
        <v>0.424416768000832</v>
      </c>
      <c r="C508">
        <v>0.49299999999999999</v>
      </c>
      <c r="D508">
        <v>0.11899999999999999</v>
      </c>
      <c r="E508">
        <v>2.0545343892691301E-27</v>
      </c>
      <c r="F508">
        <v>1</v>
      </c>
      <c r="G508" t="s">
        <v>1516</v>
      </c>
      <c r="H508" t="s">
        <v>1517</v>
      </c>
      <c r="I508" t="str">
        <f>HYPERLINK("https://zfin.org/ZDB-GENE-040426-1686")</f>
        <v>https://zfin.org/ZDB-GENE-040426-1686</v>
      </c>
      <c r="J508" t="s">
        <v>1518</v>
      </c>
    </row>
    <row r="509" spans="1:10" x14ac:dyDescent="0.2">
      <c r="A509">
        <v>1.9582791504104599E-31</v>
      </c>
      <c r="B509">
        <v>-1.40279557322963</v>
      </c>
      <c r="C509">
        <v>0.75</v>
      </c>
      <c r="D509">
        <v>0.82599999999999996</v>
      </c>
      <c r="E509">
        <v>2.7216163632404499E-27</v>
      </c>
      <c r="F509">
        <v>1</v>
      </c>
      <c r="G509" t="s">
        <v>1519</v>
      </c>
      <c r="H509" t="s">
        <v>1520</v>
      </c>
      <c r="I509" t="str">
        <f>HYPERLINK("https://zfin.org/ZDB-GENE-990715-6")</f>
        <v>https://zfin.org/ZDB-GENE-990715-6</v>
      </c>
      <c r="J509" t="s">
        <v>1521</v>
      </c>
    </row>
    <row r="510" spans="1:10" x14ac:dyDescent="0.2">
      <c r="A510">
        <v>2.1084915925999301E-31</v>
      </c>
      <c r="B510">
        <v>-0.64029471990220499</v>
      </c>
      <c r="C510">
        <v>0.99299999999999999</v>
      </c>
      <c r="D510">
        <v>0.98499999999999999</v>
      </c>
      <c r="E510">
        <v>2.9303816153953798E-27</v>
      </c>
      <c r="F510">
        <v>1</v>
      </c>
      <c r="G510" t="s">
        <v>1522</v>
      </c>
      <c r="H510" t="s">
        <v>1523</v>
      </c>
      <c r="I510" t="str">
        <f>HYPERLINK("https://zfin.org/ZDB-GENE-040801-167")</f>
        <v>https://zfin.org/ZDB-GENE-040801-167</v>
      </c>
      <c r="J510" t="s">
        <v>1524</v>
      </c>
    </row>
    <row r="511" spans="1:10" x14ac:dyDescent="0.2">
      <c r="A511">
        <v>2.5626403015980201E-31</v>
      </c>
      <c r="B511">
        <v>0.59642589637727295</v>
      </c>
      <c r="C511">
        <v>0.879</v>
      </c>
      <c r="D511">
        <v>0.34300000000000003</v>
      </c>
      <c r="E511">
        <v>3.5615574911609202E-27</v>
      </c>
      <c r="F511">
        <v>1</v>
      </c>
      <c r="G511" t="s">
        <v>1525</v>
      </c>
      <c r="H511" t="s">
        <v>1526</v>
      </c>
      <c r="I511" t="str">
        <f>HYPERLINK("https://zfin.org/ZDB-GENE-040426-1781")</f>
        <v>https://zfin.org/ZDB-GENE-040426-1781</v>
      </c>
      <c r="J511" t="s">
        <v>1527</v>
      </c>
    </row>
    <row r="512" spans="1:10" x14ac:dyDescent="0.2">
      <c r="A512">
        <v>2.9357465387729399E-31</v>
      </c>
      <c r="B512">
        <v>0.60877264212587801</v>
      </c>
      <c r="C512">
        <v>0.97899999999999998</v>
      </c>
      <c r="D512">
        <v>0.59399999999999997</v>
      </c>
      <c r="E512">
        <v>4.0801005395866297E-27</v>
      </c>
      <c r="F512">
        <v>1</v>
      </c>
      <c r="G512" t="s">
        <v>1528</v>
      </c>
      <c r="H512" t="s">
        <v>1529</v>
      </c>
      <c r="I512" t="str">
        <f>HYPERLINK("https://zfin.org/ZDB-GENE-040724-95")</f>
        <v>https://zfin.org/ZDB-GENE-040724-95</v>
      </c>
      <c r="J512" t="s">
        <v>1530</v>
      </c>
    </row>
    <row r="513" spans="1:10" x14ac:dyDescent="0.2">
      <c r="A513">
        <v>3.4013511725185601E-31</v>
      </c>
      <c r="B513">
        <v>0.310709160421832</v>
      </c>
      <c r="C513">
        <v>0.193</v>
      </c>
      <c r="D513">
        <v>2.1000000000000001E-2</v>
      </c>
      <c r="E513">
        <v>4.7271978595663002E-27</v>
      </c>
      <c r="F513">
        <v>1</v>
      </c>
      <c r="G513" t="s">
        <v>1531</v>
      </c>
      <c r="H513" t="s">
        <v>1532</v>
      </c>
      <c r="I513" t="str">
        <f>HYPERLINK("https://zfin.org/ZDB-GENE-040711-4")</f>
        <v>https://zfin.org/ZDB-GENE-040711-4</v>
      </c>
      <c r="J513" t="s">
        <v>1533</v>
      </c>
    </row>
    <row r="514" spans="1:10" x14ac:dyDescent="0.2">
      <c r="A514">
        <v>4.0676394794756198E-31</v>
      </c>
      <c r="B514">
        <v>0.34238251823941601</v>
      </c>
      <c r="C514">
        <v>0.371</v>
      </c>
      <c r="D514">
        <v>7.2999999999999995E-2</v>
      </c>
      <c r="E514">
        <v>5.6532053485752202E-27</v>
      </c>
      <c r="F514">
        <v>1</v>
      </c>
      <c r="G514" t="s">
        <v>1534</v>
      </c>
      <c r="H514" t="s">
        <v>1535</v>
      </c>
      <c r="I514" t="str">
        <f>HYPERLINK("https://zfin.org/ZDB-GENE-050522-381")</f>
        <v>https://zfin.org/ZDB-GENE-050522-381</v>
      </c>
      <c r="J514" t="s">
        <v>1536</v>
      </c>
    </row>
    <row r="515" spans="1:10" x14ac:dyDescent="0.2">
      <c r="A515">
        <v>5.1454745969549097E-31</v>
      </c>
      <c r="B515">
        <v>0.26180745895485402</v>
      </c>
      <c r="C515">
        <v>0.28599999999999998</v>
      </c>
      <c r="D515">
        <v>4.4999999999999998E-2</v>
      </c>
      <c r="E515">
        <v>7.1511805948479305E-27</v>
      </c>
      <c r="F515">
        <v>1</v>
      </c>
      <c r="G515" t="s">
        <v>1537</v>
      </c>
      <c r="H515" t="s">
        <v>1538</v>
      </c>
      <c r="I515" t="str">
        <f>HYPERLINK("https://zfin.org/ZDB-GENE-050417-365")</f>
        <v>https://zfin.org/ZDB-GENE-050417-365</v>
      </c>
      <c r="J515" t="s">
        <v>1539</v>
      </c>
    </row>
    <row r="516" spans="1:10" x14ac:dyDescent="0.2">
      <c r="A516">
        <v>7.8054379362311303E-31</v>
      </c>
      <c r="B516">
        <v>0.39861149099349502</v>
      </c>
      <c r="C516">
        <v>0.114</v>
      </c>
      <c r="D516">
        <v>7.0000000000000001E-3</v>
      </c>
      <c r="E516">
        <v>1.0847997643774E-26</v>
      </c>
      <c r="F516">
        <v>1</v>
      </c>
      <c r="G516" t="s">
        <v>1540</v>
      </c>
      <c r="H516" t="s">
        <v>1541</v>
      </c>
      <c r="I516" t="str">
        <f>HYPERLINK("https://zfin.org/ZDB-GENE-130814-2")</f>
        <v>https://zfin.org/ZDB-GENE-130814-2</v>
      </c>
      <c r="J516" t="s">
        <v>1542</v>
      </c>
    </row>
    <row r="517" spans="1:10" x14ac:dyDescent="0.2">
      <c r="A517">
        <v>8.6621530946611192E-31</v>
      </c>
      <c r="B517">
        <v>0.60246796954045401</v>
      </c>
      <c r="C517">
        <v>0.81399999999999995</v>
      </c>
      <c r="D517">
        <v>0.29899999999999999</v>
      </c>
      <c r="E517">
        <v>1.203866037096E-26</v>
      </c>
      <c r="F517">
        <v>1</v>
      </c>
      <c r="G517" t="s">
        <v>1543</v>
      </c>
      <c r="H517" t="s">
        <v>1544</v>
      </c>
      <c r="I517" t="str">
        <f>HYPERLINK("https://zfin.org/ZDB-GENE-050320-132")</f>
        <v>https://zfin.org/ZDB-GENE-050320-132</v>
      </c>
      <c r="J517" t="s">
        <v>1545</v>
      </c>
    </row>
    <row r="518" spans="1:10" x14ac:dyDescent="0.2">
      <c r="A518">
        <v>1.0410079303455E-30</v>
      </c>
      <c r="B518">
        <v>0.28222349763784099</v>
      </c>
      <c r="C518">
        <v>0.32100000000000001</v>
      </c>
      <c r="D518">
        <v>5.7000000000000002E-2</v>
      </c>
      <c r="E518">
        <v>1.44679282159418E-26</v>
      </c>
      <c r="F518">
        <v>1</v>
      </c>
      <c r="G518" t="s">
        <v>1546</v>
      </c>
      <c r="H518" t="s">
        <v>1547</v>
      </c>
      <c r="I518" t="str">
        <f>HYPERLINK("https://zfin.org/ZDB-GENE-040426-1446")</f>
        <v>https://zfin.org/ZDB-GENE-040426-1446</v>
      </c>
      <c r="J518" t="s">
        <v>1548</v>
      </c>
    </row>
    <row r="519" spans="1:10" x14ac:dyDescent="0.2">
      <c r="A519">
        <v>1.1016737206302799E-30</v>
      </c>
      <c r="B519">
        <v>0.32805954135313697</v>
      </c>
      <c r="C519">
        <v>0.40699999999999997</v>
      </c>
      <c r="D519">
        <v>8.5000000000000006E-2</v>
      </c>
      <c r="E519">
        <v>1.5311061369319599E-26</v>
      </c>
      <c r="F519">
        <v>1</v>
      </c>
      <c r="G519" t="s">
        <v>1549</v>
      </c>
      <c r="H519" t="s">
        <v>1550</v>
      </c>
      <c r="I519" t="str">
        <f>HYPERLINK("https://zfin.org/ZDB-GENE-090417-1")</f>
        <v>https://zfin.org/ZDB-GENE-090417-1</v>
      </c>
      <c r="J519" t="s">
        <v>1551</v>
      </c>
    </row>
    <row r="520" spans="1:10" x14ac:dyDescent="0.2">
      <c r="A520">
        <v>1.28822521935754E-30</v>
      </c>
      <c r="B520">
        <v>-1.0339957649507101</v>
      </c>
      <c r="C520">
        <v>0.74299999999999999</v>
      </c>
      <c r="D520">
        <v>0.83599999999999997</v>
      </c>
      <c r="E520">
        <v>1.7903754098631099E-26</v>
      </c>
      <c r="F520">
        <v>1</v>
      </c>
      <c r="G520" t="s">
        <v>1552</v>
      </c>
      <c r="H520" t="s">
        <v>1553</v>
      </c>
      <c r="I520" t="str">
        <f>HYPERLINK("https://zfin.org/ZDB-GENE-010328-8")</f>
        <v>https://zfin.org/ZDB-GENE-010328-8</v>
      </c>
      <c r="J520" t="s">
        <v>1554</v>
      </c>
    </row>
    <row r="521" spans="1:10" x14ac:dyDescent="0.2">
      <c r="A521">
        <v>1.78126410272406E-30</v>
      </c>
      <c r="B521">
        <v>0.43827467046410101</v>
      </c>
      <c r="C521">
        <v>0.52900000000000003</v>
      </c>
      <c r="D521">
        <v>0.13500000000000001</v>
      </c>
      <c r="E521">
        <v>2.4756008499658999E-26</v>
      </c>
      <c r="F521">
        <v>1</v>
      </c>
      <c r="G521" t="s">
        <v>1555</v>
      </c>
      <c r="H521" t="s">
        <v>1556</v>
      </c>
      <c r="I521" t="str">
        <f>HYPERLINK("https://zfin.org/ZDB-GENE-050706-71")</f>
        <v>https://zfin.org/ZDB-GENE-050706-71</v>
      </c>
      <c r="J521" t="s">
        <v>1557</v>
      </c>
    </row>
    <row r="522" spans="1:10" x14ac:dyDescent="0.2">
      <c r="A522">
        <v>1.9691487641959E-30</v>
      </c>
      <c r="B522">
        <v>-1.65973019861208</v>
      </c>
      <c r="C522">
        <v>0.17100000000000001</v>
      </c>
      <c r="D522">
        <v>0.63</v>
      </c>
      <c r="E522">
        <v>2.7367229524794602E-26</v>
      </c>
      <c r="F522">
        <v>1</v>
      </c>
      <c r="G522" t="s">
        <v>1558</v>
      </c>
      <c r="H522" t="s">
        <v>1559</v>
      </c>
      <c r="I522" t="str">
        <f>HYPERLINK("https://zfin.org/")</f>
        <v>https://zfin.org/</v>
      </c>
    </row>
    <row r="523" spans="1:10" x14ac:dyDescent="0.2">
      <c r="A523">
        <v>3.2032780375994997E-30</v>
      </c>
      <c r="B523">
        <v>0.38027238413283299</v>
      </c>
      <c r="C523">
        <v>0.55700000000000005</v>
      </c>
      <c r="D523">
        <v>0.14499999999999999</v>
      </c>
      <c r="E523">
        <v>4.4519158166557802E-26</v>
      </c>
      <c r="F523">
        <v>1</v>
      </c>
      <c r="G523" t="s">
        <v>1560</v>
      </c>
      <c r="H523" t="s">
        <v>1561</v>
      </c>
      <c r="I523" t="str">
        <f>HYPERLINK("https://zfin.org/ZDB-GENE-030109-2")</f>
        <v>https://zfin.org/ZDB-GENE-030109-2</v>
      </c>
      <c r="J523" t="s">
        <v>1562</v>
      </c>
    </row>
    <row r="524" spans="1:10" x14ac:dyDescent="0.2">
      <c r="A524">
        <v>3.5549263829143698E-30</v>
      </c>
      <c r="B524">
        <v>0.69238586313080697</v>
      </c>
      <c r="C524">
        <v>0.89300000000000002</v>
      </c>
      <c r="D524">
        <v>0.378</v>
      </c>
      <c r="E524">
        <v>4.9406366869743899E-26</v>
      </c>
      <c r="F524">
        <v>1</v>
      </c>
      <c r="G524" t="s">
        <v>1563</v>
      </c>
      <c r="H524" t="s">
        <v>1564</v>
      </c>
      <c r="I524" t="str">
        <f>HYPERLINK("https://zfin.org/ZDB-GENE-030723-2")</f>
        <v>https://zfin.org/ZDB-GENE-030723-2</v>
      </c>
      <c r="J524" t="s">
        <v>1565</v>
      </c>
    </row>
    <row r="525" spans="1:10" x14ac:dyDescent="0.2">
      <c r="A525">
        <v>4.8208523741368598E-30</v>
      </c>
      <c r="B525">
        <v>0.308525330043177</v>
      </c>
      <c r="C525">
        <v>0.40699999999999997</v>
      </c>
      <c r="D525">
        <v>8.6999999999999994E-2</v>
      </c>
      <c r="E525">
        <v>6.7000206295754098E-26</v>
      </c>
      <c r="F525">
        <v>1</v>
      </c>
      <c r="G525" t="s">
        <v>1566</v>
      </c>
      <c r="H525" t="s">
        <v>1567</v>
      </c>
      <c r="I525" t="str">
        <f>HYPERLINK("https://zfin.org/ZDB-GENE-040426-2380")</f>
        <v>https://zfin.org/ZDB-GENE-040426-2380</v>
      </c>
      <c r="J525" t="s">
        <v>1568</v>
      </c>
    </row>
    <row r="526" spans="1:10" x14ac:dyDescent="0.2">
      <c r="A526">
        <v>5.2428166239863598E-30</v>
      </c>
      <c r="B526">
        <v>0.67481061461339498</v>
      </c>
      <c r="C526">
        <v>0.96399999999999997</v>
      </c>
      <c r="D526">
        <v>0.48299999999999998</v>
      </c>
      <c r="E526">
        <v>7.2864665440162399E-26</v>
      </c>
      <c r="F526">
        <v>1</v>
      </c>
      <c r="G526" t="s">
        <v>1569</v>
      </c>
      <c r="H526" t="s">
        <v>1570</v>
      </c>
      <c r="I526" t="str">
        <f>HYPERLINK("https://zfin.org/ZDB-GENE-030131-8901")</f>
        <v>https://zfin.org/ZDB-GENE-030131-8901</v>
      </c>
      <c r="J526" t="s">
        <v>1571</v>
      </c>
    </row>
    <row r="527" spans="1:10" x14ac:dyDescent="0.2">
      <c r="A527">
        <v>7.3037738060277001E-30</v>
      </c>
      <c r="B527">
        <v>0.25342186453244098</v>
      </c>
      <c r="C527">
        <v>0.307</v>
      </c>
      <c r="D527">
        <v>5.2999999999999999E-2</v>
      </c>
      <c r="E527">
        <v>1.01507848356173E-25</v>
      </c>
      <c r="F527">
        <v>1</v>
      </c>
      <c r="G527" t="s">
        <v>1572</v>
      </c>
      <c r="H527" t="s">
        <v>1573</v>
      </c>
      <c r="I527" t="str">
        <f>HYPERLINK("https://zfin.org/ZDB-GENE-050309-89")</f>
        <v>https://zfin.org/ZDB-GENE-050309-89</v>
      </c>
      <c r="J527" t="s">
        <v>1574</v>
      </c>
    </row>
    <row r="528" spans="1:10" x14ac:dyDescent="0.2">
      <c r="A528">
        <v>1.0383718886976699E-29</v>
      </c>
      <c r="B528">
        <v>0.50826824017468297</v>
      </c>
      <c r="C528">
        <v>0.85</v>
      </c>
      <c r="D528">
        <v>0.308</v>
      </c>
      <c r="E528">
        <v>1.44312925091202E-25</v>
      </c>
      <c r="F528">
        <v>1</v>
      </c>
      <c r="G528" t="s">
        <v>1575</v>
      </c>
      <c r="H528" t="s">
        <v>1576</v>
      </c>
      <c r="I528" t="str">
        <f>HYPERLINK("https://zfin.org/ZDB-GENE-040912-86")</f>
        <v>https://zfin.org/ZDB-GENE-040912-86</v>
      </c>
      <c r="J528" t="s">
        <v>1577</v>
      </c>
    </row>
    <row r="529" spans="1:10" x14ac:dyDescent="0.2">
      <c r="A529">
        <v>1.26489879173616E-29</v>
      </c>
      <c r="B529">
        <v>0.63306386632947098</v>
      </c>
      <c r="C529">
        <v>0.95699999999999996</v>
      </c>
      <c r="D529">
        <v>0.51300000000000001</v>
      </c>
      <c r="E529">
        <v>1.75795634075492E-25</v>
      </c>
      <c r="F529">
        <v>1</v>
      </c>
      <c r="G529" t="s">
        <v>1578</v>
      </c>
      <c r="H529" t="s">
        <v>1579</v>
      </c>
      <c r="I529" t="str">
        <f>HYPERLINK("https://zfin.org/ZDB-GENE-051130-1")</f>
        <v>https://zfin.org/ZDB-GENE-051130-1</v>
      </c>
      <c r="J529" t="s">
        <v>1580</v>
      </c>
    </row>
    <row r="530" spans="1:10" x14ac:dyDescent="0.2">
      <c r="A530">
        <v>1.3760173000889899E-29</v>
      </c>
      <c r="B530">
        <v>0.47379260325511902</v>
      </c>
      <c r="C530">
        <v>0.69299999999999995</v>
      </c>
      <c r="D530">
        <v>0.217</v>
      </c>
      <c r="E530">
        <v>1.9123888436636699E-25</v>
      </c>
      <c r="F530">
        <v>1</v>
      </c>
      <c r="G530" t="s">
        <v>1581</v>
      </c>
      <c r="H530" t="s">
        <v>1582</v>
      </c>
      <c r="I530" t="str">
        <f>HYPERLINK("https://zfin.org/ZDB-GENE-030131-7691")</f>
        <v>https://zfin.org/ZDB-GENE-030131-7691</v>
      </c>
      <c r="J530" t="s">
        <v>1583</v>
      </c>
    </row>
    <row r="531" spans="1:10" x14ac:dyDescent="0.2">
      <c r="A531">
        <v>1.40710681552329E-29</v>
      </c>
      <c r="B531">
        <v>0.390491508318285</v>
      </c>
      <c r="C531">
        <v>0.46400000000000002</v>
      </c>
      <c r="D531">
        <v>0.112</v>
      </c>
      <c r="E531">
        <v>1.9555970522142599E-25</v>
      </c>
      <c r="F531">
        <v>1</v>
      </c>
      <c r="G531" t="s">
        <v>1584</v>
      </c>
      <c r="H531" t="s">
        <v>1585</v>
      </c>
      <c r="I531" t="str">
        <f>HYPERLINK("https://zfin.org/ZDB-GENE-030131-2348")</f>
        <v>https://zfin.org/ZDB-GENE-030131-2348</v>
      </c>
      <c r="J531" t="s">
        <v>1586</v>
      </c>
    </row>
    <row r="532" spans="1:10" x14ac:dyDescent="0.2">
      <c r="A532">
        <v>1.5018329701583101E-29</v>
      </c>
      <c r="B532">
        <v>0.32627298237240399</v>
      </c>
      <c r="C532">
        <v>0.36399999999999999</v>
      </c>
      <c r="D532">
        <v>7.3999999999999996E-2</v>
      </c>
      <c r="E532">
        <v>2.08724746192601E-25</v>
      </c>
      <c r="F532">
        <v>1</v>
      </c>
      <c r="G532" t="s">
        <v>1587</v>
      </c>
      <c r="H532" t="s">
        <v>1588</v>
      </c>
      <c r="I532" t="str">
        <f>HYPERLINK("https://zfin.org/ZDB-GENE-090313-209")</f>
        <v>https://zfin.org/ZDB-GENE-090313-209</v>
      </c>
      <c r="J532" t="s">
        <v>1589</v>
      </c>
    </row>
    <row r="533" spans="1:10" x14ac:dyDescent="0.2">
      <c r="A533">
        <v>1.7758463398315001E-29</v>
      </c>
      <c r="B533">
        <v>0.29746511680618598</v>
      </c>
      <c r="C533">
        <v>0.35699999999999998</v>
      </c>
      <c r="D533">
        <v>7.0000000000000007E-2</v>
      </c>
      <c r="E533">
        <v>2.4680712430978199E-25</v>
      </c>
      <c r="F533">
        <v>1</v>
      </c>
      <c r="G533" t="s">
        <v>1590</v>
      </c>
      <c r="H533" t="s">
        <v>1591</v>
      </c>
      <c r="I533" t="str">
        <f>HYPERLINK("https://zfin.org/ZDB-GENE-050227-12")</f>
        <v>https://zfin.org/ZDB-GENE-050227-12</v>
      </c>
      <c r="J533" t="s">
        <v>1592</v>
      </c>
    </row>
    <row r="534" spans="1:10" x14ac:dyDescent="0.2">
      <c r="A534">
        <v>2.12669375418527E-29</v>
      </c>
      <c r="B534">
        <v>0.60553082780915402</v>
      </c>
      <c r="C534">
        <v>0.97099999999999997</v>
      </c>
      <c r="D534">
        <v>0.51700000000000002</v>
      </c>
      <c r="E534">
        <v>2.9556789795666899E-25</v>
      </c>
      <c r="F534">
        <v>1</v>
      </c>
      <c r="G534" t="s">
        <v>1593</v>
      </c>
      <c r="H534" t="s">
        <v>1594</v>
      </c>
      <c r="I534" t="str">
        <f>HYPERLINK("https://zfin.org/")</f>
        <v>https://zfin.org/</v>
      </c>
      <c r="J534" t="s">
        <v>1595</v>
      </c>
    </row>
    <row r="535" spans="1:10" x14ac:dyDescent="0.2">
      <c r="A535">
        <v>2.4239219711498701E-29</v>
      </c>
      <c r="B535">
        <v>0.26141071611304101</v>
      </c>
      <c r="C535">
        <v>0.26400000000000001</v>
      </c>
      <c r="D535">
        <v>4.2000000000000003E-2</v>
      </c>
      <c r="E535">
        <v>3.3687667555040901E-25</v>
      </c>
      <c r="F535">
        <v>1</v>
      </c>
      <c r="G535" t="s">
        <v>1596</v>
      </c>
      <c r="H535" t="s">
        <v>1597</v>
      </c>
      <c r="I535" t="str">
        <f>HYPERLINK("https://zfin.org/ZDB-GENE-040426-2319")</f>
        <v>https://zfin.org/ZDB-GENE-040426-2319</v>
      </c>
      <c r="J535" t="s">
        <v>1598</v>
      </c>
    </row>
    <row r="536" spans="1:10" x14ac:dyDescent="0.2">
      <c r="A536">
        <v>3.0110909037669301E-29</v>
      </c>
      <c r="B536">
        <v>-1.3847168420376199</v>
      </c>
      <c r="C536">
        <v>0.84299999999999997</v>
      </c>
      <c r="D536">
        <v>0.88900000000000001</v>
      </c>
      <c r="E536">
        <v>4.1848141380552796E-25</v>
      </c>
      <c r="F536">
        <v>1</v>
      </c>
      <c r="G536" t="s">
        <v>1599</v>
      </c>
      <c r="H536" t="s">
        <v>1600</v>
      </c>
      <c r="I536" t="str">
        <f>HYPERLINK("https://zfin.org/")</f>
        <v>https://zfin.org/</v>
      </c>
      <c r="J536" t="s">
        <v>1601</v>
      </c>
    </row>
    <row r="537" spans="1:10" x14ac:dyDescent="0.2">
      <c r="A537">
        <v>3.2221658892852301E-29</v>
      </c>
      <c r="B537">
        <v>0.253715228015223</v>
      </c>
      <c r="C537">
        <v>0.186</v>
      </c>
      <c r="D537">
        <v>2.1000000000000001E-2</v>
      </c>
      <c r="E537">
        <v>4.4781661529286098E-25</v>
      </c>
      <c r="F537">
        <v>1</v>
      </c>
      <c r="G537" t="s">
        <v>1602</v>
      </c>
      <c r="H537" t="s">
        <v>1603</v>
      </c>
      <c r="I537" t="str">
        <f>HYPERLINK("https://zfin.org/ZDB-GENE-050417-173")</f>
        <v>https://zfin.org/ZDB-GENE-050417-173</v>
      </c>
      <c r="J537" t="s">
        <v>1604</v>
      </c>
    </row>
    <row r="538" spans="1:10" x14ac:dyDescent="0.2">
      <c r="A538">
        <v>3.8505128572148002E-29</v>
      </c>
      <c r="B538">
        <v>0.34801450383069399</v>
      </c>
      <c r="C538">
        <v>0.48599999999999999</v>
      </c>
      <c r="D538">
        <v>0.11899999999999999</v>
      </c>
      <c r="E538">
        <v>5.3514427689571303E-25</v>
      </c>
      <c r="F538">
        <v>1</v>
      </c>
      <c r="G538" t="s">
        <v>1605</v>
      </c>
      <c r="H538" t="s">
        <v>1606</v>
      </c>
      <c r="I538" t="str">
        <f>HYPERLINK("https://zfin.org/ZDB-GENE-040718-216")</f>
        <v>https://zfin.org/ZDB-GENE-040718-216</v>
      </c>
      <c r="J538" t="s">
        <v>1607</v>
      </c>
    </row>
    <row r="539" spans="1:10" x14ac:dyDescent="0.2">
      <c r="A539">
        <v>4.52527122746934E-29</v>
      </c>
      <c r="B539">
        <v>-0.53548525820179904</v>
      </c>
      <c r="C539">
        <v>1</v>
      </c>
      <c r="D539">
        <v>0.99099999999999999</v>
      </c>
      <c r="E539">
        <v>6.2892219519368801E-25</v>
      </c>
      <c r="F539">
        <v>1</v>
      </c>
      <c r="G539" t="s">
        <v>1608</v>
      </c>
      <c r="H539" t="s">
        <v>1609</v>
      </c>
      <c r="I539" t="str">
        <f>HYPERLINK("https://zfin.org/ZDB-GENE-040426-1033")</f>
        <v>https://zfin.org/ZDB-GENE-040426-1033</v>
      </c>
      <c r="J539" t="s">
        <v>1610</v>
      </c>
    </row>
    <row r="540" spans="1:10" x14ac:dyDescent="0.2">
      <c r="A540">
        <v>4.8292452188424002E-29</v>
      </c>
      <c r="B540">
        <v>-0.65054209891489301</v>
      </c>
      <c r="C540">
        <v>0.96399999999999997</v>
      </c>
      <c r="D540">
        <v>0.94899999999999995</v>
      </c>
      <c r="E540">
        <v>6.7116850051471698E-25</v>
      </c>
      <c r="F540">
        <v>1</v>
      </c>
      <c r="G540" t="s">
        <v>1611</v>
      </c>
      <c r="H540" t="s">
        <v>1612</v>
      </c>
      <c r="I540" t="str">
        <f>HYPERLINK("https://zfin.org/ZDB-GENE-030131-5297")</f>
        <v>https://zfin.org/ZDB-GENE-030131-5297</v>
      </c>
      <c r="J540" t="s">
        <v>1613</v>
      </c>
    </row>
    <row r="541" spans="1:10" x14ac:dyDescent="0.2">
      <c r="A541">
        <v>4.9988419726838201E-29</v>
      </c>
      <c r="B541">
        <v>0.66813710384751102</v>
      </c>
      <c r="C541">
        <v>0.95</v>
      </c>
      <c r="D541">
        <v>0.51300000000000001</v>
      </c>
      <c r="E541">
        <v>6.9473905736359803E-25</v>
      </c>
      <c r="F541">
        <v>1</v>
      </c>
      <c r="G541" t="s">
        <v>1614</v>
      </c>
      <c r="H541" t="s">
        <v>1615</v>
      </c>
      <c r="I541" t="str">
        <f>HYPERLINK("https://zfin.org/ZDB-GENE-020731-5")</f>
        <v>https://zfin.org/ZDB-GENE-020731-5</v>
      </c>
      <c r="J541" t="s">
        <v>1616</v>
      </c>
    </row>
    <row r="542" spans="1:10" x14ac:dyDescent="0.2">
      <c r="A542">
        <v>1.09786504230211E-28</v>
      </c>
      <c r="B542">
        <v>-0.52695317990948798</v>
      </c>
      <c r="C542">
        <v>0.99299999999999999</v>
      </c>
      <c r="D542">
        <v>0.99399999999999999</v>
      </c>
      <c r="E542">
        <v>1.52581283579147E-24</v>
      </c>
      <c r="F542">
        <v>1</v>
      </c>
      <c r="G542" t="s">
        <v>1617</v>
      </c>
      <c r="H542" t="s">
        <v>1618</v>
      </c>
      <c r="I542" t="str">
        <f>HYPERLINK("https://zfin.org/ZDB-GENE-040426-2117")</f>
        <v>https://zfin.org/ZDB-GENE-040426-2117</v>
      </c>
      <c r="J542" t="s">
        <v>1619</v>
      </c>
    </row>
    <row r="543" spans="1:10" x14ac:dyDescent="0.2">
      <c r="A543">
        <v>1.16448770290888E-28</v>
      </c>
      <c r="B543">
        <v>-0.48137266087187502</v>
      </c>
      <c r="C543">
        <v>1</v>
      </c>
      <c r="D543">
        <v>1</v>
      </c>
      <c r="E543">
        <v>1.61840500950276E-24</v>
      </c>
      <c r="F543">
        <v>1</v>
      </c>
      <c r="G543" t="s">
        <v>1620</v>
      </c>
      <c r="H543" t="s">
        <v>1621</v>
      </c>
      <c r="I543" t="str">
        <f>HYPERLINK("https://zfin.org/ZDB-GENE-030131-7528")</f>
        <v>https://zfin.org/ZDB-GENE-030131-7528</v>
      </c>
      <c r="J543" t="s">
        <v>1622</v>
      </c>
    </row>
    <row r="544" spans="1:10" x14ac:dyDescent="0.2">
      <c r="A544">
        <v>1.25732843011192E-28</v>
      </c>
      <c r="B544">
        <v>0.59292784482008498</v>
      </c>
      <c r="C544">
        <v>0.97099999999999997</v>
      </c>
      <c r="D544">
        <v>0.67800000000000005</v>
      </c>
      <c r="E544">
        <v>1.7474350521695498E-24</v>
      </c>
      <c r="F544">
        <v>1</v>
      </c>
      <c r="G544" t="s">
        <v>1623</v>
      </c>
      <c r="H544" t="s">
        <v>1624</v>
      </c>
      <c r="I544" t="str">
        <f>HYPERLINK("https://zfin.org/ZDB-GENE-030131-124")</f>
        <v>https://zfin.org/ZDB-GENE-030131-124</v>
      </c>
      <c r="J544" t="s">
        <v>1625</v>
      </c>
    </row>
    <row r="545" spans="1:10" x14ac:dyDescent="0.2">
      <c r="A545">
        <v>1.3335213307885299E-28</v>
      </c>
      <c r="B545">
        <v>0.30664529892361803</v>
      </c>
      <c r="C545">
        <v>0.33600000000000002</v>
      </c>
      <c r="D545">
        <v>6.5000000000000002E-2</v>
      </c>
      <c r="E545">
        <v>1.8533279455299E-24</v>
      </c>
      <c r="F545">
        <v>1</v>
      </c>
      <c r="G545" t="s">
        <v>1626</v>
      </c>
      <c r="H545" t="s">
        <v>1627</v>
      </c>
      <c r="I545" t="str">
        <f>HYPERLINK("https://zfin.org/ZDB-GENE-021219-2")</f>
        <v>https://zfin.org/ZDB-GENE-021219-2</v>
      </c>
      <c r="J545" t="s">
        <v>1628</v>
      </c>
    </row>
    <row r="546" spans="1:10" x14ac:dyDescent="0.2">
      <c r="A546">
        <v>1.5211114452740499E-28</v>
      </c>
      <c r="B546">
        <v>0.455883103087521</v>
      </c>
      <c r="C546">
        <v>1</v>
      </c>
      <c r="D546">
        <v>0.879</v>
      </c>
      <c r="E546">
        <v>2.1140406866418799E-24</v>
      </c>
      <c r="F546">
        <v>1</v>
      </c>
      <c r="G546" t="s">
        <v>1629</v>
      </c>
      <c r="H546" t="s">
        <v>1630</v>
      </c>
      <c r="I546" t="str">
        <f>HYPERLINK("https://zfin.org/ZDB-GENE-040426-2756")</f>
        <v>https://zfin.org/ZDB-GENE-040426-2756</v>
      </c>
      <c r="J546" t="s">
        <v>1631</v>
      </c>
    </row>
    <row r="547" spans="1:10" x14ac:dyDescent="0.2">
      <c r="A547">
        <v>2.7186539663791301E-28</v>
      </c>
      <c r="B547">
        <v>0.38310840967427801</v>
      </c>
      <c r="C547">
        <v>0.55700000000000005</v>
      </c>
      <c r="D547">
        <v>0.153</v>
      </c>
      <c r="E547">
        <v>3.7783852824737197E-24</v>
      </c>
      <c r="F547">
        <v>1</v>
      </c>
      <c r="G547" t="s">
        <v>1632</v>
      </c>
      <c r="H547" t="s">
        <v>1633</v>
      </c>
      <c r="I547" t="str">
        <f>HYPERLINK("https://zfin.org/ZDB-GENE-040426-1734")</f>
        <v>https://zfin.org/ZDB-GENE-040426-1734</v>
      </c>
      <c r="J547" t="s">
        <v>1634</v>
      </c>
    </row>
    <row r="548" spans="1:10" x14ac:dyDescent="0.2">
      <c r="A548">
        <v>4.4502962706038201E-28</v>
      </c>
      <c r="B548">
        <v>-0.59629303943427103</v>
      </c>
      <c r="C548">
        <v>1</v>
      </c>
      <c r="D548">
        <v>0.96899999999999997</v>
      </c>
      <c r="E548">
        <v>6.1850217568851902E-24</v>
      </c>
      <c r="F548">
        <v>1</v>
      </c>
      <c r="G548" t="s">
        <v>1635</v>
      </c>
      <c r="H548" t="s">
        <v>1636</v>
      </c>
      <c r="I548" t="str">
        <f>HYPERLINK("https://zfin.org/ZDB-GENE-040426-1102")</f>
        <v>https://zfin.org/ZDB-GENE-040426-1102</v>
      </c>
      <c r="J548" t="s">
        <v>1637</v>
      </c>
    </row>
    <row r="549" spans="1:10" x14ac:dyDescent="0.2">
      <c r="A549">
        <v>5.7352593345607302E-28</v>
      </c>
      <c r="B549">
        <v>-1.3603721250829499</v>
      </c>
      <c r="C549">
        <v>0.35699999999999998</v>
      </c>
      <c r="D549">
        <v>0.68100000000000005</v>
      </c>
      <c r="E549">
        <v>7.9708634231724993E-24</v>
      </c>
      <c r="F549">
        <v>1</v>
      </c>
      <c r="G549" t="s">
        <v>1638</v>
      </c>
      <c r="H549" t="s">
        <v>1639</v>
      </c>
      <c r="I549" t="str">
        <f>HYPERLINK("https://zfin.org/ZDB-GENE-010129-1")</f>
        <v>https://zfin.org/ZDB-GENE-010129-1</v>
      </c>
      <c r="J549" t="s">
        <v>1640</v>
      </c>
    </row>
    <row r="550" spans="1:10" x14ac:dyDescent="0.2">
      <c r="A550">
        <v>5.7515808555691502E-28</v>
      </c>
      <c r="B550">
        <v>0.45766524041772599</v>
      </c>
      <c r="C550">
        <v>0.63600000000000001</v>
      </c>
      <c r="D550">
        <v>0.19600000000000001</v>
      </c>
      <c r="E550">
        <v>7.9935470730700105E-24</v>
      </c>
      <c r="F550">
        <v>1</v>
      </c>
      <c r="G550" t="s">
        <v>1641</v>
      </c>
      <c r="H550" t="s">
        <v>1642</v>
      </c>
      <c r="I550" t="str">
        <f>HYPERLINK("https://zfin.org/ZDB-GENE-030131-670")</f>
        <v>https://zfin.org/ZDB-GENE-030131-670</v>
      </c>
      <c r="J550" t="s">
        <v>1643</v>
      </c>
    </row>
    <row r="551" spans="1:10" x14ac:dyDescent="0.2">
      <c r="A551">
        <v>1.21029159111215E-27</v>
      </c>
      <c r="B551">
        <v>-0.84754849290499001</v>
      </c>
      <c r="C551">
        <v>0.82899999999999996</v>
      </c>
      <c r="D551">
        <v>0.86199999999999999</v>
      </c>
      <c r="E551">
        <v>1.6820632533276701E-23</v>
      </c>
      <c r="F551">
        <v>1</v>
      </c>
      <c r="G551" t="s">
        <v>1644</v>
      </c>
      <c r="H551" t="s">
        <v>1645</v>
      </c>
      <c r="I551" t="str">
        <f>HYPERLINK("https://zfin.org/ZDB-GENE-040426-1955")</f>
        <v>https://zfin.org/ZDB-GENE-040426-1955</v>
      </c>
      <c r="J551" t="s">
        <v>1646</v>
      </c>
    </row>
    <row r="552" spans="1:10" x14ac:dyDescent="0.2">
      <c r="A552">
        <v>1.2665779509942E-27</v>
      </c>
      <c r="B552">
        <v>0.34945083704712299</v>
      </c>
      <c r="C552">
        <v>0.42899999999999999</v>
      </c>
      <c r="D552">
        <v>0.10199999999999999</v>
      </c>
      <c r="E552">
        <v>1.7602900362917301E-23</v>
      </c>
      <c r="F552">
        <v>1</v>
      </c>
      <c r="G552" t="s">
        <v>1647</v>
      </c>
      <c r="H552" t="s">
        <v>1648</v>
      </c>
      <c r="I552" t="str">
        <f>HYPERLINK("https://zfin.org/ZDB-GENE-000210-34")</f>
        <v>https://zfin.org/ZDB-GENE-000210-34</v>
      </c>
      <c r="J552" t="s">
        <v>1649</v>
      </c>
    </row>
    <row r="553" spans="1:10" x14ac:dyDescent="0.2">
      <c r="A553">
        <v>1.51194969674695E-27</v>
      </c>
      <c r="B553">
        <v>0.26600919764043301</v>
      </c>
      <c r="C553">
        <v>0.26400000000000001</v>
      </c>
      <c r="D553">
        <v>4.3999999999999997E-2</v>
      </c>
      <c r="E553">
        <v>2.1013076885389101E-23</v>
      </c>
      <c r="F553">
        <v>1</v>
      </c>
      <c r="G553" t="s">
        <v>1650</v>
      </c>
      <c r="H553" t="s">
        <v>1651</v>
      </c>
      <c r="I553" t="str">
        <f>HYPERLINK("https://zfin.org/ZDB-GENE-040718-81")</f>
        <v>https://zfin.org/ZDB-GENE-040718-81</v>
      </c>
      <c r="J553" t="s">
        <v>1652</v>
      </c>
    </row>
    <row r="554" spans="1:10" x14ac:dyDescent="0.2">
      <c r="A554">
        <v>1.83937306523779E-27</v>
      </c>
      <c r="B554">
        <v>-0.51286854817390304</v>
      </c>
      <c r="C554">
        <v>1</v>
      </c>
      <c r="D554">
        <v>0.997</v>
      </c>
      <c r="E554">
        <v>2.55636068606748E-23</v>
      </c>
      <c r="F554">
        <v>1</v>
      </c>
      <c r="G554" t="s">
        <v>1653</v>
      </c>
      <c r="H554" t="s">
        <v>1654</v>
      </c>
      <c r="I554" t="str">
        <f>HYPERLINK("https://zfin.org/ZDB-GENE-040426-2284")</f>
        <v>https://zfin.org/ZDB-GENE-040426-2284</v>
      </c>
      <c r="J554" t="s">
        <v>1655</v>
      </c>
    </row>
    <row r="555" spans="1:10" x14ac:dyDescent="0.2">
      <c r="A555">
        <v>2.5696466067063802E-27</v>
      </c>
      <c r="B555">
        <v>0.36398221111109602</v>
      </c>
      <c r="C555">
        <v>0.45</v>
      </c>
      <c r="D555">
        <v>0.111</v>
      </c>
      <c r="E555">
        <v>3.5712948540005203E-23</v>
      </c>
      <c r="F555">
        <v>1</v>
      </c>
      <c r="G555" t="s">
        <v>1656</v>
      </c>
      <c r="H555" t="s">
        <v>1657</v>
      </c>
      <c r="I555" t="str">
        <f>HYPERLINK("https://zfin.org/ZDB-GENE-040718-89")</f>
        <v>https://zfin.org/ZDB-GENE-040718-89</v>
      </c>
      <c r="J555" t="s">
        <v>1658</v>
      </c>
    </row>
    <row r="556" spans="1:10" x14ac:dyDescent="0.2">
      <c r="A556">
        <v>3.3393570916064802E-27</v>
      </c>
      <c r="B556">
        <v>0.53292846598011101</v>
      </c>
      <c r="C556">
        <v>0.88600000000000001</v>
      </c>
      <c r="D556">
        <v>0.373</v>
      </c>
      <c r="E556">
        <v>4.6410384859146799E-23</v>
      </c>
      <c r="F556">
        <v>1</v>
      </c>
      <c r="G556" t="s">
        <v>1659</v>
      </c>
      <c r="H556" t="s">
        <v>1660</v>
      </c>
      <c r="I556" t="str">
        <f>HYPERLINK("https://zfin.org/")</f>
        <v>https://zfin.org/</v>
      </c>
      <c r="J556" t="s">
        <v>1661</v>
      </c>
    </row>
    <row r="557" spans="1:10" x14ac:dyDescent="0.2">
      <c r="A557">
        <v>3.4766348385854302E-27</v>
      </c>
      <c r="B557">
        <v>-1.1039144338406901</v>
      </c>
      <c r="C557">
        <v>0.72099999999999997</v>
      </c>
      <c r="D557">
        <v>0.79500000000000004</v>
      </c>
      <c r="E557">
        <v>4.8318270986660301E-23</v>
      </c>
      <c r="F557">
        <v>1</v>
      </c>
      <c r="G557" t="s">
        <v>1662</v>
      </c>
      <c r="H557" t="s">
        <v>1663</v>
      </c>
      <c r="I557" t="str">
        <f>HYPERLINK("https://zfin.org/ZDB-GENE-000511-4")</f>
        <v>https://zfin.org/ZDB-GENE-000511-4</v>
      </c>
      <c r="J557" t="s">
        <v>1664</v>
      </c>
    </row>
    <row r="558" spans="1:10" x14ac:dyDescent="0.2">
      <c r="A558">
        <v>3.6597704922680398E-27</v>
      </c>
      <c r="B558">
        <v>-0.50592109333892199</v>
      </c>
      <c r="C558">
        <v>1</v>
      </c>
      <c r="D558">
        <v>0.99399999999999999</v>
      </c>
      <c r="E558">
        <v>5.0863490301541201E-23</v>
      </c>
      <c r="F558">
        <v>1</v>
      </c>
      <c r="G558" t="s">
        <v>1665</v>
      </c>
      <c r="H558" t="s">
        <v>1666</v>
      </c>
      <c r="I558" t="str">
        <f>HYPERLINK("https://zfin.org/ZDB-GENE-030131-8708")</f>
        <v>https://zfin.org/ZDB-GENE-030131-8708</v>
      </c>
      <c r="J558" t="s">
        <v>1667</v>
      </c>
    </row>
    <row r="559" spans="1:10" x14ac:dyDescent="0.2">
      <c r="A559">
        <v>5.5644421192012898E-27</v>
      </c>
      <c r="B559">
        <v>0.37301194468971699</v>
      </c>
      <c r="C559">
        <v>0.55000000000000004</v>
      </c>
      <c r="D559">
        <v>0.154</v>
      </c>
      <c r="E559">
        <v>7.7334616572659498E-23</v>
      </c>
      <c r="F559">
        <v>1</v>
      </c>
      <c r="G559" t="s">
        <v>1668</v>
      </c>
      <c r="H559" t="s">
        <v>1669</v>
      </c>
      <c r="I559" t="str">
        <f>HYPERLINK("https://zfin.org/ZDB-GENE-040801-249")</f>
        <v>https://zfin.org/ZDB-GENE-040801-249</v>
      </c>
      <c r="J559" t="s">
        <v>1670</v>
      </c>
    </row>
    <row r="560" spans="1:10" x14ac:dyDescent="0.2">
      <c r="A560">
        <v>5.9639643261412699E-27</v>
      </c>
      <c r="B560">
        <v>-0.52385990163509</v>
      </c>
      <c r="C560">
        <v>1</v>
      </c>
      <c r="D560">
        <v>0.99399999999999999</v>
      </c>
      <c r="E560">
        <v>8.2887176204711305E-23</v>
      </c>
      <c r="F560">
        <v>1</v>
      </c>
      <c r="G560" t="s">
        <v>1671</v>
      </c>
      <c r="H560" t="s">
        <v>1672</v>
      </c>
      <c r="I560" t="str">
        <f>HYPERLINK("https://zfin.org/ZDB-GENE-040625-147")</f>
        <v>https://zfin.org/ZDB-GENE-040625-147</v>
      </c>
      <c r="J560" t="s">
        <v>1673</v>
      </c>
    </row>
    <row r="561" spans="1:10" x14ac:dyDescent="0.2">
      <c r="A561">
        <v>7.1221233995467493E-27</v>
      </c>
      <c r="B561">
        <v>0.46512570232844402</v>
      </c>
      <c r="C561">
        <v>0.67900000000000005</v>
      </c>
      <c r="D561">
        <v>0.224</v>
      </c>
      <c r="E561">
        <v>9.8983271006900706E-23</v>
      </c>
      <c r="F561">
        <v>1</v>
      </c>
      <c r="G561" t="s">
        <v>1674</v>
      </c>
      <c r="H561" t="s">
        <v>1675</v>
      </c>
      <c r="I561" t="str">
        <f>HYPERLINK("https://zfin.org/ZDB-GENE-040426-730")</f>
        <v>https://zfin.org/ZDB-GENE-040426-730</v>
      </c>
      <c r="J561" t="s">
        <v>1676</v>
      </c>
    </row>
    <row r="562" spans="1:10" x14ac:dyDescent="0.2">
      <c r="A562">
        <v>7.7046904859141703E-27</v>
      </c>
      <c r="B562">
        <v>-0.89983091645042901</v>
      </c>
      <c r="C562">
        <v>0.77900000000000003</v>
      </c>
      <c r="D562">
        <v>0.83099999999999996</v>
      </c>
      <c r="E562">
        <v>1.07079788373235E-22</v>
      </c>
      <c r="F562">
        <v>1</v>
      </c>
      <c r="G562" t="s">
        <v>1677</v>
      </c>
      <c r="H562" t="s">
        <v>1678</v>
      </c>
      <c r="I562" t="str">
        <f>HYPERLINK("https://zfin.org/ZDB-GENE-030410-4")</f>
        <v>https://zfin.org/ZDB-GENE-030410-4</v>
      </c>
      <c r="J562" t="s">
        <v>1679</v>
      </c>
    </row>
    <row r="563" spans="1:10" x14ac:dyDescent="0.2">
      <c r="A563">
        <v>8.9219227426232599E-27</v>
      </c>
      <c r="B563">
        <v>0.53971396783352898</v>
      </c>
      <c r="C563">
        <v>0.99299999999999999</v>
      </c>
      <c r="D563">
        <v>0.78300000000000003</v>
      </c>
      <c r="E563">
        <v>1.23996882276978E-22</v>
      </c>
      <c r="F563">
        <v>1</v>
      </c>
      <c r="G563" t="s">
        <v>1680</v>
      </c>
      <c r="H563" t="s">
        <v>1681</v>
      </c>
      <c r="I563" t="str">
        <f>HYPERLINK("https://zfin.org/ZDB-GENE-110411-22")</f>
        <v>https://zfin.org/ZDB-GENE-110411-22</v>
      </c>
      <c r="J563" t="s">
        <v>1682</v>
      </c>
    </row>
    <row r="564" spans="1:10" x14ac:dyDescent="0.2">
      <c r="A564">
        <v>9.8203131752138298E-27</v>
      </c>
      <c r="B564">
        <v>0.57455681849135598</v>
      </c>
      <c r="C564">
        <v>0.879</v>
      </c>
      <c r="D564">
        <v>0.39200000000000002</v>
      </c>
      <c r="E564">
        <v>1.3648271250912199E-22</v>
      </c>
      <c r="F564">
        <v>1</v>
      </c>
      <c r="G564" t="s">
        <v>1683</v>
      </c>
      <c r="H564" t="s">
        <v>1684</v>
      </c>
      <c r="I564" t="str">
        <f>HYPERLINK("https://zfin.org/ZDB-GENE-040426-2060")</f>
        <v>https://zfin.org/ZDB-GENE-040426-2060</v>
      </c>
      <c r="J564" t="s">
        <v>1685</v>
      </c>
    </row>
    <row r="565" spans="1:10" x14ac:dyDescent="0.2">
      <c r="A565">
        <v>9.8877219848984199E-27</v>
      </c>
      <c r="B565">
        <v>0.50902329195317597</v>
      </c>
      <c r="C565">
        <v>0.76400000000000001</v>
      </c>
      <c r="D565">
        <v>0.27600000000000002</v>
      </c>
      <c r="E565">
        <v>1.37419560146118E-22</v>
      </c>
      <c r="F565">
        <v>1</v>
      </c>
      <c r="G565" t="s">
        <v>1686</v>
      </c>
      <c r="H565" t="s">
        <v>1687</v>
      </c>
      <c r="I565" t="str">
        <f>HYPERLINK("https://zfin.org/ZDB-GENE-040718-336")</f>
        <v>https://zfin.org/ZDB-GENE-040718-336</v>
      </c>
      <c r="J565" t="s">
        <v>1688</v>
      </c>
    </row>
    <row r="566" spans="1:10" x14ac:dyDescent="0.2">
      <c r="A566">
        <v>1.02760884330032E-26</v>
      </c>
      <c r="B566">
        <v>-1.5658601062539801</v>
      </c>
      <c r="C566">
        <v>0.46400000000000002</v>
      </c>
      <c r="D566">
        <v>0.71599999999999997</v>
      </c>
      <c r="E566">
        <v>1.4281707704187799E-22</v>
      </c>
      <c r="F566">
        <v>1</v>
      </c>
      <c r="G566" t="s">
        <v>1689</v>
      </c>
      <c r="H566" t="s">
        <v>1690</v>
      </c>
      <c r="I566" t="str">
        <f>HYPERLINK("https://zfin.org/ZDB-GENE-101011-2")</f>
        <v>https://zfin.org/ZDB-GENE-101011-2</v>
      </c>
      <c r="J566" t="s">
        <v>1691</v>
      </c>
    </row>
    <row r="567" spans="1:10" x14ac:dyDescent="0.2">
      <c r="A567">
        <v>1.26602396138568E-26</v>
      </c>
      <c r="B567">
        <v>-0.56010125762778695</v>
      </c>
      <c r="C567">
        <v>0.98599999999999999</v>
      </c>
      <c r="D567">
        <v>0.97399999999999998</v>
      </c>
      <c r="E567">
        <v>1.7595201015338099E-22</v>
      </c>
      <c r="F567">
        <v>1</v>
      </c>
      <c r="G567" t="s">
        <v>1692</v>
      </c>
      <c r="H567" t="s">
        <v>1693</v>
      </c>
      <c r="I567" t="str">
        <f>HYPERLINK("https://zfin.org/ZDB-GENE-020419-2")</f>
        <v>https://zfin.org/ZDB-GENE-020419-2</v>
      </c>
      <c r="J567" t="s">
        <v>1694</v>
      </c>
    </row>
    <row r="568" spans="1:10" x14ac:dyDescent="0.2">
      <c r="A568">
        <v>1.40457434438735E-26</v>
      </c>
      <c r="B568">
        <v>-1.20550717144791</v>
      </c>
      <c r="C568">
        <v>0.54300000000000004</v>
      </c>
      <c r="D568">
        <v>0.72099999999999997</v>
      </c>
      <c r="E568">
        <v>1.9520774238295299E-22</v>
      </c>
      <c r="F568">
        <v>1</v>
      </c>
      <c r="G568" t="s">
        <v>1695</v>
      </c>
      <c r="H568" t="s">
        <v>1696</v>
      </c>
      <c r="I568" t="str">
        <f>HYPERLINK("https://zfin.org/ZDB-GENE-040426-2770")</f>
        <v>https://zfin.org/ZDB-GENE-040426-2770</v>
      </c>
      <c r="J568" t="s">
        <v>1697</v>
      </c>
    </row>
    <row r="569" spans="1:10" x14ac:dyDescent="0.2">
      <c r="A569">
        <v>1.82750316890366E-26</v>
      </c>
      <c r="B569">
        <v>-0.47490686749731498</v>
      </c>
      <c r="C569">
        <v>1</v>
      </c>
      <c r="D569">
        <v>0.998</v>
      </c>
      <c r="E569">
        <v>2.5398639041423001E-22</v>
      </c>
      <c r="F569">
        <v>1</v>
      </c>
      <c r="G569" t="s">
        <v>1698</v>
      </c>
      <c r="H569" t="s">
        <v>1699</v>
      </c>
      <c r="I569" t="str">
        <f>HYPERLINK("https://zfin.org/ZDB-GENE-040622-2")</f>
        <v>https://zfin.org/ZDB-GENE-040622-2</v>
      </c>
      <c r="J569" t="s">
        <v>1700</v>
      </c>
    </row>
    <row r="570" spans="1:10" x14ac:dyDescent="0.2">
      <c r="A570">
        <v>2.16940231053515E-26</v>
      </c>
      <c r="B570">
        <v>-1.73573812998118</v>
      </c>
      <c r="C570">
        <v>0.56399999999999995</v>
      </c>
      <c r="D570">
        <v>0.75900000000000001</v>
      </c>
      <c r="E570">
        <v>3.0150353311817499E-22</v>
      </c>
      <c r="F570">
        <v>1</v>
      </c>
      <c r="G570" t="s">
        <v>1701</v>
      </c>
      <c r="H570" t="s">
        <v>1702</v>
      </c>
      <c r="I570" t="str">
        <f>HYPERLINK("https://zfin.org/ZDB-GENE-111109-2")</f>
        <v>https://zfin.org/ZDB-GENE-111109-2</v>
      </c>
      <c r="J570" t="s">
        <v>1703</v>
      </c>
    </row>
    <row r="571" spans="1:10" x14ac:dyDescent="0.2">
      <c r="A571">
        <v>2.3982006929332901E-26</v>
      </c>
      <c r="B571">
        <v>-0.82899587759589499</v>
      </c>
      <c r="C571">
        <v>0.82099999999999995</v>
      </c>
      <c r="D571">
        <v>0.85799999999999998</v>
      </c>
      <c r="E571">
        <v>3.3330193230386801E-22</v>
      </c>
      <c r="F571">
        <v>1</v>
      </c>
      <c r="G571" t="s">
        <v>1704</v>
      </c>
      <c r="H571" t="s">
        <v>1705</v>
      </c>
      <c r="I571" t="str">
        <f>HYPERLINK("https://zfin.org/ZDB-GENE-030131-5475")</f>
        <v>https://zfin.org/ZDB-GENE-030131-5475</v>
      </c>
      <c r="J571" t="s">
        <v>1706</v>
      </c>
    </row>
    <row r="572" spans="1:10" x14ac:dyDescent="0.2">
      <c r="A572">
        <v>2.46920913485088E-26</v>
      </c>
      <c r="B572">
        <v>-0.83742171741673199</v>
      </c>
      <c r="C572">
        <v>0.88600000000000001</v>
      </c>
      <c r="D572">
        <v>0.89400000000000002</v>
      </c>
      <c r="E572">
        <v>3.4317068556157498E-22</v>
      </c>
      <c r="F572">
        <v>1</v>
      </c>
      <c r="G572" t="s">
        <v>1707</v>
      </c>
      <c r="H572" t="s">
        <v>1708</v>
      </c>
      <c r="I572" t="str">
        <f>HYPERLINK("https://zfin.org/ZDB-GENE-030131-7647")</f>
        <v>https://zfin.org/ZDB-GENE-030131-7647</v>
      </c>
      <c r="J572" t="s">
        <v>1709</v>
      </c>
    </row>
    <row r="573" spans="1:10" x14ac:dyDescent="0.2">
      <c r="A573">
        <v>2.93813662239352E-26</v>
      </c>
      <c r="B573">
        <v>0.493288839363765</v>
      </c>
      <c r="C573">
        <v>0.83599999999999997</v>
      </c>
      <c r="D573">
        <v>0.315</v>
      </c>
      <c r="E573">
        <v>4.0834222778025099E-22</v>
      </c>
      <c r="F573">
        <v>1</v>
      </c>
      <c r="G573" t="s">
        <v>1710</v>
      </c>
      <c r="H573" t="s">
        <v>1711</v>
      </c>
      <c r="I573" t="str">
        <f>HYPERLINK("https://zfin.org/ZDB-GENE-030131-8005")</f>
        <v>https://zfin.org/ZDB-GENE-030131-8005</v>
      </c>
      <c r="J573" t="s">
        <v>1712</v>
      </c>
    </row>
    <row r="574" spans="1:10" x14ac:dyDescent="0.2">
      <c r="A574">
        <v>3.1903819858987299E-26</v>
      </c>
      <c r="B574">
        <v>-0.496641193013802</v>
      </c>
      <c r="C574">
        <v>1</v>
      </c>
      <c r="D574">
        <v>0.997</v>
      </c>
      <c r="E574">
        <v>4.4339928840020499E-22</v>
      </c>
      <c r="F574">
        <v>1</v>
      </c>
      <c r="G574" t="s">
        <v>1713</v>
      </c>
      <c r="H574" t="s">
        <v>1714</v>
      </c>
      <c r="I574" t="str">
        <f>HYPERLINK("https://zfin.org/ZDB-GENE-040625-39")</f>
        <v>https://zfin.org/ZDB-GENE-040625-39</v>
      </c>
      <c r="J574" t="s">
        <v>1715</v>
      </c>
    </row>
    <row r="575" spans="1:10" x14ac:dyDescent="0.2">
      <c r="A575">
        <v>3.2304077757654102E-26</v>
      </c>
      <c r="B575">
        <v>0.32203630040219799</v>
      </c>
      <c r="C575">
        <v>0.314</v>
      </c>
      <c r="D575">
        <v>6.3E-2</v>
      </c>
      <c r="E575">
        <v>4.4896207267587598E-22</v>
      </c>
      <c r="F575">
        <v>1</v>
      </c>
      <c r="G575" t="s">
        <v>1716</v>
      </c>
      <c r="H575" t="s">
        <v>1717</v>
      </c>
      <c r="I575" t="str">
        <f>HYPERLINK("https://zfin.org/ZDB-GENE-030131-9443")</f>
        <v>https://zfin.org/ZDB-GENE-030131-9443</v>
      </c>
      <c r="J575" t="s">
        <v>1718</v>
      </c>
    </row>
    <row r="576" spans="1:10" x14ac:dyDescent="0.2">
      <c r="A576">
        <v>3.3385211243527803E-26</v>
      </c>
      <c r="B576">
        <v>-1.2158657016924601</v>
      </c>
      <c r="C576">
        <v>0.53600000000000003</v>
      </c>
      <c r="D576">
        <v>0.72599999999999998</v>
      </c>
      <c r="E576">
        <v>4.6398766586255004E-22</v>
      </c>
      <c r="F576">
        <v>1</v>
      </c>
      <c r="G576" t="s">
        <v>1719</v>
      </c>
      <c r="H576" t="s">
        <v>1720</v>
      </c>
      <c r="I576" t="str">
        <f>HYPERLINK("https://zfin.org/ZDB-GENE-030131-2524")</f>
        <v>https://zfin.org/ZDB-GENE-030131-2524</v>
      </c>
      <c r="J576" t="s">
        <v>1721</v>
      </c>
    </row>
    <row r="577" spans="1:10" x14ac:dyDescent="0.2">
      <c r="A577">
        <v>3.38872350395091E-26</v>
      </c>
      <c r="B577">
        <v>0.45230272468212102</v>
      </c>
      <c r="C577">
        <v>0.77100000000000002</v>
      </c>
      <c r="D577">
        <v>0.27200000000000002</v>
      </c>
      <c r="E577">
        <v>4.7096479257909796E-22</v>
      </c>
      <c r="F577">
        <v>1</v>
      </c>
      <c r="G577" t="s">
        <v>1722</v>
      </c>
      <c r="H577" t="s">
        <v>1723</v>
      </c>
      <c r="I577" t="str">
        <f>HYPERLINK("https://zfin.org/ZDB-GENE-040426-1688")</f>
        <v>https://zfin.org/ZDB-GENE-040426-1688</v>
      </c>
      <c r="J577" t="s">
        <v>1724</v>
      </c>
    </row>
    <row r="578" spans="1:10" x14ac:dyDescent="0.2">
      <c r="A578">
        <v>3.9287997993001702E-26</v>
      </c>
      <c r="B578">
        <v>0.29401597595339701</v>
      </c>
      <c r="C578">
        <v>0.47099999999999997</v>
      </c>
      <c r="D578">
        <v>0.12</v>
      </c>
      <c r="E578">
        <v>5.4602459610673798E-22</v>
      </c>
      <c r="F578">
        <v>1</v>
      </c>
      <c r="G578" t="s">
        <v>1725</v>
      </c>
      <c r="H578" t="s">
        <v>1726</v>
      </c>
      <c r="I578" t="str">
        <f>HYPERLINK("https://zfin.org/ZDB-GENE-030410-2")</f>
        <v>https://zfin.org/ZDB-GENE-030410-2</v>
      </c>
      <c r="J578" t="s">
        <v>1727</v>
      </c>
    </row>
    <row r="579" spans="1:10" x14ac:dyDescent="0.2">
      <c r="A579">
        <v>4.4175754296853702E-26</v>
      </c>
      <c r="B579">
        <v>0.27619183965313399</v>
      </c>
      <c r="C579">
        <v>0.33600000000000002</v>
      </c>
      <c r="D579">
        <v>7.0000000000000007E-2</v>
      </c>
      <c r="E579">
        <v>6.1395463321767301E-22</v>
      </c>
      <c r="F579">
        <v>1</v>
      </c>
      <c r="G579" t="s">
        <v>1728</v>
      </c>
      <c r="H579" t="s">
        <v>1729</v>
      </c>
      <c r="I579" t="str">
        <f>HYPERLINK("https://zfin.org/ZDB-GENE-050522-152")</f>
        <v>https://zfin.org/ZDB-GENE-050522-152</v>
      </c>
      <c r="J579" t="s">
        <v>1730</v>
      </c>
    </row>
    <row r="580" spans="1:10" x14ac:dyDescent="0.2">
      <c r="A580">
        <v>6.7677391240994496E-26</v>
      </c>
      <c r="B580">
        <v>0.41871771272682801</v>
      </c>
      <c r="C580">
        <v>0.629</v>
      </c>
      <c r="D580">
        <v>0.19700000000000001</v>
      </c>
      <c r="E580">
        <v>9.4058038346734209E-22</v>
      </c>
      <c r="F580">
        <v>1</v>
      </c>
      <c r="G580" t="s">
        <v>1731</v>
      </c>
      <c r="H580" t="s">
        <v>1732</v>
      </c>
      <c r="I580" t="str">
        <f>HYPERLINK("https://zfin.org/ZDB-GENE-040426-2200")</f>
        <v>https://zfin.org/ZDB-GENE-040426-2200</v>
      </c>
      <c r="J580" t="s">
        <v>1733</v>
      </c>
    </row>
    <row r="581" spans="1:10" x14ac:dyDescent="0.2">
      <c r="A581">
        <v>7.9686483165256E-26</v>
      </c>
      <c r="B581">
        <v>0.41818392494735002</v>
      </c>
      <c r="C581">
        <v>0.65</v>
      </c>
      <c r="D581">
        <v>0.20799999999999999</v>
      </c>
      <c r="E581">
        <v>1.10748274303073E-21</v>
      </c>
      <c r="F581">
        <v>1</v>
      </c>
      <c r="G581" t="s">
        <v>1734</v>
      </c>
      <c r="H581" t="s">
        <v>1735</v>
      </c>
      <c r="I581" t="str">
        <f>HYPERLINK("https://zfin.org/ZDB-GENE-040426-1713")</f>
        <v>https://zfin.org/ZDB-GENE-040426-1713</v>
      </c>
      <c r="J581" t="s">
        <v>1736</v>
      </c>
    </row>
    <row r="582" spans="1:10" x14ac:dyDescent="0.2">
      <c r="A582">
        <v>2.4033487702577702E-25</v>
      </c>
      <c r="B582">
        <v>0.49535013737217198</v>
      </c>
      <c r="C582">
        <v>1</v>
      </c>
      <c r="D582">
        <v>0.77</v>
      </c>
      <c r="E582">
        <v>3.3401741209042398E-21</v>
      </c>
      <c r="F582">
        <v>1</v>
      </c>
      <c r="G582" t="s">
        <v>1737</v>
      </c>
      <c r="H582" t="s">
        <v>1738</v>
      </c>
      <c r="I582" t="str">
        <f>HYPERLINK("https://zfin.org/ZDB-GENE-030131-6602")</f>
        <v>https://zfin.org/ZDB-GENE-030131-6602</v>
      </c>
      <c r="J582" t="s">
        <v>1739</v>
      </c>
    </row>
    <row r="583" spans="1:10" x14ac:dyDescent="0.2">
      <c r="A583">
        <v>2.6281758700461902E-25</v>
      </c>
      <c r="B583">
        <v>0.26671950759783197</v>
      </c>
      <c r="C583">
        <v>0.443</v>
      </c>
      <c r="D583">
        <v>0.111</v>
      </c>
      <c r="E583">
        <v>3.65263882419019E-21</v>
      </c>
      <c r="F583">
        <v>1</v>
      </c>
      <c r="G583" t="s">
        <v>1740</v>
      </c>
      <c r="H583" t="s">
        <v>1741</v>
      </c>
      <c r="I583" t="str">
        <f>HYPERLINK("https://zfin.org/ZDB-GENE-030131-7696")</f>
        <v>https://zfin.org/ZDB-GENE-030131-7696</v>
      </c>
      <c r="J583" t="s">
        <v>1742</v>
      </c>
    </row>
    <row r="584" spans="1:10" x14ac:dyDescent="0.2">
      <c r="A584">
        <v>2.84484070241111E-25</v>
      </c>
      <c r="B584">
        <v>-0.74838666641832197</v>
      </c>
      <c r="C584">
        <v>0.94299999999999995</v>
      </c>
      <c r="D584">
        <v>0.91400000000000003</v>
      </c>
      <c r="E584">
        <v>3.9537596082109603E-21</v>
      </c>
      <c r="F584">
        <v>1</v>
      </c>
      <c r="G584" t="s">
        <v>1743</v>
      </c>
      <c r="H584" t="s">
        <v>1744</v>
      </c>
      <c r="I584" t="str">
        <f>HYPERLINK("https://zfin.org/ZDB-GENE-050208-726")</f>
        <v>https://zfin.org/ZDB-GENE-050208-726</v>
      </c>
      <c r="J584" t="s">
        <v>1745</v>
      </c>
    </row>
    <row r="585" spans="1:10" x14ac:dyDescent="0.2">
      <c r="A585">
        <v>2.9056065602250502E-25</v>
      </c>
      <c r="B585">
        <v>-0.42202170588925503</v>
      </c>
      <c r="C585">
        <v>1</v>
      </c>
      <c r="D585">
        <v>0.999</v>
      </c>
      <c r="E585">
        <v>4.0382119974007697E-21</v>
      </c>
      <c r="F585">
        <v>1</v>
      </c>
      <c r="G585" t="s">
        <v>1746</v>
      </c>
      <c r="H585" t="s">
        <v>1747</v>
      </c>
      <c r="I585" t="str">
        <f>HYPERLINK("https://zfin.org/ZDB-GENE-070928-31")</f>
        <v>https://zfin.org/ZDB-GENE-070928-31</v>
      </c>
      <c r="J585" t="s">
        <v>1748</v>
      </c>
    </row>
    <row r="586" spans="1:10" x14ac:dyDescent="0.2">
      <c r="A586">
        <v>2.9672144298474199E-25</v>
      </c>
      <c r="B586">
        <v>-0.561198796592146</v>
      </c>
      <c r="C586">
        <v>0.97899999999999998</v>
      </c>
      <c r="D586">
        <v>0.96599999999999997</v>
      </c>
      <c r="E586">
        <v>4.12383461460195E-21</v>
      </c>
      <c r="F586">
        <v>1</v>
      </c>
      <c r="G586" t="s">
        <v>1749</v>
      </c>
      <c r="H586" t="s">
        <v>1750</v>
      </c>
      <c r="I586" t="str">
        <f>HYPERLINK("https://zfin.org/ZDB-GENE-040927-19")</f>
        <v>https://zfin.org/ZDB-GENE-040927-19</v>
      </c>
      <c r="J586" t="s">
        <v>1751</v>
      </c>
    </row>
    <row r="587" spans="1:10" x14ac:dyDescent="0.2">
      <c r="A587">
        <v>3.8365298980998301E-25</v>
      </c>
      <c r="B587">
        <v>0.30447952876172202</v>
      </c>
      <c r="C587">
        <v>0.42099999999999999</v>
      </c>
      <c r="D587">
        <v>0.106</v>
      </c>
      <c r="E587">
        <v>5.3320092523791498E-21</v>
      </c>
      <c r="F587">
        <v>1</v>
      </c>
      <c r="G587" t="s">
        <v>1752</v>
      </c>
      <c r="H587" t="s">
        <v>1753</v>
      </c>
      <c r="I587" t="str">
        <f>HYPERLINK("https://zfin.org/ZDB-GENE-030131-7917")</f>
        <v>https://zfin.org/ZDB-GENE-030131-7917</v>
      </c>
      <c r="J587" t="s">
        <v>1754</v>
      </c>
    </row>
    <row r="588" spans="1:10" x14ac:dyDescent="0.2">
      <c r="A588">
        <v>4.7974405483018797E-25</v>
      </c>
      <c r="B588">
        <v>0.31420997607877199</v>
      </c>
      <c r="C588">
        <v>0.47099999999999997</v>
      </c>
      <c r="D588">
        <v>0.124</v>
      </c>
      <c r="E588">
        <v>6.6674828740299597E-21</v>
      </c>
      <c r="F588">
        <v>1</v>
      </c>
      <c r="G588" t="s">
        <v>1755</v>
      </c>
      <c r="H588" t="s">
        <v>1756</v>
      </c>
      <c r="I588" t="str">
        <f>HYPERLINK("https://zfin.org/ZDB-GENE-040808-68")</f>
        <v>https://zfin.org/ZDB-GENE-040808-68</v>
      </c>
      <c r="J588" t="s">
        <v>1757</v>
      </c>
    </row>
    <row r="589" spans="1:10" x14ac:dyDescent="0.2">
      <c r="A589">
        <v>5.21827489731013E-25</v>
      </c>
      <c r="B589">
        <v>-0.597204243356109</v>
      </c>
      <c r="C589">
        <v>0.98599999999999999</v>
      </c>
      <c r="D589">
        <v>0.96399999999999997</v>
      </c>
      <c r="E589">
        <v>7.2523584522816093E-21</v>
      </c>
      <c r="F589">
        <v>1</v>
      </c>
      <c r="G589" t="s">
        <v>1758</v>
      </c>
      <c r="H589" t="s">
        <v>1759</v>
      </c>
      <c r="I589" t="str">
        <f>HYPERLINK("https://zfin.org/ZDB-GENE-040718-190")</f>
        <v>https://zfin.org/ZDB-GENE-040718-190</v>
      </c>
      <c r="J589" t="s">
        <v>1760</v>
      </c>
    </row>
    <row r="590" spans="1:10" x14ac:dyDescent="0.2">
      <c r="A590">
        <v>5.6099441144093397E-25</v>
      </c>
      <c r="B590">
        <v>0.26428779888367798</v>
      </c>
      <c r="C590">
        <v>0.32100000000000001</v>
      </c>
      <c r="D590">
        <v>6.7000000000000004E-2</v>
      </c>
      <c r="E590">
        <v>7.7967003302060999E-21</v>
      </c>
      <c r="F590">
        <v>1</v>
      </c>
      <c r="G590" t="s">
        <v>1761</v>
      </c>
      <c r="H590" t="s">
        <v>1762</v>
      </c>
      <c r="I590" t="str">
        <f>HYPERLINK("https://zfin.org/ZDB-GENE-040625-79")</f>
        <v>https://zfin.org/ZDB-GENE-040625-79</v>
      </c>
      <c r="J590" t="s">
        <v>1763</v>
      </c>
    </row>
    <row r="591" spans="1:10" x14ac:dyDescent="0.2">
      <c r="A591">
        <v>5.9191917919757802E-25</v>
      </c>
      <c r="B591">
        <v>0.341385555657583</v>
      </c>
      <c r="C591">
        <v>0.35699999999999998</v>
      </c>
      <c r="D591">
        <v>8.1000000000000003E-2</v>
      </c>
      <c r="E591">
        <v>8.2264927524879396E-21</v>
      </c>
      <c r="F591">
        <v>1</v>
      </c>
      <c r="G591" t="s">
        <v>1764</v>
      </c>
      <c r="H591" t="s">
        <v>1765</v>
      </c>
      <c r="I591" t="str">
        <f>HYPERLINK("https://zfin.org/ZDB-GENE-040718-430")</f>
        <v>https://zfin.org/ZDB-GENE-040718-430</v>
      </c>
      <c r="J591" t="s">
        <v>1766</v>
      </c>
    </row>
    <row r="592" spans="1:10" x14ac:dyDescent="0.2">
      <c r="A592">
        <v>6.4284234353108698E-25</v>
      </c>
      <c r="B592">
        <v>0.58620263113339199</v>
      </c>
      <c r="C592">
        <v>0.96399999999999997</v>
      </c>
      <c r="D592">
        <v>0.52600000000000002</v>
      </c>
      <c r="E592">
        <v>8.9342228903950407E-21</v>
      </c>
      <c r="F592">
        <v>1</v>
      </c>
      <c r="G592" t="s">
        <v>1767</v>
      </c>
      <c r="H592" t="s">
        <v>1768</v>
      </c>
      <c r="I592" t="str">
        <f>HYPERLINK("https://zfin.org/ZDB-GENE-040426-1658")</f>
        <v>https://zfin.org/ZDB-GENE-040426-1658</v>
      </c>
      <c r="J592" t="s">
        <v>1769</v>
      </c>
    </row>
    <row r="593" spans="1:10" x14ac:dyDescent="0.2">
      <c r="A593">
        <v>7.2681135333348101E-25</v>
      </c>
      <c r="B593">
        <v>0.548869029995254</v>
      </c>
      <c r="C593">
        <v>0.97099999999999997</v>
      </c>
      <c r="D593">
        <v>0.57599999999999996</v>
      </c>
      <c r="E593">
        <v>1.01012241886287E-20</v>
      </c>
      <c r="F593">
        <v>1</v>
      </c>
      <c r="G593" t="s">
        <v>1770</v>
      </c>
      <c r="H593" t="s">
        <v>1771</v>
      </c>
      <c r="I593" t="str">
        <f>HYPERLINK("https://zfin.org/ZDB-GENE-030131-5175")</f>
        <v>https://zfin.org/ZDB-GENE-030131-5175</v>
      </c>
      <c r="J593" t="s">
        <v>1772</v>
      </c>
    </row>
    <row r="594" spans="1:10" x14ac:dyDescent="0.2">
      <c r="A594">
        <v>8.1078166390968499E-25</v>
      </c>
      <c r="B594">
        <v>0.40596089208515101</v>
      </c>
      <c r="C594">
        <v>0.72899999999999998</v>
      </c>
      <c r="D594">
        <v>0.25</v>
      </c>
      <c r="E594">
        <v>1.12682435650168E-20</v>
      </c>
      <c r="F594">
        <v>1</v>
      </c>
      <c r="G594" t="s">
        <v>1773</v>
      </c>
      <c r="H594" t="s">
        <v>1774</v>
      </c>
      <c r="I594" t="str">
        <f>HYPERLINK("https://zfin.org/ZDB-GENE-030826-18")</f>
        <v>https://zfin.org/ZDB-GENE-030826-18</v>
      </c>
      <c r="J594" t="s">
        <v>1775</v>
      </c>
    </row>
    <row r="595" spans="1:10" x14ac:dyDescent="0.2">
      <c r="A595">
        <v>8.8196697977132908E-25</v>
      </c>
      <c r="B595">
        <v>0.45689894875986697</v>
      </c>
      <c r="C595">
        <v>0.77100000000000002</v>
      </c>
      <c r="D595">
        <v>0.28199999999999997</v>
      </c>
      <c r="E595">
        <v>1.2257577084861901E-20</v>
      </c>
      <c r="F595">
        <v>1</v>
      </c>
      <c r="G595" t="s">
        <v>1776</v>
      </c>
      <c r="H595" t="s">
        <v>1777</v>
      </c>
      <c r="I595" t="str">
        <f>HYPERLINK("https://zfin.org/ZDB-GENE-050311-1")</f>
        <v>https://zfin.org/ZDB-GENE-050311-1</v>
      </c>
      <c r="J595" t="s">
        <v>1778</v>
      </c>
    </row>
    <row r="596" spans="1:10" x14ac:dyDescent="0.2">
      <c r="A596">
        <v>1.01220420720321E-24</v>
      </c>
      <c r="B596">
        <v>0.32461874405242302</v>
      </c>
      <c r="C596">
        <v>0.50700000000000001</v>
      </c>
      <c r="D596">
        <v>0.14000000000000001</v>
      </c>
      <c r="E596">
        <v>1.4067614071710199E-20</v>
      </c>
      <c r="F596">
        <v>1</v>
      </c>
      <c r="G596" t="s">
        <v>1779</v>
      </c>
      <c r="H596" t="s">
        <v>1780</v>
      </c>
      <c r="I596" t="str">
        <f>HYPERLINK("https://zfin.org/ZDB-GENE-060825-263")</f>
        <v>https://zfin.org/ZDB-GENE-060825-263</v>
      </c>
      <c r="J596" t="s">
        <v>1781</v>
      </c>
    </row>
    <row r="597" spans="1:10" x14ac:dyDescent="0.2">
      <c r="A597">
        <v>1.04753226206482E-24</v>
      </c>
      <c r="B597">
        <v>-0.55279724714900302</v>
      </c>
      <c r="C597">
        <v>0.97899999999999998</v>
      </c>
      <c r="D597">
        <v>0.96399999999999997</v>
      </c>
      <c r="E597">
        <v>1.4558603378176901E-20</v>
      </c>
      <c r="F597">
        <v>1</v>
      </c>
      <c r="G597" t="s">
        <v>1782</v>
      </c>
      <c r="H597" t="s">
        <v>1783</v>
      </c>
      <c r="I597" t="str">
        <f>HYPERLINK("https://zfin.org/ZDB-GENE-040930-10")</f>
        <v>https://zfin.org/ZDB-GENE-040930-10</v>
      </c>
      <c r="J597" t="s">
        <v>1784</v>
      </c>
    </row>
    <row r="598" spans="1:10" x14ac:dyDescent="0.2">
      <c r="A598">
        <v>1.11287837865235E-24</v>
      </c>
      <c r="B598">
        <v>0.38001234552152102</v>
      </c>
      <c r="C598">
        <v>0.67900000000000005</v>
      </c>
      <c r="D598">
        <v>0.22600000000000001</v>
      </c>
      <c r="E598">
        <v>1.5466783706510301E-20</v>
      </c>
      <c r="F598">
        <v>1</v>
      </c>
      <c r="G598" t="s">
        <v>1785</v>
      </c>
      <c r="H598" t="s">
        <v>1786</v>
      </c>
      <c r="I598" t="str">
        <f>HYPERLINK("https://zfin.org/ZDB-GENE-050327-47")</f>
        <v>https://zfin.org/ZDB-GENE-050327-47</v>
      </c>
      <c r="J598" t="s">
        <v>1787</v>
      </c>
    </row>
    <row r="599" spans="1:10" x14ac:dyDescent="0.2">
      <c r="A599">
        <v>1.20847081046201E-24</v>
      </c>
      <c r="B599">
        <v>0.471157407737612</v>
      </c>
      <c r="C599">
        <v>0.75700000000000001</v>
      </c>
      <c r="D599">
        <v>0.27800000000000002</v>
      </c>
      <c r="E599">
        <v>1.6795327323801101E-20</v>
      </c>
      <c r="F599">
        <v>1</v>
      </c>
      <c r="G599" t="s">
        <v>1788</v>
      </c>
      <c r="H599" t="s">
        <v>1789</v>
      </c>
      <c r="I599" t="str">
        <f>HYPERLINK("https://zfin.org/ZDB-GENE-040912-101")</f>
        <v>https://zfin.org/ZDB-GENE-040912-101</v>
      </c>
      <c r="J599" t="s">
        <v>1790</v>
      </c>
    </row>
    <row r="600" spans="1:10" x14ac:dyDescent="0.2">
      <c r="A600">
        <v>1.7228394714063599E-24</v>
      </c>
      <c r="B600">
        <v>0.257024149598228</v>
      </c>
      <c r="C600">
        <v>0.33600000000000002</v>
      </c>
      <c r="D600">
        <v>7.2999999999999995E-2</v>
      </c>
      <c r="E600">
        <v>2.3944022973605599E-20</v>
      </c>
      <c r="F600">
        <v>1</v>
      </c>
      <c r="G600" t="s">
        <v>1791</v>
      </c>
      <c r="H600" t="s">
        <v>1792</v>
      </c>
      <c r="I600" t="str">
        <f>HYPERLINK("https://zfin.org/ZDB-GENE-060929-180")</f>
        <v>https://zfin.org/ZDB-GENE-060929-180</v>
      </c>
      <c r="J600" t="s">
        <v>1793</v>
      </c>
    </row>
    <row r="601" spans="1:10" x14ac:dyDescent="0.2">
      <c r="A601">
        <v>1.7440914478349301E-24</v>
      </c>
      <c r="B601">
        <v>0.55444928984701902</v>
      </c>
      <c r="C601">
        <v>0.871</v>
      </c>
      <c r="D601">
        <v>0.39900000000000002</v>
      </c>
      <c r="E601">
        <v>2.4239382942009899E-20</v>
      </c>
      <c r="F601">
        <v>1</v>
      </c>
      <c r="G601" t="s">
        <v>1794</v>
      </c>
      <c r="H601" t="s">
        <v>1795</v>
      </c>
      <c r="I601" t="str">
        <f>HYPERLINK("https://zfin.org/ZDB-GENE-041111-261")</f>
        <v>https://zfin.org/ZDB-GENE-041111-261</v>
      </c>
      <c r="J601" t="s">
        <v>1796</v>
      </c>
    </row>
    <row r="602" spans="1:10" x14ac:dyDescent="0.2">
      <c r="A602">
        <v>1.79286254554188E-24</v>
      </c>
      <c r="B602">
        <v>0.56513927910786999</v>
      </c>
      <c r="C602">
        <v>0.96399999999999997</v>
      </c>
      <c r="D602">
        <v>0.54</v>
      </c>
      <c r="E602">
        <v>2.4917203657940999E-20</v>
      </c>
      <c r="F602">
        <v>1</v>
      </c>
      <c r="G602" t="s">
        <v>1797</v>
      </c>
      <c r="H602" t="s">
        <v>1798</v>
      </c>
      <c r="I602" t="str">
        <f>HYPERLINK("https://zfin.org/ZDB-GENE-040801-18")</f>
        <v>https://zfin.org/ZDB-GENE-040801-18</v>
      </c>
      <c r="J602" t="s">
        <v>1799</v>
      </c>
    </row>
    <row r="603" spans="1:10" x14ac:dyDescent="0.2">
      <c r="A603">
        <v>1.9246884945859998E-24</v>
      </c>
      <c r="B603">
        <v>-0.54830876071074997</v>
      </c>
      <c r="C603">
        <v>0.99299999999999999</v>
      </c>
      <c r="D603">
        <v>0.96199999999999997</v>
      </c>
      <c r="E603">
        <v>2.6749320697756301E-20</v>
      </c>
      <c r="F603">
        <v>1</v>
      </c>
      <c r="G603" t="s">
        <v>1800</v>
      </c>
      <c r="H603" t="s">
        <v>1801</v>
      </c>
      <c r="I603" t="str">
        <f>HYPERLINK("https://zfin.org/ZDB-GENE-020423-1")</f>
        <v>https://zfin.org/ZDB-GENE-020423-1</v>
      </c>
      <c r="J603" t="s">
        <v>1802</v>
      </c>
    </row>
    <row r="604" spans="1:10" x14ac:dyDescent="0.2">
      <c r="A604">
        <v>2.1076945661061599E-24</v>
      </c>
      <c r="B604">
        <v>0.51568061165994195</v>
      </c>
      <c r="C604">
        <v>0.86399999999999999</v>
      </c>
      <c r="D604">
        <v>0.36499999999999999</v>
      </c>
      <c r="E604">
        <v>2.92927390797434E-20</v>
      </c>
      <c r="F604">
        <v>1</v>
      </c>
      <c r="G604" t="s">
        <v>1803</v>
      </c>
      <c r="H604" t="s">
        <v>1804</v>
      </c>
      <c r="I604" t="str">
        <f>HYPERLINK("https://zfin.org/ZDB-GENE-050309-25")</f>
        <v>https://zfin.org/ZDB-GENE-050309-25</v>
      </c>
      <c r="J604" t="s">
        <v>1805</v>
      </c>
    </row>
    <row r="605" spans="1:10" x14ac:dyDescent="0.2">
      <c r="A605">
        <v>2.3177163571178002E-24</v>
      </c>
      <c r="B605">
        <v>0.28995999127663702</v>
      </c>
      <c r="C605">
        <v>0.29299999999999998</v>
      </c>
      <c r="D605">
        <v>5.8999999999999997E-2</v>
      </c>
      <c r="E605">
        <v>3.22116219312232E-20</v>
      </c>
      <c r="F605">
        <v>1</v>
      </c>
      <c r="G605" t="s">
        <v>1806</v>
      </c>
      <c r="H605" t="s">
        <v>1807</v>
      </c>
      <c r="I605" t="str">
        <f>HYPERLINK("https://zfin.org/ZDB-GENE-130109-1")</f>
        <v>https://zfin.org/ZDB-GENE-130109-1</v>
      </c>
      <c r="J605" t="s">
        <v>1808</v>
      </c>
    </row>
    <row r="606" spans="1:10" x14ac:dyDescent="0.2">
      <c r="A606">
        <v>2.6937773728829602E-24</v>
      </c>
      <c r="B606">
        <v>0.41435245441597801</v>
      </c>
      <c r="C606">
        <v>0.7</v>
      </c>
      <c r="D606">
        <v>0.23799999999999999</v>
      </c>
      <c r="E606">
        <v>3.7438117928327403E-20</v>
      </c>
      <c r="F606">
        <v>1</v>
      </c>
      <c r="G606" t="s">
        <v>1809</v>
      </c>
      <c r="H606" t="s">
        <v>1810</v>
      </c>
      <c r="I606" t="str">
        <f>HYPERLINK("https://zfin.org/ZDB-GENE-050302-97")</f>
        <v>https://zfin.org/ZDB-GENE-050302-97</v>
      </c>
      <c r="J606" t="s">
        <v>1811</v>
      </c>
    </row>
    <row r="607" spans="1:10" x14ac:dyDescent="0.2">
      <c r="A607">
        <v>2.84998837018538E-24</v>
      </c>
      <c r="B607">
        <v>0.32790399971994599</v>
      </c>
      <c r="C607">
        <v>0.67900000000000005</v>
      </c>
      <c r="D607">
        <v>0.217</v>
      </c>
      <c r="E607">
        <v>3.9609138368836397E-20</v>
      </c>
      <c r="F607">
        <v>1</v>
      </c>
      <c r="G607" t="s">
        <v>1812</v>
      </c>
      <c r="H607" t="s">
        <v>1813</v>
      </c>
      <c r="I607" t="str">
        <f>HYPERLINK("https://zfin.org/ZDB-GENE-050320-20")</f>
        <v>https://zfin.org/ZDB-GENE-050320-20</v>
      </c>
      <c r="J607" t="s">
        <v>1814</v>
      </c>
    </row>
    <row r="608" spans="1:10" x14ac:dyDescent="0.2">
      <c r="A608">
        <v>3.8060628631606797E-24</v>
      </c>
      <c r="B608">
        <v>0.265589132468881</v>
      </c>
      <c r="C608">
        <v>0.29299999999999998</v>
      </c>
      <c r="D608">
        <v>5.8999999999999997E-2</v>
      </c>
      <c r="E608">
        <v>5.2896661672207103E-20</v>
      </c>
      <c r="F608">
        <v>1</v>
      </c>
      <c r="G608" t="s">
        <v>1815</v>
      </c>
      <c r="H608" t="s">
        <v>1816</v>
      </c>
      <c r="I608" t="str">
        <f>HYPERLINK("https://zfin.org/ZDB-GENE-050220-4")</f>
        <v>https://zfin.org/ZDB-GENE-050220-4</v>
      </c>
      <c r="J608" t="s">
        <v>1817</v>
      </c>
    </row>
    <row r="609" spans="1:10" x14ac:dyDescent="0.2">
      <c r="A609">
        <v>5.2789234005788597E-24</v>
      </c>
      <c r="B609">
        <v>-0.52687605408432803</v>
      </c>
      <c r="C609">
        <v>0.98599999999999999</v>
      </c>
      <c r="D609">
        <v>0.97099999999999997</v>
      </c>
      <c r="E609">
        <v>7.3366477421244995E-20</v>
      </c>
      <c r="F609">
        <v>1</v>
      </c>
      <c r="G609" t="s">
        <v>1818</v>
      </c>
      <c r="H609" t="s">
        <v>1819</v>
      </c>
      <c r="I609" t="str">
        <f>HYPERLINK("https://zfin.org/ZDB-GENE-040625-52")</f>
        <v>https://zfin.org/ZDB-GENE-040625-52</v>
      </c>
      <c r="J609" t="s">
        <v>1820</v>
      </c>
    </row>
    <row r="610" spans="1:10" x14ac:dyDescent="0.2">
      <c r="A610">
        <v>6.2360815407593701E-24</v>
      </c>
      <c r="B610">
        <v>-0.57852941464759799</v>
      </c>
      <c r="C610">
        <v>0.96399999999999997</v>
      </c>
      <c r="D610">
        <v>0.95299999999999996</v>
      </c>
      <c r="E610">
        <v>8.6669061253473704E-20</v>
      </c>
      <c r="F610">
        <v>1</v>
      </c>
      <c r="G610" t="s">
        <v>1821</v>
      </c>
      <c r="H610" t="s">
        <v>1822</v>
      </c>
      <c r="I610" t="str">
        <f>HYPERLINK("https://zfin.org/ZDB-GENE-031007-1")</f>
        <v>https://zfin.org/ZDB-GENE-031007-1</v>
      </c>
      <c r="J610" t="s">
        <v>1823</v>
      </c>
    </row>
    <row r="611" spans="1:10" x14ac:dyDescent="0.2">
      <c r="A611">
        <v>8.7569057113638698E-24</v>
      </c>
      <c r="B611">
        <v>0.32349104709936699</v>
      </c>
      <c r="C611">
        <v>0.46400000000000002</v>
      </c>
      <c r="D611">
        <v>0.128</v>
      </c>
      <c r="E611">
        <v>1.2170347557653499E-19</v>
      </c>
      <c r="F611">
        <v>1</v>
      </c>
      <c r="G611" t="s">
        <v>1824</v>
      </c>
      <c r="H611" t="s">
        <v>1825</v>
      </c>
      <c r="I611" t="str">
        <f>HYPERLINK("https://zfin.org/ZDB-GENE-040718-294")</f>
        <v>https://zfin.org/ZDB-GENE-040718-294</v>
      </c>
      <c r="J611" t="s">
        <v>1826</v>
      </c>
    </row>
    <row r="612" spans="1:10" x14ac:dyDescent="0.2">
      <c r="A612">
        <v>9.13595750680934E-24</v>
      </c>
      <c r="B612">
        <v>-1.0197445691031599</v>
      </c>
      <c r="C612">
        <v>0.73599999999999999</v>
      </c>
      <c r="D612">
        <v>0.77100000000000002</v>
      </c>
      <c r="E612">
        <v>1.2697153742963599E-19</v>
      </c>
      <c r="F612">
        <v>1</v>
      </c>
      <c r="G612" t="s">
        <v>1827</v>
      </c>
      <c r="H612" t="s">
        <v>1828</v>
      </c>
      <c r="I612" t="str">
        <f>HYPERLINK("https://zfin.org/ZDB-GENE-050307-5")</f>
        <v>https://zfin.org/ZDB-GENE-050307-5</v>
      </c>
      <c r="J612" t="s">
        <v>1829</v>
      </c>
    </row>
    <row r="613" spans="1:10" x14ac:dyDescent="0.2">
      <c r="A613">
        <v>1.0113509805436E-23</v>
      </c>
      <c r="B613">
        <v>0.28894670660275601</v>
      </c>
      <c r="C613">
        <v>0.29299999999999998</v>
      </c>
      <c r="D613">
        <v>0.06</v>
      </c>
      <c r="E613">
        <v>1.4055755927595E-19</v>
      </c>
      <c r="F613">
        <v>1</v>
      </c>
      <c r="G613" t="s">
        <v>1830</v>
      </c>
      <c r="H613" t="s">
        <v>1831</v>
      </c>
      <c r="I613" t="str">
        <f>HYPERLINK("https://zfin.org/ZDB-GENE-040718-446")</f>
        <v>https://zfin.org/ZDB-GENE-040718-446</v>
      </c>
      <c r="J613" t="s">
        <v>1832</v>
      </c>
    </row>
    <row r="614" spans="1:10" x14ac:dyDescent="0.2">
      <c r="A614">
        <v>1.10528652930047E-23</v>
      </c>
      <c r="B614">
        <v>-0.60249887694086901</v>
      </c>
      <c r="C614">
        <v>0.92900000000000005</v>
      </c>
      <c r="D614">
        <v>0.93100000000000005</v>
      </c>
      <c r="E614">
        <v>1.5361272184218E-19</v>
      </c>
      <c r="F614">
        <v>1</v>
      </c>
      <c r="G614" t="s">
        <v>1833</v>
      </c>
      <c r="H614" t="s">
        <v>1834</v>
      </c>
      <c r="I614" t="str">
        <f>HYPERLINK("https://zfin.org/ZDB-GENE-040426-1481")</f>
        <v>https://zfin.org/ZDB-GENE-040426-1481</v>
      </c>
      <c r="J614" t="s">
        <v>1835</v>
      </c>
    </row>
    <row r="615" spans="1:10" x14ac:dyDescent="0.2">
      <c r="A615">
        <v>1.4505025608740501E-23</v>
      </c>
      <c r="B615">
        <v>-0.44231717698759898</v>
      </c>
      <c r="C615">
        <v>1</v>
      </c>
      <c r="D615">
        <v>0.995</v>
      </c>
      <c r="E615">
        <v>2.0159084591027601E-19</v>
      </c>
      <c r="F615">
        <v>1</v>
      </c>
      <c r="G615" t="s">
        <v>1836</v>
      </c>
      <c r="H615" t="s">
        <v>1837</v>
      </c>
      <c r="I615" t="str">
        <f>HYPERLINK("https://zfin.org/ZDB-GENE-060331-105")</f>
        <v>https://zfin.org/ZDB-GENE-060331-105</v>
      </c>
      <c r="J615" t="s">
        <v>1838</v>
      </c>
    </row>
    <row r="616" spans="1:10" x14ac:dyDescent="0.2">
      <c r="A616">
        <v>2.9906749790553401E-23</v>
      </c>
      <c r="B616">
        <v>0.41751520278889198</v>
      </c>
      <c r="C616">
        <v>0.71399999999999997</v>
      </c>
      <c r="D616">
        <v>0.251</v>
      </c>
      <c r="E616">
        <v>4.1564400858911202E-19</v>
      </c>
      <c r="F616">
        <v>1</v>
      </c>
      <c r="G616" t="s">
        <v>1839</v>
      </c>
      <c r="H616" t="s">
        <v>1840</v>
      </c>
      <c r="I616" t="str">
        <f>HYPERLINK("https://zfin.org/ZDB-GENE-030131-4317")</f>
        <v>https://zfin.org/ZDB-GENE-030131-4317</v>
      </c>
      <c r="J616" t="s">
        <v>1841</v>
      </c>
    </row>
    <row r="617" spans="1:10" x14ac:dyDescent="0.2">
      <c r="A617">
        <v>3.0933641924050097E-23</v>
      </c>
      <c r="B617">
        <v>-0.43768261595719499</v>
      </c>
      <c r="C617">
        <v>0.99299999999999999</v>
      </c>
      <c r="D617">
        <v>0.98899999999999999</v>
      </c>
      <c r="E617">
        <v>4.2991575546044799E-19</v>
      </c>
      <c r="F617">
        <v>1</v>
      </c>
      <c r="G617" t="s">
        <v>1842</v>
      </c>
      <c r="H617" t="s">
        <v>1843</v>
      </c>
      <c r="I617" t="str">
        <f>HYPERLINK("https://zfin.org/ZDB-GENE-050522-549")</f>
        <v>https://zfin.org/ZDB-GENE-050522-549</v>
      </c>
      <c r="J617" t="s">
        <v>1844</v>
      </c>
    </row>
    <row r="618" spans="1:10" x14ac:dyDescent="0.2">
      <c r="A618">
        <v>4.7436782806291003E-23</v>
      </c>
      <c r="B618">
        <v>0.28369078391251301</v>
      </c>
      <c r="C618">
        <v>0.45700000000000002</v>
      </c>
      <c r="D618">
        <v>0.125</v>
      </c>
      <c r="E618">
        <v>6.5927640744183203E-19</v>
      </c>
      <c r="F618">
        <v>1</v>
      </c>
      <c r="G618" t="s">
        <v>1845</v>
      </c>
      <c r="H618" t="s">
        <v>1846</v>
      </c>
      <c r="I618" t="str">
        <f>HYPERLINK("https://zfin.org/ZDB-GENE-040426-1602")</f>
        <v>https://zfin.org/ZDB-GENE-040426-1602</v>
      </c>
      <c r="J618" t="s">
        <v>1847</v>
      </c>
    </row>
    <row r="619" spans="1:10" x14ac:dyDescent="0.2">
      <c r="A619">
        <v>5.3657276667494895E-23</v>
      </c>
      <c r="B619">
        <v>0.42691475964735598</v>
      </c>
      <c r="C619">
        <v>0.72899999999999998</v>
      </c>
      <c r="D619">
        <v>0.26600000000000001</v>
      </c>
      <c r="E619">
        <v>7.45728831124844E-19</v>
      </c>
      <c r="F619">
        <v>1</v>
      </c>
      <c r="G619" t="s">
        <v>1848</v>
      </c>
      <c r="H619" t="s">
        <v>1849</v>
      </c>
      <c r="I619" t="str">
        <f>HYPERLINK("https://zfin.org/ZDB-GENE-040426-1792")</f>
        <v>https://zfin.org/ZDB-GENE-040426-1792</v>
      </c>
      <c r="J619" t="s">
        <v>1850</v>
      </c>
    </row>
    <row r="620" spans="1:10" x14ac:dyDescent="0.2">
      <c r="A620">
        <v>5.6621492060478803E-23</v>
      </c>
      <c r="B620">
        <v>-1.1537469084069301</v>
      </c>
      <c r="C620">
        <v>0.5</v>
      </c>
      <c r="D620">
        <v>0.69399999999999995</v>
      </c>
      <c r="E620">
        <v>7.8692549665653496E-19</v>
      </c>
      <c r="F620">
        <v>1</v>
      </c>
      <c r="G620" t="s">
        <v>1851</v>
      </c>
      <c r="H620" t="s">
        <v>1852</v>
      </c>
      <c r="I620" t="str">
        <f>HYPERLINK("https://zfin.org/ZDB-GENE-071205-8")</f>
        <v>https://zfin.org/ZDB-GENE-071205-8</v>
      </c>
      <c r="J620" t="s">
        <v>1853</v>
      </c>
    </row>
    <row r="621" spans="1:10" x14ac:dyDescent="0.2">
      <c r="A621">
        <v>6.29271379508662E-23</v>
      </c>
      <c r="B621">
        <v>-1.0789352963093399</v>
      </c>
      <c r="C621">
        <v>0.42899999999999999</v>
      </c>
      <c r="D621">
        <v>0.66600000000000004</v>
      </c>
      <c r="E621">
        <v>8.7456136324113894E-19</v>
      </c>
      <c r="F621">
        <v>1</v>
      </c>
      <c r="G621" t="s">
        <v>1854</v>
      </c>
      <c r="H621" t="s">
        <v>1855</v>
      </c>
      <c r="I621" t="str">
        <f>HYPERLINK("https://zfin.org/ZDB-GENE-030131-8398")</f>
        <v>https://zfin.org/ZDB-GENE-030131-8398</v>
      </c>
      <c r="J621" t="s">
        <v>1856</v>
      </c>
    </row>
    <row r="622" spans="1:10" x14ac:dyDescent="0.2">
      <c r="A622">
        <v>6.3601059841026301E-23</v>
      </c>
      <c r="B622">
        <v>-1.32774694604882</v>
      </c>
      <c r="C622">
        <v>0.871</v>
      </c>
      <c r="D622">
        <v>0.83799999999999997</v>
      </c>
      <c r="E622">
        <v>8.8392752967058401E-19</v>
      </c>
      <c r="F622">
        <v>1</v>
      </c>
      <c r="G622" t="s">
        <v>1857</v>
      </c>
      <c r="H622" t="s">
        <v>1858</v>
      </c>
      <c r="I622" t="str">
        <f>HYPERLINK("https://zfin.org/ZDB-GENE-030131-8599")</f>
        <v>https://zfin.org/ZDB-GENE-030131-8599</v>
      </c>
      <c r="J622" t="s">
        <v>1859</v>
      </c>
    </row>
    <row r="623" spans="1:10" x14ac:dyDescent="0.2">
      <c r="A623">
        <v>7.8205608606611096E-23</v>
      </c>
      <c r="B623">
        <v>-0.47502109638039097</v>
      </c>
      <c r="C623">
        <v>0.99299999999999999</v>
      </c>
      <c r="D623">
        <v>0.98399999999999999</v>
      </c>
      <c r="E623">
        <v>1.08690154841468E-18</v>
      </c>
      <c r="F623">
        <v>1</v>
      </c>
      <c r="G623" t="s">
        <v>1860</v>
      </c>
      <c r="H623" t="s">
        <v>1861</v>
      </c>
      <c r="I623" t="str">
        <f>HYPERLINK("https://zfin.org/ZDB-GENE-040801-165")</f>
        <v>https://zfin.org/ZDB-GENE-040801-165</v>
      </c>
      <c r="J623" t="s">
        <v>1862</v>
      </c>
    </row>
    <row r="624" spans="1:10" x14ac:dyDescent="0.2">
      <c r="A624">
        <v>8.6684201561833E-23</v>
      </c>
      <c r="B624">
        <v>-0.57506557723779805</v>
      </c>
      <c r="C624">
        <v>0.97099999999999997</v>
      </c>
      <c r="D624">
        <v>0.94</v>
      </c>
      <c r="E624">
        <v>1.20473703330636E-18</v>
      </c>
      <c r="F624">
        <v>1</v>
      </c>
      <c r="G624" t="s">
        <v>1863</v>
      </c>
      <c r="H624" t="s">
        <v>1864</v>
      </c>
      <c r="I624" t="str">
        <f>HYPERLINK("https://zfin.org/ZDB-GENE-030131-9184")</f>
        <v>https://zfin.org/ZDB-GENE-030131-9184</v>
      </c>
      <c r="J624" t="s">
        <v>1865</v>
      </c>
    </row>
    <row r="625" spans="1:10" x14ac:dyDescent="0.2">
      <c r="A625">
        <v>9.5175211756244503E-23</v>
      </c>
      <c r="B625">
        <v>0.277556988355876</v>
      </c>
      <c r="C625">
        <v>0.45700000000000002</v>
      </c>
      <c r="D625">
        <v>0.126</v>
      </c>
      <c r="E625">
        <v>1.3227450929882901E-18</v>
      </c>
      <c r="F625">
        <v>1</v>
      </c>
      <c r="G625" t="s">
        <v>1866</v>
      </c>
      <c r="H625" t="s">
        <v>1867</v>
      </c>
      <c r="I625" t="str">
        <f>HYPERLINK("https://zfin.org/ZDB-GENE-040426-919")</f>
        <v>https://zfin.org/ZDB-GENE-040426-919</v>
      </c>
      <c r="J625" t="s">
        <v>1868</v>
      </c>
    </row>
    <row r="626" spans="1:10" x14ac:dyDescent="0.2">
      <c r="A626">
        <v>1.75569454182442E-22</v>
      </c>
      <c r="B626">
        <v>0.51076133836897397</v>
      </c>
      <c r="C626">
        <v>0.95699999999999996</v>
      </c>
      <c r="D626">
        <v>0.59899999999999998</v>
      </c>
      <c r="E626">
        <v>2.44006427422757E-18</v>
      </c>
      <c r="F626">
        <v>1</v>
      </c>
      <c r="G626" t="s">
        <v>1869</v>
      </c>
      <c r="H626" t="s">
        <v>1870</v>
      </c>
      <c r="I626" t="str">
        <f>HYPERLINK("https://zfin.org/ZDB-GENE-030131-9136")</f>
        <v>https://zfin.org/ZDB-GENE-030131-9136</v>
      </c>
      <c r="J626" t="s">
        <v>1871</v>
      </c>
    </row>
    <row r="627" spans="1:10" x14ac:dyDescent="0.2">
      <c r="A627">
        <v>1.80324049033272E-22</v>
      </c>
      <c r="B627">
        <v>0.35532585654222498</v>
      </c>
      <c r="C627">
        <v>0.53600000000000003</v>
      </c>
      <c r="D627">
        <v>0.16700000000000001</v>
      </c>
      <c r="E627">
        <v>2.5061436334644099E-18</v>
      </c>
      <c r="F627">
        <v>1</v>
      </c>
      <c r="G627" t="s">
        <v>1872</v>
      </c>
      <c r="H627" t="s">
        <v>1873</v>
      </c>
      <c r="I627" t="str">
        <f>HYPERLINK("https://zfin.org/ZDB-GENE-081105-65")</f>
        <v>https://zfin.org/ZDB-GENE-081105-65</v>
      </c>
      <c r="J627" t="s">
        <v>1874</v>
      </c>
    </row>
    <row r="628" spans="1:10" x14ac:dyDescent="0.2">
      <c r="A628">
        <v>2.4474474251077302E-22</v>
      </c>
      <c r="B628">
        <v>-0.48785747839096699</v>
      </c>
      <c r="C628">
        <v>1</v>
      </c>
      <c r="D628">
        <v>0.98699999999999999</v>
      </c>
      <c r="E628">
        <v>3.4014624314147302E-18</v>
      </c>
      <c r="F628">
        <v>1</v>
      </c>
      <c r="G628" t="s">
        <v>1875</v>
      </c>
      <c r="H628" t="s">
        <v>1876</v>
      </c>
      <c r="I628" t="str">
        <f>HYPERLINK("https://zfin.org/ZDB-GENE-030131-8626")</f>
        <v>https://zfin.org/ZDB-GENE-030131-8626</v>
      </c>
      <c r="J628" t="s">
        <v>1877</v>
      </c>
    </row>
    <row r="629" spans="1:10" x14ac:dyDescent="0.2">
      <c r="A629">
        <v>2.8080567474761298E-22</v>
      </c>
      <c r="B629">
        <v>0.51634853770826605</v>
      </c>
      <c r="C629">
        <v>0.871</v>
      </c>
      <c r="D629">
        <v>0.39600000000000002</v>
      </c>
      <c r="E629">
        <v>3.9026372676423197E-18</v>
      </c>
      <c r="F629">
        <v>1</v>
      </c>
      <c r="G629" t="s">
        <v>1878</v>
      </c>
      <c r="H629" t="s">
        <v>1879</v>
      </c>
      <c r="I629" t="str">
        <f>HYPERLINK("https://zfin.org/ZDB-GENE-040426-1631")</f>
        <v>https://zfin.org/ZDB-GENE-040426-1631</v>
      </c>
      <c r="J629" t="s">
        <v>1880</v>
      </c>
    </row>
    <row r="630" spans="1:10" x14ac:dyDescent="0.2">
      <c r="A630">
        <v>3.5290290270284198E-22</v>
      </c>
      <c r="B630">
        <v>-1.2151482651052901</v>
      </c>
      <c r="C630">
        <v>0.436</v>
      </c>
      <c r="D630">
        <v>0.66300000000000003</v>
      </c>
      <c r="E630">
        <v>4.9046445417640997E-18</v>
      </c>
      <c r="F630">
        <v>1</v>
      </c>
      <c r="G630" t="s">
        <v>1881</v>
      </c>
      <c r="H630" t="s">
        <v>1882</v>
      </c>
      <c r="I630" t="str">
        <f>HYPERLINK("https://zfin.org/ZDB-GENE-000511-4")</f>
        <v>https://zfin.org/ZDB-GENE-000511-4</v>
      </c>
      <c r="J630" t="s">
        <v>1664</v>
      </c>
    </row>
    <row r="631" spans="1:10" x14ac:dyDescent="0.2">
      <c r="A631">
        <v>3.9620336624320599E-22</v>
      </c>
      <c r="B631">
        <v>-0.57030051784038005</v>
      </c>
      <c r="C631">
        <v>0.99299999999999999</v>
      </c>
      <c r="D631">
        <v>0.98</v>
      </c>
      <c r="E631">
        <v>5.5064343840480799E-18</v>
      </c>
      <c r="F631">
        <v>1</v>
      </c>
      <c r="G631" t="s">
        <v>1883</v>
      </c>
      <c r="H631" t="s">
        <v>1884</v>
      </c>
      <c r="I631" t="str">
        <f>HYPERLINK("https://zfin.org/ZDB-GENE-070327-2")</f>
        <v>https://zfin.org/ZDB-GENE-070327-2</v>
      </c>
      <c r="J631" t="s">
        <v>1885</v>
      </c>
    </row>
    <row r="632" spans="1:10" x14ac:dyDescent="0.2">
      <c r="A632">
        <v>4.08759799624324E-22</v>
      </c>
      <c r="B632">
        <v>0.391877775853817</v>
      </c>
      <c r="C632">
        <v>0.52900000000000003</v>
      </c>
      <c r="D632">
        <v>0.16500000000000001</v>
      </c>
      <c r="E632">
        <v>5.6809436951788604E-18</v>
      </c>
      <c r="F632">
        <v>1</v>
      </c>
      <c r="G632" t="s">
        <v>1886</v>
      </c>
      <c r="H632" t="s">
        <v>1887</v>
      </c>
      <c r="I632" t="str">
        <f>HYPERLINK("https://zfin.org/ZDB-GENE-030804-10")</f>
        <v>https://zfin.org/ZDB-GENE-030804-10</v>
      </c>
      <c r="J632" t="s">
        <v>1888</v>
      </c>
    </row>
    <row r="633" spans="1:10" x14ac:dyDescent="0.2">
      <c r="A633">
        <v>5.9681610614392299E-22</v>
      </c>
      <c r="B633">
        <v>-0.55183378522438598</v>
      </c>
      <c r="C633">
        <v>0.93600000000000005</v>
      </c>
      <c r="D633">
        <v>0.92800000000000005</v>
      </c>
      <c r="E633">
        <v>8.2945502431882406E-18</v>
      </c>
      <c r="F633">
        <v>1</v>
      </c>
      <c r="G633" t="s">
        <v>1889</v>
      </c>
      <c r="H633" t="s">
        <v>1890</v>
      </c>
      <c r="I633" t="str">
        <f>HYPERLINK("https://zfin.org/ZDB-GENE-990415-89")</f>
        <v>https://zfin.org/ZDB-GENE-990415-89</v>
      </c>
      <c r="J633" t="s">
        <v>1891</v>
      </c>
    </row>
    <row r="634" spans="1:10" x14ac:dyDescent="0.2">
      <c r="A634">
        <v>8.1152760133163403E-22</v>
      </c>
      <c r="B634">
        <v>-1.9313378586873999</v>
      </c>
      <c r="C634">
        <v>0.72099999999999997</v>
      </c>
      <c r="D634">
        <v>0.77500000000000002</v>
      </c>
      <c r="E634">
        <v>1.1278610603307101E-17</v>
      </c>
      <c r="F634">
        <v>1</v>
      </c>
      <c r="G634" t="s">
        <v>1892</v>
      </c>
      <c r="H634" t="s">
        <v>1893</v>
      </c>
      <c r="I634" t="str">
        <f>HYPERLINK("https://zfin.org/ZDB-GENE-121214-200")</f>
        <v>https://zfin.org/ZDB-GENE-121214-200</v>
      </c>
      <c r="J634" t="s">
        <v>1894</v>
      </c>
    </row>
    <row r="635" spans="1:10" x14ac:dyDescent="0.2">
      <c r="A635">
        <v>8.2100952207463803E-22</v>
      </c>
      <c r="B635">
        <v>-1.26185304469952</v>
      </c>
      <c r="C635">
        <v>0.35</v>
      </c>
      <c r="D635">
        <v>0.61899999999999999</v>
      </c>
      <c r="E635">
        <v>1.14103903377933E-17</v>
      </c>
      <c r="F635">
        <v>1</v>
      </c>
      <c r="G635" t="s">
        <v>1895</v>
      </c>
      <c r="H635" t="s">
        <v>1896</v>
      </c>
      <c r="I635" t="str">
        <f>HYPERLINK("https://zfin.org/ZDB-GENE-030131-2391")</f>
        <v>https://zfin.org/ZDB-GENE-030131-2391</v>
      </c>
      <c r="J635" t="s">
        <v>1897</v>
      </c>
    </row>
    <row r="636" spans="1:10" x14ac:dyDescent="0.2">
      <c r="A636">
        <v>1.13406574061353E-21</v>
      </c>
      <c r="B636">
        <v>-0.47998187028281603</v>
      </c>
      <c r="C636">
        <v>1</v>
      </c>
      <c r="D636">
        <v>0.98699999999999999</v>
      </c>
      <c r="E636">
        <v>1.5761245663046798E-17</v>
      </c>
      <c r="F636">
        <v>1</v>
      </c>
      <c r="G636" t="s">
        <v>1898</v>
      </c>
      <c r="H636" t="s">
        <v>1899</v>
      </c>
      <c r="I636" t="str">
        <f>HYPERLINK("https://zfin.org/ZDB-GENE-031001-9")</f>
        <v>https://zfin.org/ZDB-GENE-031001-9</v>
      </c>
      <c r="J636" t="s">
        <v>1900</v>
      </c>
    </row>
    <row r="637" spans="1:10" x14ac:dyDescent="0.2">
      <c r="A637">
        <v>1.44953478081358E-21</v>
      </c>
      <c r="B637">
        <v>0.35735773825615202</v>
      </c>
      <c r="C637">
        <v>1</v>
      </c>
      <c r="D637">
        <v>0.97599999999999998</v>
      </c>
      <c r="E637">
        <v>2.0145634383747199E-17</v>
      </c>
      <c r="F637">
        <v>1</v>
      </c>
      <c r="G637" t="s">
        <v>1901</v>
      </c>
      <c r="H637" t="s">
        <v>1902</v>
      </c>
      <c r="I637" t="str">
        <f>HYPERLINK("https://zfin.org/ZDB-GENE-011205-17")</f>
        <v>https://zfin.org/ZDB-GENE-011205-17</v>
      </c>
      <c r="J637" t="s">
        <v>1903</v>
      </c>
    </row>
    <row r="638" spans="1:10" x14ac:dyDescent="0.2">
      <c r="A638">
        <v>1.51173665828358E-21</v>
      </c>
      <c r="B638">
        <v>-0.60131432679601704</v>
      </c>
      <c r="C638">
        <v>0.96399999999999997</v>
      </c>
      <c r="D638">
        <v>0.92200000000000004</v>
      </c>
      <c r="E638">
        <v>2.1010116076825201E-17</v>
      </c>
      <c r="F638">
        <v>1</v>
      </c>
      <c r="G638" t="s">
        <v>1904</v>
      </c>
      <c r="H638" t="s">
        <v>1905</v>
      </c>
      <c r="I638" t="str">
        <f>HYPERLINK("https://zfin.org/ZDB-GENE-030131-8752")</f>
        <v>https://zfin.org/ZDB-GENE-030131-8752</v>
      </c>
      <c r="J638" t="s">
        <v>1906</v>
      </c>
    </row>
    <row r="639" spans="1:10" x14ac:dyDescent="0.2">
      <c r="A639">
        <v>2.3807900561253001E-21</v>
      </c>
      <c r="B639">
        <v>0.42522145006692602</v>
      </c>
      <c r="C639">
        <v>0.82899999999999996</v>
      </c>
      <c r="D639">
        <v>0.34300000000000003</v>
      </c>
      <c r="E639">
        <v>3.30882202000294E-17</v>
      </c>
      <c r="F639">
        <v>1</v>
      </c>
      <c r="G639" t="s">
        <v>1907</v>
      </c>
      <c r="H639" t="s">
        <v>1908</v>
      </c>
      <c r="I639" t="str">
        <f>HYPERLINK("https://zfin.org/ZDB-GENE-050522-421")</f>
        <v>https://zfin.org/ZDB-GENE-050522-421</v>
      </c>
      <c r="J639" t="s">
        <v>1909</v>
      </c>
    </row>
    <row r="640" spans="1:10" x14ac:dyDescent="0.2">
      <c r="A640">
        <v>2.4443118627115801E-21</v>
      </c>
      <c r="B640">
        <v>-0.48125920273105099</v>
      </c>
      <c r="C640">
        <v>1</v>
      </c>
      <c r="D640">
        <v>0.98599999999999999</v>
      </c>
      <c r="E640">
        <v>3.3971046267965503E-17</v>
      </c>
      <c r="F640">
        <v>1</v>
      </c>
      <c r="G640" t="s">
        <v>1910</v>
      </c>
      <c r="H640" t="s">
        <v>1911</v>
      </c>
      <c r="I640" t="str">
        <f>HYPERLINK("https://zfin.org/ZDB-GENE-030131-8951")</f>
        <v>https://zfin.org/ZDB-GENE-030131-8951</v>
      </c>
      <c r="J640" t="s">
        <v>1912</v>
      </c>
    </row>
    <row r="641" spans="1:10" x14ac:dyDescent="0.2">
      <c r="A641">
        <v>2.54001113507996E-21</v>
      </c>
      <c r="B641">
        <v>-0.48397307587133698</v>
      </c>
      <c r="C641">
        <v>1</v>
      </c>
      <c r="D641">
        <v>0.97799999999999998</v>
      </c>
      <c r="E641">
        <v>3.5301074755341199E-17</v>
      </c>
      <c r="F641">
        <v>1</v>
      </c>
      <c r="G641" t="s">
        <v>1913</v>
      </c>
      <c r="H641" t="s">
        <v>1914</v>
      </c>
      <c r="I641" t="str">
        <f>HYPERLINK("https://zfin.org/ZDB-GENE-030131-8646")</f>
        <v>https://zfin.org/ZDB-GENE-030131-8646</v>
      </c>
      <c r="J641" t="s">
        <v>1915</v>
      </c>
    </row>
    <row r="642" spans="1:10" x14ac:dyDescent="0.2">
      <c r="A642">
        <v>3.6777754888186399E-21</v>
      </c>
      <c r="B642">
        <v>0.40335724125611599</v>
      </c>
      <c r="C642">
        <v>0.84299999999999997</v>
      </c>
      <c r="D642">
        <v>0.34100000000000003</v>
      </c>
      <c r="E642">
        <v>5.1113723743601501E-17</v>
      </c>
      <c r="F642">
        <v>1</v>
      </c>
      <c r="G642" t="s">
        <v>1916</v>
      </c>
      <c r="H642" t="s">
        <v>1917</v>
      </c>
      <c r="I642" t="str">
        <f>HYPERLINK("https://zfin.org/ZDB-GENE-030131-6500")</f>
        <v>https://zfin.org/ZDB-GENE-030131-6500</v>
      </c>
      <c r="J642" t="s">
        <v>1918</v>
      </c>
    </row>
    <row r="643" spans="1:10" x14ac:dyDescent="0.2">
      <c r="A643">
        <v>3.7552817860843299E-21</v>
      </c>
      <c r="B643">
        <v>0.48471063047394503</v>
      </c>
      <c r="C643">
        <v>0.97099999999999997</v>
      </c>
      <c r="D643">
        <v>0.59699999999999998</v>
      </c>
      <c r="E643">
        <v>5.2190906263000003E-17</v>
      </c>
      <c r="F643">
        <v>1</v>
      </c>
      <c r="G643" t="s">
        <v>1919</v>
      </c>
      <c r="H643" t="s">
        <v>1920</v>
      </c>
      <c r="I643" t="str">
        <f>HYPERLINK("https://zfin.org/ZDB-GENE-081022-15")</f>
        <v>https://zfin.org/ZDB-GENE-081022-15</v>
      </c>
      <c r="J643" t="s">
        <v>1921</v>
      </c>
    </row>
    <row r="644" spans="1:10" x14ac:dyDescent="0.2">
      <c r="A644">
        <v>4.5085393726875598E-21</v>
      </c>
      <c r="B644">
        <v>0.258306896776614</v>
      </c>
      <c r="C644">
        <v>0.55000000000000004</v>
      </c>
      <c r="D644">
        <v>0.17199999999999999</v>
      </c>
      <c r="E644">
        <v>6.2659680201611696E-17</v>
      </c>
      <c r="F644">
        <v>1</v>
      </c>
      <c r="G644" t="s">
        <v>1922</v>
      </c>
      <c r="H644" t="s">
        <v>1923</v>
      </c>
      <c r="I644" t="str">
        <f>HYPERLINK("https://zfin.org/ZDB-GENE-050913-28")</f>
        <v>https://zfin.org/ZDB-GENE-050913-28</v>
      </c>
      <c r="J644" t="s">
        <v>1924</v>
      </c>
    </row>
    <row r="645" spans="1:10" x14ac:dyDescent="0.2">
      <c r="A645">
        <v>4.7462200485189198E-21</v>
      </c>
      <c r="B645">
        <v>-0.49344219487341101</v>
      </c>
      <c r="C645">
        <v>0.98599999999999999</v>
      </c>
      <c r="D645">
        <v>0.97799999999999998</v>
      </c>
      <c r="E645">
        <v>6.5962966234316002E-17</v>
      </c>
      <c r="F645">
        <v>1</v>
      </c>
      <c r="G645" t="s">
        <v>1925</v>
      </c>
      <c r="H645" t="s">
        <v>1926</v>
      </c>
      <c r="I645" t="str">
        <f>HYPERLINK("https://zfin.org/ZDB-GENE-030131-1291")</f>
        <v>https://zfin.org/ZDB-GENE-030131-1291</v>
      </c>
      <c r="J645" t="s">
        <v>1927</v>
      </c>
    </row>
    <row r="646" spans="1:10" x14ac:dyDescent="0.2">
      <c r="A646">
        <v>6.8429614428883699E-21</v>
      </c>
      <c r="B646">
        <v>0.51099694046878796</v>
      </c>
      <c r="C646">
        <v>0.93600000000000005</v>
      </c>
      <c r="D646">
        <v>0.499</v>
      </c>
      <c r="E646">
        <v>9.5103478133262502E-17</v>
      </c>
      <c r="F646">
        <v>1</v>
      </c>
      <c r="G646" t="s">
        <v>1928</v>
      </c>
      <c r="H646" t="s">
        <v>1929</v>
      </c>
      <c r="I646" t="str">
        <f>HYPERLINK("https://zfin.org/ZDB-GENE-040426-1858")</f>
        <v>https://zfin.org/ZDB-GENE-040426-1858</v>
      </c>
      <c r="J646" t="s">
        <v>1930</v>
      </c>
    </row>
    <row r="647" spans="1:10" x14ac:dyDescent="0.2">
      <c r="A647">
        <v>7.24538952550932E-21</v>
      </c>
      <c r="B647">
        <v>0.47866665516114099</v>
      </c>
      <c r="C647">
        <v>0.96399999999999997</v>
      </c>
      <c r="D647">
        <v>0.52100000000000002</v>
      </c>
      <c r="E647">
        <v>1.00696423625528E-16</v>
      </c>
      <c r="F647">
        <v>1</v>
      </c>
      <c r="G647" t="s">
        <v>1931</v>
      </c>
      <c r="H647" t="s">
        <v>1932</v>
      </c>
      <c r="I647" t="str">
        <f>HYPERLINK("https://zfin.org/ZDB-GENE-050522-151")</f>
        <v>https://zfin.org/ZDB-GENE-050522-151</v>
      </c>
      <c r="J647" t="s">
        <v>1933</v>
      </c>
    </row>
    <row r="648" spans="1:10" x14ac:dyDescent="0.2">
      <c r="A648">
        <v>9.0321335828379502E-21</v>
      </c>
      <c r="B648">
        <v>0.272427262006045</v>
      </c>
      <c r="C648">
        <v>0.3</v>
      </c>
      <c r="D648">
        <v>6.9000000000000006E-2</v>
      </c>
      <c r="E648">
        <v>1.2552859253428199E-16</v>
      </c>
      <c r="F648">
        <v>1</v>
      </c>
      <c r="G648" t="s">
        <v>1934</v>
      </c>
      <c r="H648" t="s">
        <v>1935</v>
      </c>
      <c r="I648" t="str">
        <f>HYPERLINK("https://zfin.org/ZDB-GENE-050522-135")</f>
        <v>https://zfin.org/ZDB-GENE-050522-135</v>
      </c>
      <c r="J648" t="s">
        <v>1936</v>
      </c>
    </row>
    <row r="649" spans="1:10" x14ac:dyDescent="0.2">
      <c r="A649">
        <v>9.3395853693991505E-21</v>
      </c>
      <c r="B649">
        <v>0.28837743193680299</v>
      </c>
      <c r="C649">
        <v>0.25700000000000001</v>
      </c>
      <c r="D649">
        <v>5.2999999999999999E-2</v>
      </c>
      <c r="E649">
        <v>1.29801557463909E-16</v>
      </c>
      <c r="F649">
        <v>1</v>
      </c>
      <c r="G649" t="s">
        <v>1937</v>
      </c>
      <c r="H649" t="s">
        <v>1938</v>
      </c>
      <c r="I649" t="str">
        <f>HYPERLINK("https://zfin.org/ZDB-GENE-030424-2")</f>
        <v>https://zfin.org/ZDB-GENE-030424-2</v>
      </c>
      <c r="J649" t="s">
        <v>1939</v>
      </c>
    </row>
    <row r="650" spans="1:10" x14ac:dyDescent="0.2">
      <c r="A650">
        <v>9.7460116947006E-21</v>
      </c>
      <c r="B650">
        <v>-0.52051124102393898</v>
      </c>
      <c r="C650">
        <v>0.96399999999999997</v>
      </c>
      <c r="D650">
        <v>0.94799999999999995</v>
      </c>
      <c r="E650">
        <v>1.35450070532949E-16</v>
      </c>
      <c r="F650">
        <v>1</v>
      </c>
      <c r="G650" t="s">
        <v>1940</v>
      </c>
      <c r="H650" t="s">
        <v>1941</v>
      </c>
      <c r="I650" t="str">
        <f>HYPERLINK("https://zfin.org/ZDB-GENE-030131-8631")</f>
        <v>https://zfin.org/ZDB-GENE-030131-8631</v>
      </c>
      <c r="J650" t="s">
        <v>1942</v>
      </c>
    </row>
    <row r="651" spans="1:10" x14ac:dyDescent="0.2">
      <c r="A651">
        <v>1.08366325128914E-20</v>
      </c>
      <c r="B651">
        <v>0.27199472914050199</v>
      </c>
      <c r="C651">
        <v>0.214</v>
      </c>
      <c r="D651">
        <v>3.9E-2</v>
      </c>
      <c r="E651">
        <v>1.5060751866416501E-16</v>
      </c>
      <c r="F651">
        <v>1</v>
      </c>
      <c r="G651" t="s">
        <v>1943</v>
      </c>
      <c r="H651" t="s">
        <v>1944</v>
      </c>
      <c r="I651" t="str">
        <f>HYPERLINK("https://zfin.org/ZDB-GENE-991026-5")</f>
        <v>https://zfin.org/ZDB-GENE-991026-5</v>
      </c>
      <c r="J651" t="s">
        <v>1945</v>
      </c>
    </row>
    <row r="652" spans="1:10" x14ac:dyDescent="0.2">
      <c r="A652">
        <v>1.18705109561933E-20</v>
      </c>
      <c r="B652">
        <v>-0.45082897810848799</v>
      </c>
      <c r="C652">
        <v>0.97099999999999997</v>
      </c>
      <c r="D652">
        <v>0.98299999999999998</v>
      </c>
      <c r="E652">
        <v>1.64976361269175E-16</v>
      </c>
      <c r="F652">
        <v>1</v>
      </c>
      <c r="G652" t="s">
        <v>1946</v>
      </c>
      <c r="H652" t="s">
        <v>1947</v>
      </c>
      <c r="I652" t="str">
        <f>HYPERLINK("https://zfin.org/ZDB-GENE-050506-107")</f>
        <v>https://zfin.org/ZDB-GENE-050506-107</v>
      </c>
      <c r="J652" t="s">
        <v>1948</v>
      </c>
    </row>
    <row r="653" spans="1:10" x14ac:dyDescent="0.2">
      <c r="A653">
        <v>1.3684541990857701E-20</v>
      </c>
      <c r="B653">
        <v>0.50164416725246497</v>
      </c>
      <c r="C653">
        <v>0.94299999999999995</v>
      </c>
      <c r="D653">
        <v>0.50800000000000001</v>
      </c>
      <c r="E653">
        <v>1.9018776458893999E-16</v>
      </c>
      <c r="F653">
        <v>1</v>
      </c>
      <c r="G653" t="s">
        <v>1949</v>
      </c>
      <c r="H653" t="s">
        <v>1950</v>
      </c>
      <c r="I653" t="str">
        <f>HYPERLINK("https://zfin.org/ZDB-GENE-030131-6614")</f>
        <v>https://zfin.org/ZDB-GENE-030131-6614</v>
      </c>
      <c r="J653" t="s">
        <v>1951</v>
      </c>
    </row>
    <row r="654" spans="1:10" x14ac:dyDescent="0.2">
      <c r="A654">
        <v>1.46070866081299E-20</v>
      </c>
      <c r="B654">
        <v>0.28741356730635498</v>
      </c>
      <c r="C654">
        <v>0.314</v>
      </c>
      <c r="D654">
        <v>7.5999999999999998E-2</v>
      </c>
      <c r="E654">
        <v>2.0300928967978999E-16</v>
      </c>
      <c r="F654">
        <v>1</v>
      </c>
      <c r="G654" t="s">
        <v>1952</v>
      </c>
      <c r="H654" t="s">
        <v>1953</v>
      </c>
      <c r="I654" t="str">
        <f>HYPERLINK("https://zfin.org/ZDB-GENE-041114-168")</f>
        <v>https://zfin.org/ZDB-GENE-041114-168</v>
      </c>
      <c r="J654" t="s">
        <v>1954</v>
      </c>
    </row>
    <row r="655" spans="1:10" x14ac:dyDescent="0.2">
      <c r="A655">
        <v>1.4801473930295201E-20</v>
      </c>
      <c r="B655">
        <v>-0.431390786477378</v>
      </c>
      <c r="C655">
        <v>1</v>
      </c>
      <c r="D655">
        <v>0.99</v>
      </c>
      <c r="E655">
        <v>2.0571088468324201E-16</v>
      </c>
      <c r="F655">
        <v>1</v>
      </c>
      <c r="G655" t="s">
        <v>1955</v>
      </c>
      <c r="H655" t="s">
        <v>1956</v>
      </c>
      <c r="I655" t="str">
        <f>HYPERLINK("https://zfin.org/ZDB-GENE-040625-51")</f>
        <v>https://zfin.org/ZDB-GENE-040625-51</v>
      </c>
      <c r="J655" t="s">
        <v>1957</v>
      </c>
    </row>
    <row r="656" spans="1:10" x14ac:dyDescent="0.2">
      <c r="A656">
        <v>1.5546228755910401E-20</v>
      </c>
      <c r="B656">
        <v>0.49314577349632499</v>
      </c>
      <c r="C656">
        <v>0.99299999999999999</v>
      </c>
      <c r="D656">
        <v>0.64200000000000002</v>
      </c>
      <c r="E656">
        <v>2.1606148724964299E-16</v>
      </c>
      <c r="F656">
        <v>1</v>
      </c>
      <c r="G656" t="s">
        <v>1958</v>
      </c>
      <c r="H656" t="s">
        <v>1959</v>
      </c>
      <c r="I656" t="str">
        <f>HYPERLINK("https://zfin.org/ZDB-GENE-050309-87")</f>
        <v>https://zfin.org/ZDB-GENE-050309-87</v>
      </c>
      <c r="J656" t="s">
        <v>1960</v>
      </c>
    </row>
    <row r="657" spans="1:10" x14ac:dyDescent="0.2">
      <c r="A657">
        <v>1.6244979134245199E-20</v>
      </c>
      <c r="B657">
        <v>0.27266743909444802</v>
      </c>
      <c r="C657">
        <v>0.27100000000000002</v>
      </c>
      <c r="D657">
        <v>0.06</v>
      </c>
      <c r="E657">
        <v>2.2577272000773899E-16</v>
      </c>
      <c r="F657">
        <v>1</v>
      </c>
      <c r="G657" t="s">
        <v>1961</v>
      </c>
      <c r="H657" t="s">
        <v>1962</v>
      </c>
      <c r="I657" t="str">
        <f>HYPERLINK("https://zfin.org/ZDB-GENE-000607-78")</f>
        <v>https://zfin.org/ZDB-GENE-000607-78</v>
      </c>
      <c r="J657" t="s">
        <v>1963</v>
      </c>
    </row>
    <row r="658" spans="1:10" x14ac:dyDescent="0.2">
      <c r="A658">
        <v>1.9056973658694899E-20</v>
      </c>
      <c r="B658">
        <v>0.541591439263856</v>
      </c>
      <c r="C658">
        <v>0.96399999999999997</v>
      </c>
      <c r="D658">
        <v>0.59599999999999997</v>
      </c>
      <c r="E658">
        <v>2.6485381990854199E-16</v>
      </c>
      <c r="F658">
        <v>1</v>
      </c>
      <c r="G658" t="s">
        <v>1964</v>
      </c>
      <c r="H658" t="s">
        <v>1965</v>
      </c>
      <c r="I658" t="str">
        <f>HYPERLINK("https://zfin.org/ZDB-GENE-040426-2534")</f>
        <v>https://zfin.org/ZDB-GENE-040426-2534</v>
      </c>
      <c r="J658" t="s">
        <v>1966</v>
      </c>
    </row>
    <row r="659" spans="1:10" x14ac:dyDescent="0.2">
      <c r="A659">
        <v>1.90692794086573E-20</v>
      </c>
      <c r="B659">
        <v>-1.8678724135129801</v>
      </c>
      <c r="C659">
        <v>0.88600000000000001</v>
      </c>
      <c r="D659">
        <v>0.84499999999999997</v>
      </c>
      <c r="E659">
        <v>2.6502484522151898E-16</v>
      </c>
      <c r="F659">
        <v>1</v>
      </c>
      <c r="G659" t="s">
        <v>1967</v>
      </c>
      <c r="H659" t="s">
        <v>1968</v>
      </c>
      <c r="I659" t="str">
        <f>HYPERLINK("https://zfin.org/ZDB-GENE-070705-532")</f>
        <v>https://zfin.org/ZDB-GENE-070705-532</v>
      </c>
      <c r="J659" t="s">
        <v>1969</v>
      </c>
    </row>
    <row r="660" spans="1:10" x14ac:dyDescent="0.2">
      <c r="A660">
        <v>2.0236258950987101E-20</v>
      </c>
      <c r="B660">
        <v>0.25963612980553502</v>
      </c>
      <c r="C660">
        <v>0.22900000000000001</v>
      </c>
      <c r="D660">
        <v>4.3999999999999997E-2</v>
      </c>
      <c r="E660">
        <v>2.8124352690081899E-16</v>
      </c>
      <c r="F660">
        <v>1</v>
      </c>
      <c r="G660" t="s">
        <v>1970</v>
      </c>
      <c r="H660" t="s">
        <v>1971</v>
      </c>
      <c r="I660" t="str">
        <f>HYPERLINK("https://zfin.org/ZDB-GENE-030804-11")</f>
        <v>https://zfin.org/ZDB-GENE-030804-11</v>
      </c>
      <c r="J660" t="s">
        <v>1972</v>
      </c>
    </row>
    <row r="661" spans="1:10" x14ac:dyDescent="0.2">
      <c r="A661">
        <v>2.0760490333301701E-20</v>
      </c>
      <c r="B661">
        <v>0.28406375484658702</v>
      </c>
      <c r="C661">
        <v>0.443</v>
      </c>
      <c r="D661">
        <v>0.13</v>
      </c>
      <c r="E661">
        <v>2.8852929465222599E-16</v>
      </c>
      <c r="F661">
        <v>1</v>
      </c>
      <c r="G661" t="s">
        <v>1973</v>
      </c>
      <c r="H661" t="s">
        <v>1974</v>
      </c>
      <c r="I661" t="str">
        <f>HYPERLINK("https://zfin.org/ZDB-GENE-020416-4")</f>
        <v>https://zfin.org/ZDB-GENE-020416-4</v>
      </c>
      <c r="J661" t="s">
        <v>1975</v>
      </c>
    </row>
    <row r="662" spans="1:10" x14ac:dyDescent="0.2">
      <c r="A662">
        <v>2.2943169183750701E-20</v>
      </c>
      <c r="B662">
        <v>0.47602432627730301</v>
      </c>
      <c r="C662">
        <v>1</v>
      </c>
      <c r="D662">
        <v>0.747</v>
      </c>
      <c r="E662">
        <v>3.1886416531576698E-16</v>
      </c>
      <c r="F662">
        <v>1</v>
      </c>
      <c r="G662" t="s">
        <v>1976</v>
      </c>
      <c r="H662" t="s">
        <v>1977</v>
      </c>
      <c r="I662" t="str">
        <f>HYPERLINK("https://zfin.org/ZDB-GENE-040426-1961")</f>
        <v>https://zfin.org/ZDB-GENE-040426-1961</v>
      </c>
      <c r="J662" t="s">
        <v>1978</v>
      </c>
    </row>
    <row r="663" spans="1:10" x14ac:dyDescent="0.2">
      <c r="A663">
        <v>2.30883437860831E-20</v>
      </c>
      <c r="B663">
        <v>-0.48319217256754698</v>
      </c>
      <c r="C663">
        <v>1</v>
      </c>
      <c r="D663">
        <v>0.96199999999999997</v>
      </c>
      <c r="E663">
        <v>3.20881801938983E-16</v>
      </c>
      <c r="F663">
        <v>1</v>
      </c>
      <c r="G663" t="s">
        <v>1979</v>
      </c>
      <c r="H663" t="s">
        <v>1980</v>
      </c>
      <c r="I663" t="str">
        <f>HYPERLINK("https://zfin.org/ZDB-GENE-030131-2025")</f>
        <v>https://zfin.org/ZDB-GENE-030131-2025</v>
      </c>
      <c r="J663" t="s">
        <v>1981</v>
      </c>
    </row>
    <row r="664" spans="1:10" x14ac:dyDescent="0.2">
      <c r="A664">
        <v>2.65745875327744E-20</v>
      </c>
      <c r="B664">
        <v>-0.46446838263474099</v>
      </c>
      <c r="C664">
        <v>1</v>
      </c>
      <c r="D664">
        <v>0.97399999999999998</v>
      </c>
      <c r="E664">
        <v>3.6933361753049901E-16</v>
      </c>
      <c r="F664">
        <v>1</v>
      </c>
      <c r="G664" t="s">
        <v>1982</v>
      </c>
      <c r="H664" t="s">
        <v>1983</v>
      </c>
      <c r="I664" t="str">
        <f>HYPERLINK("https://zfin.org/ZDB-GENE-030131-8756")</f>
        <v>https://zfin.org/ZDB-GENE-030131-8756</v>
      </c>
      <c r="J664" t="s">
        <v>1984</v>
      </c>
    </row>
    <row r="665" spans="1:10" x14ac:dyDescent="0.2">
      <c r="A665">
        <v>3.84822741240198E-20</v>
      </c>
      <c r="B665">
        <v>-0.49315591282683002</v>
      </c>
      <c r="C665">
        <v>0.97899999999999998</v>
      </c>
      <c r="D665">
        <v>0.97399999999999998</v>
      </c>
      <c r="E665">
        <v>5.3482664577562803E-16</v>
      </c>
      <c r="F665">
        <v>1</v>
      </c>
      <c r="G665" t="s">
        <v>1985</v>
      </c>
      <c r="H665" t="s">
        <v>1986</v>
      </c>
      <c r="I665" t="str">
        <f>HYPERLINK("https://zfin.org/ZDB-GENE-010724-15")</f>
        <v>https://zfin.org/ZDB-GENE-010724-15</v>
      </c>
      <c r="J665" t="s">
        <v>1987</v>
      </c>
    </row>
    <row r="666" spans="1:10" x14ac:dyDescent="0.2">
      <c r="A666">
        <v>4.2112949968636498E-20</v>
      </c>
      <c r="B666">
        <v>0.49173244051273501</v>
      </c>
      <c r="C666">
        <v>0.92900000000000005</v>
      </c>
      <c r="D666">
        <v>0.51500000000000001</v>
      </c>
      <c r="E666">
        <v>5.8528577866410997E-16</v>
      </c>
      <c r="F666">
        <v>1</v>
      </c>
      <c r="G666" t="s">
        <v>1988</v>
      </c>
      <c r="H666" t="s">
        <v>1989</v>
      </c>
      <c r="I666" t="str">
        <f>HYPERLINK("https://zfin.org/ZDB-GENE-030131-7649")</f>
        <v>https://zfin.org/ZDB-GENE-030131-7649</v>
      </c>
      <c r="J666" t="s">
        <v>1990</v>
      </c>
    </row>
    <row r="667" spans="1:10" x14ac:dyDescent="0.2">
      <c r="A667">
        <v>4.8649914174191697E-20</v>
      </c>
      <c r="B667">
        <v>-0.49201564900535899</v>
      </c>
      <c r="C667">
        <v>1</v>
      </c>
      <c r="D667">
        <v>0.98499999999999999</v>
      </c>
      <c r="E667">
        <v>6.7613650719291599E-16</v>
      </c>
      <c r="F667">
        <v>1</v>
      </c>
      <c r="G667" t="s">
        <v>1991</v>
      </c>
      <c r="H667" t="s">
        <v>1992</v>
      </c>
      <c r="I667" t="str">
        <f>HYPERLINK("https://zfin.org/ZDB-GENE-040426-811")</f>
        <v>https://zfin.org/ZDB-GENE-040426-811</v>
      </c>
      <c r="J667" t="s">
        <v>1993</v>
      </c>
    </row>
    <row r="668" spans="1:10" x14ac:dyDescent="0.2">
      <c r="A668">
        <v>5.7109803344762296E-20</v>
      </c>
      <c r="B668">
        <v>-0.90289511232099995</v>
      </c>
      <c r="C668">
        <v>0.621</v>
      </c>
      <c r="D668">
        <v>0.72499999999999998</v>
      </c>
      <c r="E668">
        <v>7.93712046885507E-16</v>
      </c>
      <c r="F668">
        <v>1</v>
      </c>
      <c r="G668" t="s">
        <v>1994</v>
      </c>
      <c r="H668" t="s">
        <v>1995</v>
      </c>
      <c r="I668" t="str">
        <f>HYPERLINK("https://zfin.org/ZDB-GENE-001103-5")</f>
        <v>https://zfin.org/ZDB-GENE-001103-5</v>
      </c>
      <c r="J668" t="s">
        <v>1996</v>
      </c>
    </row>
    <row r="669" spans="1:10" x14ac:dyDescent="0.2">
      <c r="A669">
        <v>6.8891199452990802E-20</v>
      </c>
      <c r="B669">
        <v>-1.21552598555035</v>
      </c>
      <c r="C669">
        <v>0.38600000000000001</v>
      </c>
      <c r="D669">
        <v>0.626</v>
      </c>
      <c r="E669">
        <v>9.5744988999766697E-16</v>
      </c>
      <c r="F669">
        <v>1</v>
      </c>
      <c r="G669" t="s">
        <v>1997</v>
      </c>
      <c r="H669" t="s">
        <v>1998</v>
      </c>
      <c r="I669" t="str">
        <f>HYPERLINK("https://zfin.org/ZDB-GENE-030131-9")</f>
        <v>https://zfin.org/ZDB-GENE-030131-9</v>
      </c>
      <c r="J669" t="s">
        <v>1999</v>
      </c>
    </row>
    <row r="670" spans="1:10" x14ac:dyDescent="0.2">
      <c r="A670">
        <v>7.2043755886077197E-20</v>
      </c>
      <c r="B670">
        <v>0.46389691459259802</v>
      </c>
      <c r="C670">
        <v>0.79300000000000004</v>
      </c>
      <c r="D670">
        <v>0.35099999999999998</v>
      </c>
      <c r="E670">
        <v>1.0012641193047E-15</v>
      </c>
      <c r="F670">
        <v>1</v>
      </c>
      <c r="G670" t="s">
        <v>2000</v>
      </c>
      <c r="H670" t="s">
        <v>2001</v>
      </c>
      <c r="I670" t="str">
        <f>HYPERLINK("https://zfin.org/ZDB-GENE-031105-2")</f>
        <v>https://zfin.org/ZDB-GENE-031105-2</v>
      </c>
      <c r="J670" t="s">
        <v>2002</v>
      </c>
    </row>
    <row r="671" spans="1:10" x14ac:dyDescent="0.2">
      <c r="A671">
        <v>7.2084759406440199E-20</v>
      </c>
      <c r="B671">
        <v>0.31245942999967202</v>
      </c>
      <c r="C671">
        <v>0.55000000000000004</v>
      </c>
      <c r="D671">
        <v>0.182</v>
      </c>
      <c r="E671">
        <v>1.00183398623071E-15</v>
      </c>
      <c r="F671">
        <v>1</v>
      </c>
      <c r="G671" t="s">
        <v>2003</v>
      </c>
      <c r="H671" t="s">
        <v>2004</v>
      </c>
      <c r="I671" t="str">
        <f>HYPERLINK("https://zfin.org/ZDB-GENE-040625-34")</f>
        <v>https://zfin.org/ZDB-GENE-040625-34</v>
      </c>
      <c r="J671" t="s">
        <v>2005</v>
      </c>
    </row>
    <row r="672" spans="1:10" x14ac:dyDescent="0.2">
      <c r="A672">
        <v>7.4155710339458896E-20</v>
      </c>
      <c r="B672">
        <v>0.30028138645913899</v>
      </c>
      <c r="C672">
        <v>0.59299999999999997</v>
      </c>
      <c r="D672">
        <v>0.20100000000000001</v>
      </c>
      <c r="E672">
        <v>1.0306160622978001E-15</v>
      </c>
      <c r="F672">
        <v>1</v>
      </c>
      <c r="G672" t="s">
        <v>2006</v>
      </c>
      <c r="H672" t="s">
        <v>2007</v>
      </c>
      <c r="I672" t="str">
        <f>HYPERLINK("https://zfin.org/ZDB-GENE-110411-193")</f>
        <v>https://zfin.org/ZDB-GENE-110411-193</v>
      </c>
      <c r="J672" t="s">
        <v>2008</v>
      </c>
    </row>
    <row r="673" spans="1:10" x14ac:dyDescent="0.2">
      <c r="A673">
        <v>8.9502911167230203E-20</v>
      </c>
      <c r="B673">
        <v>-0.497030439414753</v>
      </c>
      <c r="C673">
        <v>0.98599999999999999</v>
      </c>
      <c r="D673">
        <v>0.95699999999999996</v>
      </c>
      <c r="E673">
        <v>1.2439114594021699E-15</v>
      </c>
      <c r="F673">
        <v>1</v>
      </c>
      <c r="G673" t="s">
        <v>2009</v>
      </c>
      <c r="H673" t="s">
        <v>2010</v>
      </c>
      <c r="I673" t="str">
        <f>HYPERLINK("https://zfin.org/ZDB-GENE-030131-4343")</f>
        <v>https://zfin.org/ZDB-GENE-030131-4343</v>
      </c>
      <c r="J673" t="s">
        <v>2011</v>
      </c>
    </row>
    <row r="674" spans="1:10" x14ac:dyDescent="0.2">
      <c r="A674">
        <v>9.0216830416678898E-20</v>
      </c>
      <c r="B674">
        <v>-0.89371392587363496</v>
      </c>
      <c r="C674">
        <v>0.65700000000000003</v>
      </c>
      <c r="D674">
        <v>0.72599999999999998</v>
      </c>
      <c r="E674">
        <v>1.253833509131E-15</v>
      </c>
      <c r="F674">
        <v>1</v>
      </c>
      <c r="G674" t="s">
        <v>2012</v>
      </c>
      <c r="H674" t="s">
        <v>2013</v>
      </c>
      <c r="I674" t="str">
        <f>HYPERLINK("https://zfin.org/ZDB-GENE-030131-4900")</f>
        <v>https://zfin.org/ZDB-GENE-030131-4900</v>
      </c>
      <c r="J674" t="s">
        <v>2014</v>
      </c>
    </row>
    <row r="675" spans="1:10" x14ac:dyDescent="0.2">
      <c r="A675">
        <v>9.1599769190017602E-20</v>
      </c>
      <c r="B675">
        <v>-1.4676991781231401</v>
      </c>
      <c r="C675">
        <v>0.71399999999999997</v>
      </c>
      <c r="D675">
        <v>0.73899999999999999</v>
      </c>
      <c r="E675">
        <v>1.27305359220286E-15</v>
      </c>
      <c r="F675">
        <v>1</v>
      </c>
      <c r="G675" t="s">
        <v>2015</v>
      </c>
      <c r="H675" t="s">
        <v>2016</v>
      </c>
      <c r="I675" t="str">
        <f>HYPERLINK("https://zfin.org/ZDB-GENE-030131-12")</f>
        <v>https://zfin.org/ZDB-GENE-030131-12</v>
      </c>
      <c r="J675" t="s">
        <v>2017</v>
      </c>
    </row>
    <row r="676" spans="1:10" x14ac:dyDescent="0.2">
      <c r="A676">
        <v>1.47700543663698E-19</v>
      </c>
      <c r="B676">
        <v>0.27720786027566402</v>
      </c>
      <c r="C676">
        <v>0.67900000000000005</v>
      </c>
      <c r="D676">
        <v>0.23699999999999999</v>
      </c>
      <c r="E676">
        <v>2.05274215583807E-15</v>
      </c>
      <c r="F676">
        <v>1</v>
      </c>
      <c r="G676" t="s">
        <v>2018</v>
      </c>
      <c r="H676" t="s">
        <v>2019</v>
      </c>
      <c r="I676" t="str">
        <f>HYPERLINK("https://zfin.org/ZDB-GENE-020419-23")</f>
        <v>https://zfin.org/ZDB-GENE-020419-23</v>
      </c>
      <c r="J676" t="s">
        <v>2020</v>
      </c>
    </row>
    <row r="677" spans="1:10" x14ac:dyDescent="0.2">
      <c r="A677">
        <v>1.7573736863158601E-19</v>
      </c>
      <c r="B677">
        <v>-1.2297739808611601</v>
      </c>
      <c r="C677">
        <v>0.51400000000000001</v>
      </c>
      <c r="D677">
        <v>0.67700000000000005</v>
      </c>
      <c r="E677">
        <v>2.4423979492417899E-15</v>
      </c>
      <c r="F677">
        <v>1</v>
      </c>
      <c r="G677" t="s">
        <v>2021</v>
      </c>
      <c r="H677" t="s">
        <v>2022</v>
      </c>
      <c r="I677" t="str">
        <f>HYPERLINK("https://zfin.org/ZDB-GENE-030131-1819")</f>
        <v>https://zfin.org/ZDB-GENE-030131-1819</v>
      </c>
      <c r="J677" t="s">
        <v>2023</v>
      </c>
    </row>
    <row r="678" spans="1:10" x14ac:dyDescent="0.2">
      <c r="A678">
        <v>1.7961181143432699E-19</v>
      </c>
      <c r="B678">
        <v>0.321118507419835</v>
      </c>
      <c r="C678">
        <v>0.49299999999999999</v>
      </c>
      <c r="D678">
        <v>0.158</v>
      </c>
      <c r="E678">
        <v>2.4962449553142798E-15</v>
      </c>
      <c r="F678">
        <v>1</v>
      </c>
      <c r="G678" t="s">
        <v>2024</v>
      </c>
      <c r="H678" t="s">
        <v>2025</v>
      </c>
      <c r="I678" t="str">
        <f>HYPERLINK("https://zfin.org/ZDB-GENE-040718-150")</f>
        <v>https://zfin.org/ZDB-GENE-040718-150</v>
      </c>
      <c r="J678" t="s">
        <v>2026</v>
      </c>
    </row>
    <row r="679" spans="1:10" x14ac:dyDescent="0.2">
      <c r="A679">
        <v>1.82303910480426E-19</v>
      </c>
      <c r="B679">
        <v>0.43204390757484001</v>
      </c>
      <c r="C679">
        <v>0.86399999999999999</v>
      </c>
      <c r="D679">
        <v>0.39300000000000002</v>
      </c>
      <c r="E679">
        <v>2.5336597478569598E-15</v>
      </c>
      <c r="F679">
        <v>1</v>
      </c>
      <c r="G679" t="s">
        <v>2027</v>
      </c>
      <c r="H679" t="s">
        <v>2028</v>
      </c>
      <c r="I679" t="str">
        <f>HYPERLINK("https://zfin.org/ZDB-GENE-040718-138")</f>
        <v>https://zfin.org/ZDB-GENE-040718-138</v>
      </c>
      <c r="J679" t="s">
        <v>2029</v>
      </c>
    </row>
    <row r="680" spans="1:10" x14ac:dyDescent="0.2">
      <c r="A680">
        <v>2.07203430884264E-19</v>
      </c>
      <c r="B680">
        <v>0.32658602245387403</v>
      </c>
      <c r="C680">
        <v>0.5</v>
      </c>
      <c r="D680">
        <v>0.161</v>
      </c>
      <c r="E680">
        <v>2.87971328242951E-15</v>
      </c>
      <c r="F680">
        <v>1</v>
      </c>
      <c r="G680" t="s">
        <v>2030</v>
      </c>
      <c r="H680" t="s">
        <v>2031</v>
      </c>
      <c r="I680" t="str">
        <f>HYPERLINK("https://zfin.org/ZDB-GENE-060503-609")</f>
        <v>https://zfin.org/ZDB-GENE-060503-609</v>
      </c>
      <c r="J680" t="s">
        <v>2032</v>
      </c>
    </row>
    <row r="681" spans="1:10" x14ac:dyDescent="0.2">
      <c r="A681">
        <v>2.4700394211913701E-19</v>
      </c>
      <c r="B681">
        <v>-0.47603743596376202</v>
      </c>
      <c r="C681">
        <v>0.98599999999999999</v>
      </c>
      <c r="D681">
        <v>0.95699999999999996</v>
      </c>
      <c r="E681">
        <v>3.43286078757177E-15</v>
      </c>
      <c r="F681">
        <v>1</v>
      </c>
      <c r="G681" t="s">
        <v>2033</v>
      </c>
      <c r="H681" t="s">
        <v>2034</v>
      </c>
      <c r="I681" t="str">
        <f>HYPERLINK("https://zfin.org/ZDB-GENE-030131-8657")</f>
        <v>https://zfin.org/ZDB-GENE-030131-8657</v>
      </c>
      <c r="J681" t="s">
        <v>2035</v>
      </c>
    </row>
    <row r="682" spans="1:10" x14ac:dyDescent="0.2">
      <c r="A682">
        <v>2.47335230119882E-19</v>
      </c>
      <c r="B682">
        <v>0.53730752684100702</v>
      </c>
      <c r="C682">
        <v>0.94299999999999995</v>
      </c>
      <c r="D682">
        <v>0.54600000000000004</v>
      </c>
      <c r="E682">
        <v>3.43746502820612E-15</v>
      </c>
      <c r="F682">
        <v>1</v>
      </c>
      <c r="G682" t="s">
        <v>2036</v>
      </c>
      <c r="H682" t="s">
        <v>2037</v>
      </c>
      <c r="I682" t="str">
        <f>HYPERLINK("https://zfin.org/ZDB-GENE-001208-4")</f>
        <v>https://zfin.org/ZDB-GENE-001208-4</v>
      </c>
      <c r="J682" t="s">
        <v>2038</v>
      </c>
    </row>
    <row r="683" spans="1:10" x14ac:dyDescent="0.2">
      <c r="A683">
        <v>2.9316723400044899E-19</v>
      </c>
      <c r="B683">
        <v>-1.36723851512934</v>
      </c>
      <c r="C683">
        <v>0.38600000000000001</v>
      </c>
      <c r="D683">
        <v>0.61099999999999999</v>
      </c>
      <c r="E683">
        <v>4.0744382181382397E-15</v>
      </c>
      <c r="F683">
        <v>1</v>
      </c>
      <c r="G683" t="s">
        <v>2039</v>
      </c>
      <c r="H683" t="s">
        <v>2040</v>
      </c>
      <c r="I683" t="str">
        <f>HYPERLINK("https://zfin.org/ZDB-GENE-050308-1")</f>
        <v>https://zfin.org/ZDB-GENE-050308-1</v>
      </c>
      <c r="J683" t="s">
        <v>2041</v>
      </c>
    </row>
    <row r="684" spans="1:10" x14ac:dyDescent="0.2">
      <c r="A684">
        <v>2.9987665442513402E-19</v>
      </c>
      <c r="B684">
        <v>-1.09791617404682</v>
      </c>
      <c r="C684">
        <v>0.39300000000000002</v>
      </c>
      <c r="D684">
        <v>0.62</v>
      </c>
      <c r="E684">
        <v>4.1676857432005101E-15</v>
      </c>
      <c r="F684">
        <v>1</v>
      </c>
      <c r="G684" t="s">
        <v>2042</v>
      </c>
      <c r="H684" t="s">
        <v>2043</v>
      </c>
      <c r="I684" t="str">
        <f>HYPERLINK("https://zfin.org/ZDB-GENE-110411-217")</f>
        <v>https://zfin.org/ZDB-GENE-110411-217</v>
      </c>
      <c r="J684" t="s">
        <v>2044</v>
      </c>
    </row>
    <row r="685" spans="1:10" x14ac:dyDescent="0.2">
      <c r="A685">
        <v>3.3499043013911299E-19</v>
      </c>
      <c r="B685">
        <v>0.29431377918649698</v>
      </c>
      <c r="C685">
        <v>0.57899999999999996</v>
      </c>
      <c r="D685">
        <v>0.19800000000000001</v>
      </c>
      <c r="E685">
        <v>4.6556969980733903E-15</v>
      </c>
      <c r="F685">
        <v>1</v>
      </c>
      <c r="G685" t="s">
        <v>2045</v>
      </c>
      <c r="H685" t="s">
        <v>2046</v>
      </c>
      <c r="I685" t="str">
        <f>HYPERLINK("https://zfin.org/ZDB-GENE-100427-3")</f>
        <v>https://zfin.org/ZDB-GENE-100427-3</v>
      </c>
      <c r="J685" t="s">
        <v>2047</v>
      </c>
    </row>
    <row r="686" spans="1:10" x14ac:dyDescent="0.2">
      <c r="A686">
        <v>4.0191785257613101E-19</v>
      </c>
      <c r="B686">
        <v>0.37140753782848701</v>
      </c>
      <c r="C686">
        <v>0.70699999999999996</v>
      </c>
      <c r="D686">
        <v>0.27400000000000002</v>
      </c>
      <c r="E686">
        <v>5.5858543151030701E-15</v>
      </c>
      <c r="F686">
        <v>1</v>
      </c>
      <c r="G686" t="s">
        <v>2048</v>
      </c>
      <c r="H686" t="s">
        <v>2049</v>
      </c>
      <c r="I686" t="str">
        <f>HYPERLINK("https://zfin.org/ZDB-GENE-041114-20")</f>
        <v>https://zfin.org/ZDB-GENE-041114-20</v>
      </c>
      <c r="J686" t="s">
        <v>2050</v>
      </c>
    </row>
    <row r="687" spans="1:10" x14ac:dyDescent="0.2">
      <c r="A687">
        <v>4.6644636871925604E-19</v>
      </c>
      <c r="B687">
        <v>-1.20239962789557</v>
      </c>
      <c r="C687">
        <v>0.38600000000000001</v>
      </c>
      <c r="D687">
        <v>0.61299999999999999</v>
      </c>
      <c r="E687">
        <v>6.4826716324602203E-15</v>
      </c>
      <c r="F687">
        <v>1</v>
      </c>
      <c r="G687" t="s">
        <v>2051</v>
      </c>
      <c r="H687" t="s">
        <v>2052</v>
      </c>
      <c r="I687" t="str">
        <f>HYPERLINK("https://zfin.org/ZDB-GENE-030825-1")</f>
        <v>https://zfin.org/ZDB-GENE-030825-1</v>
      </c>
      <c r="J687" t="s">
        <v>2053</v>
      </c>
    </row>
    <row r="688" spans="1:10" x14ac:dyDescent="0.2">
      <c r="A688">
        <v>5.6721203409856296E-19</v>
      </c>
      <c r="B688">
        <v>-0.407484575718562</v>
      </c>
      <c r="C688">
        <v>0.99299999999999999</v>
      </c>
      <c r="D688">
        <v>0.98599999999999999</v>
      </c>
      <c r="E688">
        <v>7.8831128499018293E-15</v>
      </c>
      <c r="F688">
        <v>1</v>
      </c>
      <c r="G688" t="s">
        <v>2054</v>
      </c>
      <c r="H688" t="s">
        <v>2055</v>
      </c>
      <c r="I688" t="str">
        <f>HYPERLINK("https://zfin.org/ZDB-GENE-040426-2290")</f>
        <v>https://zfin.org/ZDB-GENE-040426-2290</v>
      </c>
      <c r="J688" t="s">
        <v>2056</v>
      </c>
    </row>
    <row r="689" spans="1:10" x14ac:dyDescent="0.2">
      <c r="A689">
        <v>5.7621300257561099E-19</v>
      </c>
      <c r="B689">
        <v>0.36297923952982197</v>
      </c>
      <c r="C689">
        <v>1</v>
      </c>
      <c r="D689">
        <v>0.94499999999999995</v>
      </c>
      <c r="E689">
        <v>8.0082083097958297E-15</v>
      </c>
      <c r="F689">
        <v>1</v>
      </c>
      <c r="G689" t="s">
        <v>2057</v>
      </c>
      <c r="H689" t="s">
        <v>2058</v>
      </c>
      <c r="I689" t="str">
        <f>HYPERLINK("https://zfin.org/ZDB-GENE-011205-18")</f>
        <v>https://zfin.org/ZDB-GENE-011205-18</v>
      </c>
      <c r="J689" t="s">
        <v>2059</v>
      </c>
    </row>
    <row r="690" spans="1:10" x14ac:dyDescent="0.2">
      <c r="A690">
        <v>6.0175446682592297E-19</v>
      </c>
      <c r="B690">
        <v>0.40419019302808201</v>
      </c>
      <c r="C690">
        <v>0.82899999999999996</v>
      </c>
      <c r="D690">
        <v>0.35299999999999998</v>
      </c>
      <c r="E690">
        <v>8.3631835799466695E-15</v>
      </c>
      <c r="F690">
        <v>1</v>
      </c>
      <c r="G690" t="s">
        <v>2060</v>
      </c>
      <c r="H690" t="s">
        <v>2061</v>
      </c>
      <c r="I690" t="str">
        <f>HYPERLINK("https://zfin.org/ZDB-GENE-040426-989")</f>
        <v>https://zfin.org/ZDB-GENE-040426-989</v>
      </c>
      <c r="J690" t="s">
        <v>2062</v>
      </c>
    </row>
    <row r="691" spans="1:10" x14ac:dyDescent="0.2">
      <c r="A691">
        <v>6.0334934705416897E-19</v>
      </c>
      <c r="B691">
        <v>0.458824037628628</v>
      </c>
      <c r="C691">
        <v>0.89300000000000002</v>
      </c>
      <c r="D691">
        <v>0.42899999999999999</v>
      </c>
      <c r="E691">
        <v>8.38534922535884E-15</v>
      </c>
      <c r="F691">
        <v>1</v>
      </c>
      <c r="G691" t="s">
        <v>2063</v>
      </c>
      <c r="H691" t="s">
        <v>2064</v>
      </c>
      <c r="I691" t="str">
        <f>HYPERLINK("https://zfin.org/ZDB-GENE-050522-377")</f>
        <v>https://zfin.org/ZDB-GENE-050522-377</v>
      </c>
      <c r="J691" t="s">
        <v>2065</v>
      </c>
    </row>
    <row r="692" spans="1:10" x14ac:dyDescent="0.2">
      <c r="A692">
        <v>7.0107767576105696E-19</v>
      </c>
      <c r="B692">
        <v>0.32368356104195301</v>
      </c>
      <c r="C692">
        <v>0.5</v>
      </c>
      <c r="D692">
        <v>0.16400000000000001</v>
      </c>
      <c r="E692">
        <v>9.7435775377271696E-15</v>
      </c>
      <c r="F692">
        <v>1</v>
      </c>
      <c r="G692" t="s">
        <v>2066</v>
      </c>
      <c r="H692" t="s">
        <v>2067</v>
      </c>
      <c r="I692" t="str">
        <f>HYPERLINK("https://zfin.org/ZDB-GENE-030616-72")</f>
        <v>https://zfin.org/ZDB-GENE-030616-72</v>
      </c>
      <c r="J692" t="s">
        <v>2068</v>
      </c>
    </row>
    <row r="693" spans="1:10" x14ac:dyDescent="0.2">
      <c r="A693">
        <v>9.6449246154095602E-19</v>
      </c>
      <c r="B693">
        <v>0.26909337361774099</v>
      </c>
      <c r="C693">
        <v>0.52900000000000003</v>
      </c>
      <c r="D693">
        <v>0.17499999999999999</v>
      </c>
      <c r="E693">
        <v>1.3404516230496199E-14</v>
      </c>
      <c r="F693">
        <v>1</v>
      </c>
      <c r="G693" t="s">
        <v>2069</v>
      </c>
      <c r="H693" t="s">
        <v>2070</v>
      </c>
      <c r="I693" t="str">
        <f>HYPERLINK("https://zfin.org/ZDB-GENE-030131-1269")</f>
        <v>https://zfin.org/ZDB-GENE-030131-1269</v>
      </c>
      <c r="J693" t="s">
        <v>2071</v>
      </c>
    </row>
    <row r="694" spans="1:10" x14ac:dyDescent="0.2">
      <c r="A694">
        <v>1.0334021397891499E-18</v>
      </c>
      <c r="B694">
        <v>-0.450345716790165</v>
      </c>
      <c r="C694">
        <v>0.99299999999999999</v>
      </c>
      <c r="D694">
        <v>0.97199999999999998</v>
      </c>
      <c r="E694">
        <v>1.4362222938789501E-14</v>
      </c>
      <c r="F694">
        <v>1</v>
      </c>
      <c r="G694" t="s">
        <v>2072</v>
      </c>
      <c r="H694" t="s">
        <v>2073</v>
      </c>
      <c r="I694" t="str">
        <f>HYPERLINK("https://zfin.org/ZDB-GENE-040801-8")</f>
        <v>https://zfin.org/ZDB-GENE-040801-8</v>
      </c>
      <c r="J694" t="s">
        <v>2074</v>
      </c>
    </row>
    <row r="695" spans="1:10" x14ac:dyDescent="0.2">
      <c r="A695">
        <v>1.07844774442383E-18</v>
      </c>
      <c r="B695">
        <v>0.25808577503049401</v>
      </c>
      <c r="C695">
        <v>0.52100000000000002</v>
      </c>
      <c r="D695">
        <v>0.17199999999999999</v>
      </c>
      <c r="E695">
        <v>1.4988266752002399E-14</v>
      </c>
      <c r="F695">
        <v>1</v>
      </c>
      <c r="G695" t="s">
        <v>2075</v>
      </c>
      <c r="H695" t="s">
        <v>2076</v>
      </c>
      <c r="I695" t="str">
        <f>HYPERLINK("https://zfin.org/ZDB-GENE-041010-201")</f>
        <v>https://zfin.org/ZDB-GENE-041010-201</v>
      </c>
      <c r="J695" t="s">
        <v>2077</v>
      </c>
    </row>
    <row r="696" spans="1:10" x14ac:dyDescent="0.2">
      <c r="A696">
        <v>1.44708166025294E-18</v>
      </c>
      <c r="B696">
        <v>0.27160304862526802</v>
      </c>
      <c r="C696">
        <v>0.67100000000000004</v>
      </c>
      <c r="D696">
        <v>0.24299999999999999</v>
      </c>
      <c r="E696">
        <v>2.0111540914195299E-14</v>
      </c>
      <c r="F696">
        <v>1</v>
      </c>
      <c r="G696" t="s">
        <v>2078</v>
      </c>
      <c r="H696" t="s">
        <v>2079</v>
      </c>
      <c r="I696" t="str">
        <f>HYPERLINK("https://zfin.org/ZDB-GENE-040426-1737")</f>
        <v>https://zfin.org/ZDB-GENE-040426-1737</v>
      </c>
      <c r="J696" t="s">
        <v>2080</v>
      </c>
    </row>
    <row r="697" spans="1:10" x14ac:dyDescent="0.2">
      <c r="A697">
        <v>1.6220597865742001E-18</v>
      </c>
      <c r="B697">
        <v>0.42055731826830201</v>
      </c>
      <c r="C697">
        <v>1</v>
      </c>
      <c r="D697">
        <v>0.65700000000000003</v>
      </c>
      <c r="E697">
        <v>2.2543386913808199E-14</v>
      </c>
      <c r="F697">
        <v>1</v>
      </c>
      <c r="G697" t="s">
        <v>2081</v>
      </c>
      <c r="H697" t="s">
        <v>2082</v>
      </c>
      <c r="I697" t="str">
        <f>HYPERLINK("https://zfin.org/ZDB-GENE-030131-5177")</f>
        <v>https://zfin.org/ZDB-GENE-030131-5177</v>
      </c>
      <c r="J697" t="s">
        <v>2083</v>
      </c>
    </row>
    <row r="698" spans="1:10" x14ac:dyDescent="0.2">
      <c r="A698">
        <v>1.7676810180076001E-18</v>
      </c>
      <c r="B698">
        <v>0.25972043981471998</v>
      </c>
      <c r="C698">
        <v>0.52100000000000002</v>
      </c>
      <c r="D698">
        <v>0.17100000000000001</v>
      </c>
      <c r="E698">
        <v>2.45672307882696E-14</v>
      </c>
      <c r="F698">
        <v>1</v>
      </c>
      <c r="G698" t="s">
        <v>2084</v>
      </c>
      <c r="H698" t="s">
        <v>2085</v>
      </c>
      <c r="I698" t="str">
        <f>HYPERLINK("https://zfin.org/ZDB-GENE-131121-608")</f>
        <v>https://zfin.org/ZDB-GENE-131121-608</v>
      </c>
      <c r="J698" t="s">
        <v>2086</v>
      </c>
    </row>
    <row r="699" spans="1:10" x14ac:dyDescent="0.2">
      <c r="A699">
        <v>2.0456438207377401E-18</v>
      </c>
      <c r="B699">
        <v>0.27998359282784702</v>
      </c>
      <c r="C699">
        <v>0.41399999999999998</v>
      </c>
      <c r="D699">
        <v>0.125</v>
      </c>
      <c r="E699">
        <v>2.8430357820613103E-14</v>
      </c>
      <c r="F699">
        <v>1</v>
      </c>
      <c r="G699" t="s">
        <v>2087</v>
      </c>
      <c r="H699" t="s">
        <v>2088</v>
      </c>
      <c r="I699" t="str">
        <f>HYPERLINK("https://zfin.org/ZDB-GENE-091204-298")</f>
        <v>https://zfin.org/ZDB-GENE-091204-298</v>
      </c>
      <c r="J699" t="s">
        <v>2089</v>
      </c>
    </row>
    <row r="700" spans="1:10" x14ac:dyDescent="0.2">
      <c r="A700">
        <v>2.70970981522677E-18</v>
      </c>
      <c r="B700">
        <v>-1.2902347466205699</v>
      </c>
      <c r="C700">
        <v>0.22900000000000001</v>
      </c>
      <c r="D700">
        <v>0.54200000000000004</v>
      </c>
      <c r="E700">
        <v>3.7659547012021698E-14</v>
      </c>
      <c r="F700">
        <v>1</v>
      </c>
      <c r="G700" t="s">
        <v>2090</v>
      </c>
      <c r="H700" t="s">
        <v>2091</v>
      </c>
      <c r="I700" t="str">
        <f>HYPERLINK("https://zfin.org/ZDB-GENE-141212-380")</f>
        <v>https://zfin.org/ZDB-GENE-141212-380</v>
      </c>
      <c r="J700" t="s">
        <v>2092</v>
      </c>
    </row>
    <row r="701" spans="1:10" x14ac:dyDescent="0.2">
      <c r="A701">
        <v>2.7836908443842302E-18</v>
      </c>
      <c r="B701">
        <v>-1.0834763470743101</v>
      </c>
      <c r="C701">
        <v>0.77900000000000003</v>
      </c>
      <c r="D701">
        <v>0.755</v>
      </c>
      <c r="E701">
        <v>3.86877353552521E-14</v>
      </c>
      <c r="F701">
        <v>1</v>
      </c>
      <c r="G701" t="s">
        <v>2093</v>
      </c>
      <c r="H701" t="s">
        <v>2094</v>
      </c>
      <c r="I701" t="str">
        <f>HYPERLINK("https://zfin.org/ZDB-GENE-040426-2931")</f>
        <v>https://zfin.org/ZDB-GENE-040426-2931</v>
      </c>
      <c r="J701" t="s">
        <v>2095</v>
      </c>
    </row>
    <row r="702" spans="1:10" x14ac:dyDescent="0.2">
      <c r="A702">
        <v>3.0656712194930401E-18</v>
      </c>
      <c r="B702">
        <v>-0.61442759366056698</v>
      </c>
      <c r="C702">
        <v>0.92100000000000004</v>
      </c>
      <c r="D702">
        <v>0.89900000000000002</v>
      </c>
      <c r="E702">
        <v>4.2606698608514298E-14</v>
      </c>
      <c r="F702">
        <v>1</v>
      </c>
      <c r="G702" t="s">
        <v>2096</v>
      </c>
      <c r="H702" t="s">
        <v>2097</v>
      </c>
      <c r="I702" t="str">
        <f>HYPERLINK("https://zfin.org/ZDB-GENE-030131-8417")</f>
        <v>https://zfin.org/ZDB-GENE-030131-8417</v>
      </c>
      <c r="J702" t="s">
        <v>2098</v>
      </c>
    </row>
    <row r="703" spans="1:10" x14ac:dyDescent="0.2">
      <c r="A703">
        <v>3.33307074278627E-18</v>
      </c>
      <c r="B703">
        <v>-1.0202590361250701</v>
      </c>
      <c r="C703">
        <v>0.39300000000000002</v>
      </c>
      <c r="D703">
        <v>0.61299999999999999</v>
      </c>
      <c r="E703">
        <v>4.6323017183243602E-14</v>
      </c>
      <c r="F703">
        <v>1</v>
      </c>
      <c r="G703" t="s">
        <v>2099</v>
      </c>
      <c r="H703" t="s">
        <v>2100</v>
      </c>
      <c r="I703" t="str">
        <f>HYPERLINK("https://zfin.org/ZDB-GENE-030131-8554")</f>
        <v>https://zfin.org/ZDB-GENE-030131-8554</v>
      </c>
      <c r="J703" t="s">
        <v>2101</v>
      </c>
    </row>
    <row r="704" spans="1:10" x14ac:dyDescent="0.2">
      <c r="A704">
        <v>3.5403680151123203E-18</v>
      </c>
      <c r="B704">
        <v>-0.55382611155444395</v>
      </c>
      <c r="C704">
        <v>0.94299999999999995</v>
      </c>
      <c r="D704">
        <v>0.88700000000000001</v>
      </c>
      <c r="E704">
        <v>4.92040346740311E-14</v>
      </c>
      <c r="F704">
        <v>1</v>
      </c>
      <c r="G704" t="s">
        <v>2102</v>
      </c>
      <c r="H704" t="s">
        <v>2103</v>
      </c>
      <c r="I704" t="str">
        <f>HYPERLINK("https://zfin.org/ZDB-GENE-030131-7275")</f>
        <v>https://zfin.org/ZDB-GENE-030131-7275</v>
      </c>
      <c r="J704" t="s">
        <v>2104</v>
      </c>
    </row>
    <row r="705" spans="1:10" x14ac:dyDescent="0.2">
      <c r="A705">
        <v>3.9771367254536897E-18</v>
      </c>
      <c r="B705">
        <v>-0.383876002568315</v>
      </c>
      <c r="C705">
        <v>1</v>
      </c>
      <c r="D705">
        <v>0.995</v>
      </c>
      <c r="E705">
        <v>5.5274246210355402E-14</v>
      </c>
      <c r="F705">
        <v>1</v>
      </c>
      <c r="G705" t="s">
        <v>2105</v>
      </c>
      <c r="H705" t="s">
        <v>2106</v>
      </c>
      <c r="I705" t="str">
        <f>HYPERLINK("https://zfin.org/ZDB-GENE-040426-1716")</f>
        <v>https://zfin.org/ZDB-GENE-040426-1716</v>
      </c>
      <c r="J705" t="s">
        <v>2107</v>
      </c>
    </row>
    <row r="706" spans="1:10" x14ac:dyDescent="0.2">
      <c r="A706">
        <v>4.2022597087659104E-18</v>
      </c>
      <c r="B706">
        <v>0.30776903557930702</v>
      </c>
      <c r="C706">
        <v>0.40699999999999997</v>
      </c>
      <c r="D706">
        <v>0.123</v>
      </c>
      <c r="E706">
        <v>5.8403005432428599E-14</v>
      </c>
      <c r="F706">
        <v>1</v>
      </c>
      <c r="G706" t="s">
        <v>2108</v>
      </c>
      <c r="H706" t="s">
        <v>2109</v>
      </c>
      <c r="I706" t="str">
        <f>HYPERLINK("https://zfin.org/ZDB-GENE-130530-870")</f>
        <v>https://zfin.org/ZDB-GENE-130530-870</v>
      </c>
      <c r="J706" t="s">
        <v>2110</v>
      </c>
    </row>
    <row r="707" spans="1:10" x14ac:dyDescent="0.2">
      <c r="A707">
        <v>4.8267219675746798E-18</v>
      </c>
      <c r="B707">
        <v>-1.1504674305654199</v>
      </c>
      <c r="C707">
        <v>0.193</v>
      </c>
      <c r="D707">
        <v>0.51300000000000001</v>
      </c>
      <c r="E707">
        <v>6.7081781905352996E-14</v>
      </c>
      <c r="F707">
        <v>1</v>
      </c>
      <c r="G707" t="s">
        <v>2111</v>
      </c>
      <c r="H707" t="s">
        <v>2112</v>
      </c>
      <c r="I707" t="str">
        <f>HYPERLINK("https://zfin.org/ZDB-GENE-060126-3")</f>
        <v>https://zfin.org/ZDB-GENE-060126-3</v>
      </c>
      <c r="J707" t="s">
        <v>2113</v>
      </c>
    </row>
    <row r="708" spans="1:10" x14ac:dyDescent="0.2">
      <c r="A708">
        <v>5.06269757210634E-18</v>
      </c>
      <c r="B708">
        <v>0.30004930738442398</v>
      </c>
      <c r="C708">
        <v>0.33600000000000002</v>
      </c>
      <c r="D708">
        <v>9.2999999999999999E-2</v>
      </c>
      <c r="E708">
        <v>7.0361370857133897E-14</v>
      </c>
      <c r="F708">
        <v>1</v>
      </c>
      <c r="G708" t="s">
        <v>2114</v>
      </c>
      <c r="H708" t="s">
        <v>2115</v>
      </c>
      <c r="I708" t="str">
        <f>HYPERLINK("https://zfin.org/ZDB-GENE-030131-8542")</f>
        <v>https://zfin.org/ZDB-GENE-030131-8542</v>
      </c>
      <c r="J708" t="s">
        <v>2116</v>
      </c>
    </row>
    <row r="709" spans="1:10" x14ac:dyDescent="0.2">
      <c r="A709">
        <v>5.3517226699067103E-18</v>
      </c>
      <c r="B709">
        <v>-0.737066092042854</v>
      </c>
      <c r="C709">
        <v>0.77100000000000002</v>
      </c>
      <c r="D709">
        <v>0.78100000000000003</v>
      </c>
      <c r="E709">
        <v>7.4378241666363506E-14</v>
      </c>
      <c r="F709">
        <v>1</v>
      </c>
      <c r="G709" t="s">
        <v>2117</v>
      </c>
      <c r="H709" t="s">
        <v>2118</v>
      </c>
      <c r="I709" t="str">
        <f>HYPERLINK("https://zfin.org/ZDB-GENE-030131-618")</f>
        <v>https://zfin.org/ZDB-GENE-030131-618</v>
      </c>
      <c r="J709" t="s">
        <v>2119</v>
      </c>
    </row>
    <row r="710" spans="1:10" x14ac:dyDescent="0.2">
      <c r="A710">
        <v>5.5315685551645299E-18</v>
      </c>
      <c r="B710">
        <v>0.26197261148686002</v>
      </c>
      <c r="C710">
        <v>0.46400000000000002</v>
      </c>
      <c r="D710">
        <v>0.14799999999999999</v>
      </c>
      <c r="E710">
        <v>7.6877739779676601E-14</v>
      </c>
      <c r="F710">
        <v>1</v>
      </c>
      <c r="G710" t="s">
        <v>2120</v>
      </c>
      <c r="H710" t="s">
        <v>2121</v>
      </c>
      <c r="I710" t="str">
        <f>HYPERLINK("https://zfin.org/ZDB-GENE-040801-63")</f>
        <v>https://zfin.org/ZDB-GENE-040801-63</v>
      </c>
      <c r="J710" t="s">
        <v>2122</v>
      </c>
    </row>
    <row r="711" spans="1:10" x14ac:dyDescent="0.2">
      <c r="A711">
        <v>5.7570523025321403E-18</v>
      </c>
      <c r="B711">
        <v>-1.1448153922661</v>
      </c>
      <c r="C711">
        <v>0.371</v>
      </c>
      <c r="D711">
        <v>0.61</v>
      </c>
      <c r="E711">
        <v>8.0011512900591703E-14</v>
      </c>
      <c r="F711">
        <v>1</v>
      </c>
      <c r="G711" t="s">
        <v>2123</v>
      </c>
      <c r="H711" t="s">
        <v>2124</v>
      </c>
      <c r="I711" t="str">
        <f>HYPERLINK("https://zfin.org/ZDB-GENE-040426-2720")</f>
        <v>https://zfin.org/ZDB-GENE-040426-2720</v>
      </c>
      <c r="J711" t="s">
        <v>2125</v>
      </c>
    </row>
    <row r="712" spans="1:10" x14ac:dyDescent="0.2">
      <c r="A712">
        <v>5.8610842351979503E-18</v>
      </c>
      <c r="B712">
        <v>-0.43736706729779501</v>
      </c>
      <c r="C712">
        <v>1</v>
      </c>
      <c r="D712">
        <v>0.98799999999999999</v>
      </c>
      <c r="E712">
        <v>8.14573487007811E-14</v>
      </c>
      <c r="F712">
        <v>1</v>
      </c>
      <c r="G712" t="s">
        <v>2126</v>
      </c>
      <c r="H712" t="s">
        <v>2127</v>
      </c>
      <c r="I712" t="str">
        <f>HYPERLINK("https://zfin.org/ZDB-GENE-040426-2454")</f>
        <v>https://zfin.org/ZDB-GENE-040426-2454</v>
      </c>
      <c r="J712" t="s">
        <v>2128</v>
      </c>
    </row>
    <row r="713" spans="1:10" x14ac:dyDescent="0.2">
      <c r="A713">
        <v>5.9426934514979797E-18</v>
      </c>
      <c r="B713">
        <v>0.36363299154907103</v>
      </c>
      <c r="C713">
        <v>0.8</v>
      </c>
      <c r="D713">
        <v>0.33800000000000002</v>
      </c>
      <c r="E713">
        <v>8.2591553588918905E-14</v>
      </c>
      <c r="F713">
        <v>1</v>
      </c>
      <c r="G713" t="s">
        <v>2129</v>
      </c>
      <c r="H713" t="s">
        <v>2130</v>
      </c>
      <c r="I713" t="str">
        <f>HYPERLINK("https://zfin.org/ZDB-GENE-040801-1")</f>
        <v>https://zfin.org/ZDB-GENE-040801-1</v>
      </c>
      <c r="J713" t="s">
        <v>2131</v>
      </c>
    </row>
    <row r="714" spans="1:10" x14ac:dyDescent="0.2">
      <c r="A714">
        <v>6.4575866973173097E-18</v>
      </c>
      <c r="B714">
        <v>0.40443556909566097</v>
      </c>
      <c r="C714">
        <v>0.9</v>
      </c>
      <c r="D714">
        <v>0.42699999999999999</v>
      </c>
      <c r="E714">
        <v>8.9747539919315998E-14</v>
      </c>
      <c r="F714">
        <v>1</v>
      </c>
      <c r="G714" t="s">
        <v>2132</v>
      </c>
      <c r="H714" t="s">
        <v>2133</v>
      </c>
      <c r="I714" t="str">
        <f>HYPERLINK("https://zfin.org/ZDB-GENE-001219-1")</f>
        <v>https://zfin.org/ZDB-GENE-001219-1</v>
      </c>
      <c r="J714" t="s">
        <v>2134</v>
      </c>
    </row>
    <row r="715" spans="1:10" x14ac:dyDescent="0.2">
      <c r="A715">
        <v>6.5639850790457304E-18</v>
      </c>
      <c r="B715">
        <v>0.26786100655681899</v>
      </c>
      <c r="C715">
        <v>0.443</v>
      </c>
      <c r="D715">
        <v>0.14000000000000001</v>
      </c>
      <c r="E715">
        <v>9.1226264628577506E-14</v>
      </c>
      <c r="F715">
        <v>1</v>
      </c>
      <c r="G715" t="s">
        <v>2135</v>
      </c>
      <c r="H715" t="s">
        <v>2136</v>
      </c>
      <c r="I715" t="str">
        <f>HYPERLINK("https://zfin.org/ZDB-GENE-090313-33")</f>
        <v>https://zfin.org/ZDB-GENE-090313-33</v>
      </c>
      <c r="J715" t="s">
        <v>2137</v>
      </c>
    </row>
    <row r="716" spans="1:10" x14ac:dyDescent="0.2">
      <c r="A716">
        <v>8.5448120100870794E-18</v>
      </c>
      <c r="B716">
        <v>0.282437736828477</v>
      </c>
      <c r="C716">
        <v>0.69299999999999995</v>
      </c>
      <c r="D716">
        <v>0.25600000000000001</v>
      </c>
      <c r="E716">
        <v>1.1875579731619E-13</v>
      </c>
      <c r="F716">
        <v>1</v>
      </c>
      <c r="G716" t="s">
        <v>2138</v>
      </c>
      <c r="H716" t="s">
        <v>2139</v>
      </c>
      <c r="I716" t="str">
        <f>HYPERLINK("https://zfin.org/ZDB-GENE-050227-18")</f>
        <v>https://zfin.org/ZDB-GENE-050227-18</v>
      </c>
      <c r="J716" t="s">
        <v>2140</v>
      </c>
    </row>
    <row r="717" spans="1:10" x14ac:dyDescent="0.2">
      <c r="A717">
        <v>8.5676253850740499E-18</v>
      </c>
      <c r="B717">
        <v>-1.00612859612025</v>
      </c>
      <c r="C717">
        <v>0.46400000000000002</v>
      </c>
      <c r="D717">
        <v>0.63500000000000001</v>
      </c>
      <c r="E717">
        <v>1.19072857601759E-13</v>
      </c>
      <c r="F717">
        <v>1</v>
      </c>
      <c r="G717" t="s">
        <v>2141</v>
      </c>
      <c r="H717" t="s">
        <v>2142</v>
      </c>
      <c r="I717" t="str">
        <f>HYPERLINK("https://zfin.org/ZDB-GENE-040718-260")</f>
        <v>https://zfin.org/ZDB-GENE-040718-260</v>
      </c>
      <c r="J717" t="s">
        <v>2143</v>
      </c>
    </row>
    <row r="718" spans="1:10" x14ac:dyDescent="0.2">
      <c r="A718">
        <v>1.37749531161391E-17</v>
      </c>
      <c r="B718">
        <v>0.29007465183812903</v>
      </c>
      <c r="C718">
        <v>0.6</v>
      </c>
      <c r="D718">
        <v>0.22</v>
      </c>
      <c r="E718">
        <v>1.9144429840810101E-13</v>
      </c>
      <c r="F718">
        <v>1</v>
      </c>
      <c r="G718" t="s">
        <v>2144</v>
      </c>
      <c r="H718" t="s">
        <v>2145</v>
      </c>
      <c r="I718" t="str">
        <f>HYPERLINK("https://zfin.org/ZDB-GENE-040822-17")</f>
        <v>https://zfin.org/ZDB-GENE-040822-17</v>
      </c>
      <c r="J718" t="s">
        <v>2146</v>
      </c>
    </row>
    <row r="719" spans="1:10" x14ac:dyDescent="0.2">
      <c r="A719">
        <v>1.5769144138891501E-17</v>
      </c>
      <c r="B719">
        <v>0.38820364945354702</v>
      </c>
      <c r="C719">
        <v>0.67900000000000005</v>
      </c>
      <c r="D719">
        <v>0.27600000000000002</v>
      </c>
      <c r="E719">
        <v>2.1915956524231499E-13</v>
      </c>
      <c r="F719">
        <v>1</v>
      </c>
      <c r="G719" t="s">
        <v>2147</v>
      </c>
      <c r="H719" t="s">
        <v>2148</v>
      </c>
      <c r="I719" t="str">
        <f>HYPERLINK("https://zfin.org/ZDB-GENE-030131-304")</f>
        <v>https://zfin.org/ZDB-GENE-030131-304</v>
      </c>
      <c r="J719" t="s">
        <v>2149</v>
      </c>
    </row>
    <row r="720" spans="1:10" x14ac:dyDescent="0.2">
      <c r="A720">
        <v>2.0194338198473099E-17</v>
      </c>
      <c r="B720">
        <v>0.39712323823042101</v>
      </c>
      <c r="C720">
        <v>0.89300000000000002</v>
      </c>
      <c r="D720">
        <v>0.442</v>
      </c>
      <c r="E720">
        <v>2.8066091228237901E-13</v>
      </c>
      <c r="F720">
        <v>1</v>
      </c>
      <c r="G720" t="s">
        <v>2150</v>
      </c>
      <c r="H720" t="s">
        <v>2151</v>
      </c>
      <c r="I720" t="str">
        <f>HYPERLINK("https://zfin.org/ZDB-GENE-040426-1691")</f>
        <v>https://zfin.org/ZDB-GENE-040426-1691</v>
      </c>
      <c r="J720" t="s">
        <v>2152</v>
      </c>
    </row>
    <row r="721" spans="1:10" x14ac:dyDescent="0.2">
      <c r="A721">
        <v>2.0699183221503501E-17</v>
      </c>
      <c r="B721">
        <v>-1.43536473943496</v>
      </c>
      <c r="C721">
        <v>0.443</v>
      </c>
      <c r="D721">
        <v>0.61399999999999999</v>
      </c>
      <c r="E721">
        <v>2.8767724841245499E-13</v>
      </c>
      <c r="F721">
        <v>1</v>
      </c>
      <c r="G721" t="s">
        <v>2153</v>
      </c>
      <c r="H721" t="s">
        <v>2154</v>
      </c>
      <c r="I721" t="str">
        <f>HYPERLINK("https://zfin.org/ZDB-GENE-031016-2")</f>
        <v>https://zfin.org/ZDB-GENE-031016-2</v>
      </c>
      <c r="J721" t="s">
        <v>2155</v>
      </c>
    </row>
    <row r="722" spans="1:10" x14ac:dyDescent="0.2">
      <c r="A722">
        <v>3.4731152439100297E-17</v>
      </c>
      <c r="B722">
        <v>0.32149165103308502</v>
      </c>
      <c r="C722">
        <v>0.41399999999999998</v>
      </c>
      <c r="D722">
        <v>0.13200000000000001</v>
      </c>
      <c r="E722">
        <v>4.8269355659861601E-13</v>
      </c>
      <c r="F722">
        <v>1</v>
      </c>
      <c r="G722" t="s">
        <v>2156</v>
      </c>
      <c r="H722" t="s">
        <v>2157</v>
      </c>
      <c r="I722" t="str">
        <f>HYPERLINK("https://zfin.org/")</f>
        <v>https://zfin.org/</v>
      </c>
    </row>
    <row r="723" spans="1:10" x14ac:dyDescent="0.2">
      <c r="A723">
        <v>3.92661016592022E-17</v>
      </c>
      <c r="B723">
        <v>0.29214707440800097</v>
      </c>
      <c r="C723">
        <v>0.6</v>
      </c>
      <c r="D723">
        <v>0.221</v>
      </c>
      <c r="E723">
        <v>5.4572028085959204E-13</v>
      </c>
      <c r="F723">
        <v>1</v>
      </c>
      <c r="G723" t="s">
        <v>2158</v>
      </c>
      <c r="H723" t="s">
        <v>2159</v>
      </c>
      <c r="I723" t="str">
        <f>HYPERLINK("https://zfin.org/ZDB-GENE-030131-2459")</f>
        <v>https://zfin.org/ZDB-GENE-030131-2459</v>
      </c>
      <c r="J723" t="s">
        <v>2160</v>
      </c>
    </row>
    <row r="724" spans="1:10" x14ac:dyDescent="0.2">
      <c r="A724">
        <v>4.1014912633142997E-17</v>
      </c>
      <c r="B724">
        <v>-0.809087462318545</v>
      </c>
      <c r="C724">
        <v>0.83599999999999997</v>
      </c>
      <c r="D724">
        <v>0.79400000000000004</v>
      </c>
      <c r="E724">
        <v>5.7002525577542101E-13</v>
      </c>
      <c r="F724">
        <v>1</v>
      </c>
      <c r="G724" t="s">
        <v>2161</v>
      </c>
      <c r="H724" t="s">
        <v>2162</v>
      </c>
      <c r="I724" t="str">
        <f>HYPERLINK("https://zfin.org/ZDB-GENE-141216-84")</f>
        <v>https://zfin.org/ZDB-GENE-141216-84</v>
      </c>
      <c r="J724" t="s">
        <v>2163</v>
      </c>
    </row>
    <row r="725" spans="1:10" x14ac:dyDescent="0.2">
      <c r="A725">
        <v>4.5804120586140099E-17</v>
      </c>
      <c r="B725">
        <v>0.260283794507982</v>
      </c>
      <c r="C725">
        <v>0.42899999999999999</v>
      </c>
      <c r="D725">
        <v>0.13700000000000001</v>
      </c>
      <c r="E725">
        <v>6.3658566790617504E-13</v>
      </c>
      <c r="F725">
        <v>1</v>
      </c>
      <c r="G725" t="s">
        <v>2164</v>
      </c>
      <c r="H725" t="s">
        <v>2165</v>
      </c>
      <c r="I725" t="str">
        <f>HYPERLINK("https://zfin.org/ZDB-GENE-060929-1082")</f>
        <v>https://zfin.org/ZDB-GENE-060929-1082</v>
      </c>
      <c r="J725" t="s">
        <v>2166</v>
      </c>
    </row>
    <row r="726" spans="1:10" x14ac:dyDescent="0.2">
      <c r="A726">
        <v>5.3865227065173198E-17</v>
      </c>
      <c r="B726">
        <v>0.38301053788476502</v>
      </c>
      <c r="C726">
        <v>0.78600000000000003</v>
      </c>
      <c r="D726">
        <v>0.35</v>
      </c>
      <c r="E726">
        <v>7.4861892575177599E-13</v>
      </c>
      <c r="F726">
        <v>1</v>
      </c>
      <c r="G726" t="s">
        <v>2167</v>
      </c>
      <c r="H726" t="s">
        <v>2168</v>
      </c>
      <c r="I726" t="str">
        <f>HYPERLINK("https://zfin.org/ZDB-GENE-000406-6")</f>
        <v>https://zfin.org/ZDB-GENE-000406-6</v>
      </c>
      <c r="J726" t="s">
        <v>2169</v>
      </c>
    </row>
    <row r="727" spans="1:10" x14ac:dyDescent="0.2">
      <c r="A727">
        <v>6.2321347913810804E-17</v>
      </c>
      <c r="B727">
        <v>-1.3011821340418499</v>
      </c>
      <c r="C727">
        <v>0.38600000000000001</v>
      </c>
      <c r="D727">
        <v>0.61</v>
      </c>
      <c r="E727">
        <v>8.6614209330614195E-13</v>
      </c>
      <c r="F727">
        <v>1</v>
      </c>
      <c r="G727" t="s">
        <v>2170</v>
      </c>
      <c r="H727" t="s">
        <v>2171</v>
      </c>
      <c r="I727" t="str">
        <f>HYPERLINK("https://zfin.org/ZDB-GENE-040426-2826")</f>
        <v>https://zfin.org/ZDB-GENE-040426-2826</v>
      </c>
      <c r="J727" t="s">
        <v>2172</v>
      </c>
    </row>
    <row r="728" spans="1:10" x14ac:dyDescent="0.2">
      <c r="A728">
        <v>6.6957549918955098E-17</v>
      </c>
      <c r="B728">
        <v>-0.71957044485268695</v>
      </c>
      <c r="C728">
        <v>0.73599999999999999</v>
      </c>
      <c r="D728">
        <v>0.75600000000000001</v>
      </c>
      <c r="E728">
        <v>9.3057602877363793E-13</v>
      </c>
      <c r="F728">
        <v>1</v>
      </c>
      <c r="G728" t="s">
        <v>2173</v>
      </c>
      <c r="H728" t="s">
        <v>2174</v>
      </c>
      <c r="I728" t="str">
        <f>HYPERLINK("https://zfin.org/ZDB-GENE-040625-93")</f>
        <v>https://zfin.org/ZDB-GENE-040625-93</v>
      </c>
      <c r="J728" t="s">
        <v>2175</v>
      </c>
    </row>
    <row r="729" spans="1:10" x14ac:dyDescent="0.2">
      <c r="A729">
        <v>8.2541368357641805E-17</v>
      </c>
      <c r="B729">
        <v>0.40891640645368299</v>
      </c>
      <c r="C729">
        <v>0.96399999999999997</v>
      </c>
      <c r="D729">
        <v>0.49299999999999999</v>
      </c>
      <c r="E729">
        <v>1.1471599374345101E-12</v>
      </c>
      <c r="F729">
        <v>1</v>
      </c>
      <c r="G729" t="s">
        <v>2176</v>
      </c>
      <c r="H729" t="s">
        <v>2177</v>
      </c>
      <c r="I729" t="str">
        <f>HYPERLINK("https://zfin.org/ZDB-GENE-050320-17")</f>
        <v>https://zfin.org/ZDB-GENE-050320-17</v>
      </c>
      <c r="J729" t="s">
        <v>2178</v>
      </c>
    </row>
    <row r="730" spans="1:10" x14ac:dyDescent="0.2">
      <c r="A730">
        <v>8.5646669232110806E-17</v>
      </c>
      <c r="B730">
        <v>0.36500938354899598</v>
      </c>
      <c r="C730">
        <v>0.97899999999999998</v>
      </c>
      <c r="D730">
        <v>0.78200000000000003</v>
      </c>
      <c r="E730">
        <v>1.19031740898788E-12</v>
      </c>
      <c r="F730">
        <v>1</v>
      </c>
      <c r="G730" t="s">
        <v>2179</v>
      </c>
      <c r="H730" t="s">
        <v>2180</v>
      </c>
      <c r="I730" t="str">
        <f>HYPERLINK("https://zfin.org/ZDB-GENE-040426-1566")</f>
        <v>https://zfin.org/ZDB-GENE-040426-1566</v>
      </c>
      <c r="J730" t="s">
        <v>2181</v>
      </c>
    </row>
    <row r="731" spans="1:10" x14ac:dyDescent="0.2">
      <c r="A731">
        <v>8.8087359761864796E-17</v>
      </c>
      <c r="B731">
        <v>0.30644487550361199</v>
      </c>
      <c r="C731">
        <v>0.63600000000000001</v>
      </c>
      <c r="D731">
        <v>0.24299999999999999</v>
      </c>
      <c r="E731">
        <v>1.2242381259704E-12</v>
      </c>
      <c r="F731">
        <v>1</v>
      </c>
      <c r="G731" t="s">
        <v>2182</v>
      </c>
      <c r="H731" t="s">
        <v>2183</v>
      </c>
      <c r="I731" t="str">
        <f>HYPERLINK("https://zfin.org/ZDB-GENE-030219-204")</f>
        <v>https://zfin.org/ZDB-GENE-030219-204</v>
      </c>
      <c r="J731" t="s">
        <v>2184</v>
      </c>
    </row>
    <row r="732" spans="1:10" x14ac:dyDescent="0.2">
      <c r="A732">
        <v>9.9119718533059206E-17</v>
      </c>
      <c r="B732">
        <v>0.325847556775549</v>
      </c>
      <c r="C732">
        <v>0.72899999999999998</v>
      </c>
      <c r="D732">
        <v>0.29899999999999999</v>
      </c>
      <c r="E732">
        <v>1.3775658481724599E-12</v>
      </c>
      <c r="F732">
        <v>1</v>
      </c>
      <c r="G732" t="s">
        <v>2185</v>
      </c>
      <c r="H732" t="s">
        <v>2186</v>
      </c>
      <c r="I732" t="str">
        <f>HYPERLINK("https://zfin.org/")</f>
        <v>https://zfin.org/</v>
      </c>
    </row>
    <row r="733" spans="1:10" x14ac:dyDescent="0.2">
      <c r="A733">
        <v>1.30149903347071E-16</v>
      </c>
      <c r="B733">
        <v>-1.06367283758748</v>
      </c>
      <c r="C733">
        <v>0.40699999999999997</v>
      </c>
      <c r="D733">
        <v>0.59499999999999997</v>
      </c>
      <c r="E733">
        <v>1.80882335671759E-12</v>
      </c>
      <c r="F733">
        <v>1</v>
      </c>
      <c r="G733" t="s">
        <v>2187</v>
      </c>
      <c r="H733" t="s">
        <v>2188</v>
      </c>
      <c r="I733" t="str">
        <f>HYPERLINK("https://zfin.org/ZDB-GENE-980526-333")</f>
        <v>https://zfin.org/ZDB-GENE-980526-333</v>
      </c>
      <c r="J733" t="s">
        <v>2189</v>
      </c>
    </row>
    <row r="734" spans="1:10" x14ac:dyDescent="0.2">
      <c r="A734">
        <v>1.5591880603219301E-16</v>
      </c>
      <c r="B734">
        <v>0.25776917261143401</v>
      </c>
      <c r="C734">
        <v>0.39300000000000002</v>
      </c>
      <c r="D734">
        <v>0.123</v>
      </c>
      <c r="E734">
        <v>2.16695956623541E-12</v>
      </c>
      <c r="F734">
        <v>1</v>
      </c>
      <c r="G734" t="s">
        <v>2190</v>
      </c>
      <c r="H734" t="s">
        <v>2191</v>
      </c>
      <c r="I734" t="str">
        <f>HYPERLINK("https://zfin.org/ZDB-GENE-050626-97")</f>
        <v>https://zfin.org/ZDB-GENE-050626-97</v>
      </c>
      <c r="J734" t="s">
        <v>2192</v>
      </c>
    </row>
    <row r="735" spans="1:10" x14ac:dyDescent="0.2">
      <c r="A735">
        <v>1.57120605828424E-16</v>
      </c>
      <c r="B735">
        <v>-0.39632692947707698</v>
      </c>
      <c r="C735">
        <v>1</v>
      </c>
      <c r="D735">
        <v>0.98499999999999999</v>
      </c>
      <c r="E735">
        <v>2.1836621798034302E-12</v>
      </c>
      <c r="F735">
        <v>1</v>
      </c>
      <c r="G735" t="s">
        <v>2193</v>
      </c>
      <c r="H735" t="s">
        <v>2194</v>
      </c>
      <c r="I735" t="str">
        <f>HYPERLINK("https://zfin.org/ZDB-GENE-040426-1718")</f>
        <v>https://zfin.org/ZDB-GENE-040426-1718</v>
      </c>
      <c r="J735" t="s">
        <v>2195</v>
      </c>
    </row>
    <row r="736" spans="1:10" x14ac:dyDescent="0.2">
      <c r="A736">
        <v>1.7569255668355599E-16</v>
      </c>
      <c r="B736">
        <v>-0.48667163745175901</v>
      </c>
      <c r="C736">
        <v>0.95699999999999996</v>
      </c>
      <c r="D736">
        <v>0.91400000000000003</v>
      </c>
      <c r="E736">
        <v>2.4417751527880601E-12</v>
      </c>
      <c r="F736">
        <v>1</v>
      </c>
      <c r="G736" t="s">
        <v>2196</v>
      </c>
      <c r="H736" t="s">
        <v>2197</v>
      </c>
      <c r="I736" t="str">
        <f>HYPERLINK("https://zfin.org/ZDB-GENE-030131-8606")</f>
        <v>https://zfin.org/ZDB-GENE-030131-8606</v>
      </c>
      <c r="J736" t="s">
        <v>2198</v>
      </c>
    </row>
    <row r="737" spans="1:10" x14ac:dyDescent="0.2">
      <c r="A737">
        <v>1.9919899835804201E-16</v>
      </c>
      <c r="B737">
        <v>0.42252641730090501</v>
      </c>
      <c r="C737">
        <v>0.92100000000000004</v>
      </c>
      <c r="D737">
        <v>0.48</v>
      </c>
      <c r="E737">
        <v>2.7684676791800701E-12</v>
      </c>
      <c r="F737">
        <v>1</v>
      </c>
      <c r="G737" t="s">
        <v>2199</v>
      </c>
      <c r="H737" t="s">
        <v>2200</v>
      </c>
      <c r="I737" t="str">
        <f>HYPERLINK("https://zfin.org/ZDB-GENE-051030-93")</f>
        <v>https://zfin.org/ZDB-GENE-051030-93</v>
      </c>
      <c r="J737" t="s">
        <v>2201</v>
      </c>
    </row>
    <row r="738" spans="1:10" x14ac:dyDescent="0.2">
      <c r="A738">
        <v>2.6537241405427398E-16</v>
      </c>
      <c r="B738">
        <v>-0.42767785963601501</v>
      </c>
      <c r="C738">
        <v>0.99299999999999999</v>
      </c>
      <c r="D738">
        <v>0.96399999999999997</v>
      </c>
      <c r="E738">
        <v>3.6881458105262996E-12</v>
      </c>
      <c r="F738">
        <v>1</v>
      </c>
      <c r="G738" t="s">
        <v>2202</v>
      </c>
      <c r="H738" t="s">
        <v>2203</v>
      </c>
      <c r="I738" t="str">
        <f>HYPERLINK("https://zfin.org/ZDB-GENE-020419-20")</f>
        <v>https://zfin.org/ZDB-GENE-020419-20</v>
      </c>
      <c r="J738" t="s">
        <v>2204</v>
      </c>
    </row>
    <row r="739" spans="1:10" x14ac:dyDescent="0.2">
      <c r="A739">
        <v>3.2489156870023102E-16</v>
      </c>
      <c r="B739">
        <v>-1.1115283444953299</v>
      </c>
      <c r="C739">
        <v>0.32900000000000001</v>
      </c>
      <c r="D739">
        <v>0.55600000000000005</v>
      </c>
      <c r="E739">
        <v>4.5153430217958102E-12</v>
      </c>
      <c r="F739">
        <v>1</v>
      </c>
      <c r="G739" t="s">
        <v>2205</v>
      </c>
      <c r="H739" t="s">
        <v>2206</v>
      </c>
      <c r="I739" t="str">
        <f>HYPERLINK("https://zfin.org/ZDB-GENE-120215-258")</f>
        <v>https://zfin.org/ZDB-GENE-120215-258</v>
      </c>
      <c r="J739" t="s">
        <v>2207</v>
      </c>
    </row>
    <row r="740" spans="1:10" x14ac:dyDescent="0.2">
      <c r="A740">
        <v>3.2583956396493202E-16</v>
      </c>
      <c r="B740">
        <v>0.266952203422817</v>
      </c>
      <c r="C740">
        <v>0.41399999999999998</v>
      </c>
      <c r="D740">
        <v>0.13400000000000001</v>
      </c>
      <c r="E740">
        <v>4.5285182599846197E-12</v>
      </c>
      <c r="F740">
        <v>1</v>
      </c>
      <c r="G740" t="s">
        <v>2208</v>
      </c>
      <c r="H740" t="s">
        <v>2209</v>
      </c>
      <c r="I740" t="str">
        <f>HYPERLINK("https://zfin.org/ZDB-GENE-041114-95")</f>
        <v>https://zfin.org/ZDB-GENE-041114-95</v>
      </c>
      <c r="J740" t="s">
        <v>2210</v>
      </c>
    </row>
    <row r="741" spans="1:10" x14ac:dyDescent="0.2">
      <c r="A741">
        <v>3.4065873259086901E-16</v>
      </c>
      <c r="B741">
        <v>-0.360075232270271</v>
      </c>
      <c r="C741">
        <v>1</v>
      </c>
      <c r="D741">
        <v>0.98799999999999999</v>
      </c>
      <c r="E741">
        <v>4.7344750655479003E-12</v>
      </c>
      <c r="F741">
        <v>1</v>
      </c>
      <c r="G741" t="s">
        <v>2211</v>
      </c>
      <c r="H741" t="s">
        <v>2212</v>
      </c>
      <c r="I741" t="str">
        <f>HYPERLINK("https://zfin.org/ZDB-GENE-040426-1071")</f>
        <v>https://zfin.org/ZDB-GENE-040426-1071</v>
      </c>
      <c r="J741" t="s">
        <v>2213</v>
      </c>
    </row>
    <row r="742" spans="1:10" x14ac:dyDescent="0.2">
      <c r="A742">
        <v>3.7187927450243601E-16</v>
      </c>
      <c r="B742">
        <v>0.41460676085334802</v>
      </c>
      <c r="C742">
        <v>0.96399999999999997</v>
      </c>
      <c r="D742">
        <v>0.621</v>
      </c>
      <c r="E742">
        <v>5.1683781570348504E-12</v>
      </c>
      <c r="F742">
        <v>1</v>
      </c>
      <c r="G742" t="s">
        <v>2214</v>
      </c>
      <c r="H742" t="s">
        <v>2215</v>
      </c>
      <c r="I742" t="str">
        <f>HYPERLINK("https://zfin.org/ZDB-GENE-040426-1916")</f>
        <v>https://zfin.org/ZDB-GENE-040426-1916</v>
      </c>
      <c r="J742" t="s">
        <v>2216</v>
      </c>
    </row>
    <row r="743" spans="1:10" x14ac:dyDescent="0.2">
      <c r="A743">
        <v>3.73167786453425E-16</v>
      </c>
      <c r="B743">
        <v>0.38571529051278802</v>
      </c>
      <c r="C743">
        <v>0.81399999999999995</v>
      </c>
      <c r="D743">
        <v>0.37</v>
      </c>
      <c r="E743">
        <v>5.1862858961297101E-12</v>
      </c>
      <c r="F743">
        <v>1</v>
      </c>
      <c r="G743" t="s">
        <v>2217</v>
      </c>
      <c r="H743" t="s">
        <v>2218</v>
      </c>
      <c r="I743" t="str">
        <f>HYPERLINK("https://zfin.org/ZDB-GENE-030131-5234")</f>
        <v>https://zfin.org/ZDB-GENE-030131-5234</v>
      </c>
      <c r="J743" t="s">
        <v>2219</v>
      </c>
    </row>
    <row r="744" spans="1:10" x14ac:dyDescent="0.2">
      <c r="A744">
        <v>3.7352955023211602E-16</v>
      </c>
      <c r="B744">
        <v>0.25456188471339303</v>
      </c>
      <c r="C744">
        <v>0.24299999999999999</v>
      </c>
      <c r="D744">
        <v>5.8999999999999997E-2</v>
      </c>
      <c r="E744">
        <v>5.19131368912595E-12</v>
      </c>
      <c r="F744">
        <v>1</v>
      </c>
      <c r="G744" t="s">
        <v>2220</v>
      </c>
      <c r="H744" t="s">
        <v>2221</v>
      </c>
      <c r="I744" t="str">
        <f>HYPERLINK("https://zfin.org/ZDB-GENE-030131-2081")</f>
        <v>https://zfin.org/ZDB-GENE-030131-2081</v>
      </c>
      <c r="J744" t="s">
        <v>2222</v>
      </c>
    </row>
    <row r="745" spans="1:10" x14ac:dyDescent="0.2">
      <c r="A745">
        <v>4.1288568530102102E-16</v>
      </c>
      <c r="B745">
        <v>0.38371592330334697</v>
      </c>
      <c r="C745">
        <v>0.94299999999999995</v>
      </c>
      <c r="D745">
        <v>0.496</v>
      </c>
      <c r="E745">
        <v>5.73828525431359E-12</v>
      </c>
      <c r="F745">
        <v>1</v>
      </c>
      <c r="G745" t="s">
        <v>2223</v>
      </c>
      <c r="H745" t="s">
        <v>2224</v>
      </c>
      <c r="I745" t="str">
        <f>HYPERLINK("https://zfin.org/ZDB-GENE-040426-1886")</f>
        <v>https://zfin.org/ZDB-GENE-040426-1886</v>
      </c>
      <c r="J745" t="s">
        <v>2225</v>
      </c>
    </row>
    <row r="746" spans="1:10" x14ac:dyDescent="0.2">
      <c r="A746">
        <v>4.79566129290253E-16</v>
      </c>
      <c r="B746">
        <v>0.372068546628749</v>
      </c>
      <c r="C746">
        <v>1</v>
      </c>
      <c r="D746">
        <v>0.81200000000000006</v>
      </c>
      <c r="E746">
        <v>6.6650100648759399E-12</v>
      </c>
      <c r="F746">
        <v>1</v>
      </c>
      <c r="G746" t="s">
        <v>2226</v>
      </c>
      <c r="H746" t="s">
        <v>2227</v>
      </c>
      <c r="I746" t="str">
        <f>HYPERLINK("https://zfin.org/ZDB-GENE-000329-3")</f>
        <v>https://zfin.org/ZDB-GENE-000329-3</v>
      </c>
      <c r="J746" t="s">
        <v>2228</v>
      </c>
    </row>
    <row r="747" spans="1:10" x14ac:dyDescent="0.2">
      <c r="A747">
        <v>5.7399234865629196E-16</v>
      </c>
      <c r="B747">
        <v>0.40404211247442801</v>
      </c>
      <c r="C747">
        <v>0.78600000000000003</v>
      </c>
      <c r="D747">
        <v>0.378</v>
      </c>
      <c r="E747">
        <v>7.9773456616251402E-12</v>
      </c>
      <c r="F747">
        <v>1</v>
      </c>
      <c r="G747" t="s">
        <v>2229</v>
      </c>
      <c r="H747" t="s">
        <v>2230</v>
      </c>
      <c r="I747" t="str">
        <f>HYPERLINK("https://zfin.org/ZDB-GENE-030131-4437")</f>
        <v>https://zfin.org/ZDB-GENE-030131-4437</v>
      </c>
      <c r="J747" t="s">
        <v>2231</v>
      </c>
    </row>
    <row r="748" spans="1:10" x14ac:dyDescent="0.2">
      <c r="A748">
        <v>6.8739340485598495E-16</v>
      </c>
      <c r="B748">
        <v>-1.0902193921869601</v>
      </c>
      <c r="C748">
        <v>0.73599999999999999</v>
      </c>
      <c r="D748">
        <v>0.74299999999999999</v>
      </c>
      <c r="E748">
        <v>9.5533935406884807E-12</v>
      </c>
      <c r="F748">
        <v>1</v>
      </c>
      <c r="G748" t="s">
        <v>2232</v>
      </c>
      <c r="H748" t="s">
        <v>2233</v>
      </c>
      <c r="I748" t="str">
        <f>HYPERLINK("https://zfin.org/ZDB-GENE-030131-8575")</f>
        <v>https://zfin.org/ZDB-GENE-030131-8575</v>
      </c>
      <c r="J748" t="s">
        <v>2234</v>
      </c>
    </row>
    <row r="749" spans="1:10" x14ac:dyDescent="0.2">
      <c r="A749">
        <v>8.2125061983512597E-16</v>
      </c>
      <c r="B749">
        <v>0.30388281704409897</v>
      </c>
      <c r="C749">
        <v>0.74299999999999999</v>
      </c>
      <c r="D749">
        <v>0.314</v>
      </c>
      <c r="E749">
        <v>1.1413741114468599E-11</v>
      </c>
      <c r="F749">
        <v>1</v>
      </c>
      <c r="G749" t="s">
        <v>2235</v>
      </c>
      <c r="H749" t="s">
        <v>2236</v>
      </c>
      <c r="I749" t="str">
        <f>HYPERLINK("https://zfin.org/ZDB-GENE-050417-274")</f>
        <v>https://zfin.org/ZDB-GENE-050417-274</v>
      </c>
      <c r="J749" t="s">
        <v>2237</v>
      </c>
    </row>
    <row r="750" spans="1:10" x14ac:dyDescent="0.2">
      <c r="A750">
        <v>1.0904699945200599E-15</v>
      </c>
      <c r="B750">
        <v>0.27578925653809699</v>
      </c>
      <c r="C750">
        <v>0.7</v>
      </c>
      <c r="D750">
        <v>0.28000000000000003</v>
      </c>
      <c r="E750">
        <v>1.51553519838397E-11</v>
      </c>
      <c r="F750">
        <v>1</v>
      </c>
      <c r="G750" t="s">
        <v>2238</v>
      </c>
      <c r="H750" t="s">
        <v>2239</v>
      </c>
      <c r="I750" t="str">
        <f>HYPERLINK("https://zfin.org/ZDB-GENE-020419-7")</f>
        <v>https://zfin.org/ZDB-GENE-020419-7</v>
      </c>
      <c r="J750" t="s">
        <v>2240</v>
      </c>
    </row>
    <row r="751" spans="1:10" x14ac:dyDescent="0.2">
      <c r="A751">
        <v>1.32528938474709E-15</v>
      </c>
      <c r="B751">
        <v>0.273469324067731</v>
      </c>
      <c r="C751">
        <v>0.53600000000000003</v>
      </c>
      <c r="D751">
        <v>0.19700000000000001</v>
      </c>
      <c r="E751">
        <v>1.8418871869215001E-11</v>
      </c>
      <c r="F751">
        <v>1</v>
      </c>
      <c r="G751" t="s">
        <v>2241</v>
      </c>
      <c r="H751" t="s">
        <v>2242</v>
      </c>
      <c r="I751" t="str">
        <f>HYPERLINK("https://zfin.org/ZDB-GENE-030131-5606")</f>
        <v>https://zfin.org/ZDB-GENE-030131-5606</v>
      </c>
      <c r="J751" t="s">
        <v>2243</v>
      </c>
    </row>
    <row r="752" spans="1:10" x14ac:dyDescent="0.2">
      <c r="A752">
        <v>1.6331913878107299E-15</v>
      </c>
      <c r="B752">
        <v>0.36533979375131997</v>
      </c>
      <c r="C752">
        <v>0.98599999999999999</v>
      </c>
      <c r="D752">
        <v>0.82599999999999996</v>
      </c>
      <c r="E752">
        <v>2.26980939077935E-11</v>
      </c>
      <c r="F752">
        <v>1</v>
      </c>
      <c r="G752" t="s">
        <v>2244</v>
      </c>
      <c r="H752" t="s">
        <v>2245</v>
      </c>
      <c r="I752" t="str">
        <f>HYPERLINK("https://zfin.org/ZDB-GENE-020814-1")</f>
        <v>https://zfin.org/ZDB-GENE-020814-1</v>
      </c>
      <c r="J752" t="s">
        <v>2246</v>
      </c>
    </row>
    <row r="753" spans="1:10" x14ac:dyDescent="0.2">
      <c r="A753">
        <v>1.7621518539535599E-15</v>
      </c>
      <c r="B753">
        <v>0.390943386310182</v>
      </c>
      <c r="C753">
        <v>0.879</v>
      </c>
      <c r="D753">
        <v>0.48299999999999998</v>
      </c>
      <c r="E753">
        <v>2.4490386466246599E-11</v>
      </c>
      <c r="F753">
        <v>1</v>
      </c>
      <c r="G753" t="s">
        <v>2247</v>
      </c>
      <c r="H753" t="s">
        <v>2248</v>
      </c>
      <c r="I753" t="str">
        <f>HYPERLINK("https://zfin.org/ZDB-GENE-030131-337")</f>
        <v>https://zfin.org/ZDB-GENE-030131-337</v>
      </c>
      <c r="J753" t="s">
        <v>2249</v>
      </c>
    </row>
    <row r="754" spans="1:10" x14ac:dyDescent="0.2">
      <c r="A754">
        <v>3.3845690141774002E-15</v>
      </c>
      <c r="B754">
        <v>-0.417435347756069</v>
      </c>
      <c r="C754">
        <v>0.98599999999999999</v>
      </c>
      <c r="D754">
        <v>0.97699999999999998</v>
      </c>
      <c r="E754">
        <v>4.7038740159037502E-11</v>
      </c>
      <c r="F754">
        <v>1</v>
      </c>
      <c r="G754" t="s">
        <v>2250</v>
      </c>
      <c r="H754" t="s">
        <v>2251</v>
      </c>
      <c r="I754" t="str">
        <f>HYPERLINK("https://zfin.org/ZDB-GENE-030131-8654")</f>
        <v>https://zfin.org/ZDB-GENE-030131-8654</v>
      </c>
      <c r="J754" t="s">
        <v>2252</v>
      </c>
    </row>
    <row r="755" spans="1:10" x14ac:dyDescent="0.2">
      <c r="A755">
        <v>3.5162825763221202E-15</v>
      </c>
      <c r="B755">
        <v>-1.02737679932974</v>
      </c>
      <c r="C755">
        <v>0.40699999999999997</v>
      </c>
      <c r="D755">
        <v>0.59499999999999997</v>
      </c>
      <c r="E755">
        <v>4.8869295245724898E-11</v>
      </c>
      <c r="F755">
        <v>1</v>
      </c>
      <c r="G755" t="s">
        <v>2253</v>
      </c>
      <c r="H755" t="s">
        <v>2254</v>
      </c>
      <c r="I755" t="str">
        <f>HYPERLINK("https://zfin.org/ZDB-GENE-030131-9914")</f>
        <v>https://zfin.org/ZDB-GENE-030131-9914</v>
      </c>
      <c r="J755" t="s">
        <v>2255</v>
      </c>
    </row>
    <row r="756" spans="1:10" x14ac:dyDescent="0.2">
      <c r="A756">
        <v>3.7494744423296898E-15</v>
      </c>
      <c r="B756">
        <v>-0.53534418429281905</v>
      </c>
      <c r="C756">
        <v>0.89300000000000002</v>
      </c>
      <c r="D756">
        <v>0.84399999999999997</v>
      </c>
      <c r="E756">
        <v>5.2110195799498003E-11</v>
      </c>
      <c r="F756">
        <v>1</v>
      </c>
      <c r="G756" t="s">
        <v>2256</v>
      </c>
      <c r="H756" t="s">
        <v>2257</v>
      </c>
      <c r="I756" t="str">
        <f>HYPERLINK("https://zfin.org/ZDB-GENE-030131-7479")</f>
        <v>https://zfin.org/ZDB-GENE-030131-7479</v>
      </c>
      <c r="J756" t="s">
        <v>2258</v>
      </c>
    </row>
    <row r="757" spans="1:10" x14ac:dyDescent="0.2">
      <c r="A757">
        <v>3.9280995527851998E-15</v>
      </c>
      <c r="B757">
        <v>-1.7001536297553901</v>
      </c>
      <c r="C757">
        <v>0.95</v>
      </c>
      <c r="D757">
        <v>0.88800000000000001</v>
      </c>
      <c r="E757">
        <v>5.4592727584608702E-11</v>
      </c>
      <c r="F757">
        <v>1</v>
      </c>
      <c r="G757" t="s">
        <v>2259</v>
      </c>
      <c r="H757" t="s">
        <v>2260</v>
      </c>
      <c r="I757" t="str">
        <f>HYPERLINK("https://zfin.org/ZDB-GENE-121214-193")</f>
        <v>https://zfin.org/ZDB-GENE-121214-193</v>
      </c>
      <c r="J757" t="s">
        <v>2261</v>
      </c>
    </row>
    <row r="758" spans="1:10" x14ac:dyDescent="0.2">
      <c r="A758">
        <v>4.0122866410358803E-15</v>
      </c>
      <c r="B758">
        <v>-1.2853234632497601</v>
      </c>
      <c r="C758">
        <v>0.23599999999999999</v>
      </c>
      <c r="D758">
        <v>0.503</v>
      </c>
      <c r="E758">
        <v>5.5762759737116702E-11</v>
      </c>
      <c r="F758">
        <v>1</v>
      </c>
      <c r="G758" t="s">
        <v>2262</v>
      </c>
      <c r="H758" t="s">
        <v>2263</v>
      </c>
      <c r="I758" t="str">
        <f>HYPERLINK("https://zfin.org/ZDB-GENE-030131-2159")</f>
        <v>https://zfin.org/ZDB-GENE-030131-2159</v>
      </c>
      <c r="J758" t="s">
        <v>2264</v>
      </c>
    </row>
    <row r="759" spans="1:10" x14ac:dyDescent="0.2">
      <c r="A759">
        <v>4.5614827298340501E-15</v>
      </c>
      <c r="B759">
        <v>0.36507204519977798</v>
      </c>
      <c r="C759">
        <v>0.97899999999999998</v>
      </c>
      <c r="D759">
        <v>0.77600000000000002</v>
      </c>
      <c r="E759">
        <v>6.3395486979233703E-11</v>
      </c>
      <c r="F759">
        <v>1</v>
      </c>
      <c r="G759" t="s">
        <v>2265</v>
      </c>
      <c r="H759" t="s">
        <v>2266</v>
      </c>
      <c r="I759" t="str">
        <f>HYPERLINK("https://zfin.org/ZDB-GENE-020731-4")</f>
        <v>https://zfin.org/ZDB-GENE-020731-4</v>
      </c>
      <c r="J759" t="s">
        <v>2267</v>
      </c>
    </row>
    <row r="760" spans="1:10" x14ac:dyDescent="0.2">
      <c r="A760">
        <v>5.0331860078540198E-15</v>
      </c>
      <c r="B760">
        <v>0.37681523226112101</v>
      </c>
      <c r="C760">
        <v>0.85</v>
      </c>
      <c r="D760">
        <v>0.41599999999999998</v>
      </c>
      <c r="E760">
        <v>6.9951219137155206E-11</v>
      </c>
      <c r="F760">
        <v>1</v>
      </c>
      <c r="G760" t="s">
        <v>2268</v>
      </c>
      <c r="H760" t="s">
        <v>2269</v>
      </c>
      <c r="I760" t="str">
        <f>HYPERLINK("https://zfin.org/ZDB-GENE-060503-941")</f>
        <v>https://zfin.org/ZDB-GENE-060503-941</v>
      </c>
      <c r="J760" t="s">
        <v>2270</v>
      </c>
    </row>
    <row r="761" spans="1:10" x14ac:dyDescent="0.2">
      <c r="A761">
        <v>7.3823514092557495E-15</v>
      </c>
      <c r="B761">
        <v>-0.44296948524669499</v>
      </c>
      <c r="C761">
        <v>0.97899999999999998</v>
      </c>
      <c r="D761">
        <v>0.93300000000000005</v>
      </c>
      <c r="E761">
        <v>1.02599919885836E-10</v>
      </c>
      <c r="F761">
        <v>1</v>
      </c>
      <c r="G761" t="s">
        <v>2271</v>
      </c>
      <c r="H761" t="s">
        <v>2272</v>
      </c>
      <c r="I761" t="str">
        <f>HYPERLINK("https://zfin.org/ZDB-GENE-030131-8585")</f>
        <v>https://zfin.org/ZDB-GENE-030131-8585</v>
      </c>
      <c r="J761" t="s">
        <v>2273</v>
      </c>
    </row>
    <row r="762" spans="1:10" x14ac:dyDescent="0.2">
      <c r="A762">
        <v>1.34324253839045E-14</v>
      </c>
      <c r="B762">
        <v>-1.05616822881537</v>
      </c>
      <c r="C762">
        <v>0.114</v>
      </c>
      <c r="D762">
        <v>0.41299999999999998</v>
      </c>
      <c r="E762">
        <v>1.8668384798550399E-10</v>
      </c>
      <c r="F762">
        <v>1</v>
      </c>
      <c r="G762" t="s">
        <v>2274</v>
      </c>
      <c r="H762" t="s">
        <v>2275</v>
      </c>
      <c r="I762" t="str">
        <f>HYPERLINK("https://zfin.org/ZDB-GENE-041114-138")</f>
        <v>https://zfin.org/ZDB-GENE-041114-138</v>
      </c>
      <c r="J762" t="s">
        <v>2276</v>
      </c>
    </row>
    <row r="763" spans="1:10" x14ac:dyDescent="0.2">
      <c r="A763">
        <v>1.37073788250061E-14</v>
      </c>
      <c r="B763">
        <v>0.274976565157939</v>
      </c>
      <c r="C763">
        <v>0.68600000000000005</v>
      </c>
      <c r="D763">
        <v>0.28100000000000003</v>
      </c>
      <c r="E763">
        <v>1.9050515090993499E-10</v>
      </c>
      <c r="F763">
        <v>1</v>
      </c>
      <c r="G763" t="s">
        <v>2277</v>
      </c>
      <c r="H763" t="s">
        <v>2278</v>
      </c>
      <c r="I763" t="str">
        <f>HYPERLINK("https://zfin.org/ZDB-GENE-050522-273")</f>
        <v>https://zfin.org/ZDB-GENE-050522-273</v>
      </c>
      <c r="J763" t="s">
        <v>2279</v>
      </c>
    </row>
    <row r="764" spans="1:10" x14ac:dyDescent="0.2">
      <c r="A764">
        <v>1.4865527531686799E-14</v>
      </c>
      <c r="B764">
        <v>-1.1059176632115399</v>
      </c>
      <c r="C764">
        <v>0.32900000000000001</v>
      </c>
      <c r="D764">
        <v>0.54300000000000004</v>
      </c>
      <c r="E764">
        <v>2.0660110163538299E-10</v>
      </c>
      <c r="F764">
        <v>1</v>
      </c>
      <c r="G764" t="s">
        <v>2280</v>
      </c>
      <c r="H764" t="s">
        <v>2281</v>
      </c>
      <c r="I764" t="str">
        <f>HYPERLINK("https://zfin.org/ZDB-GENE-080723-23")</f>
        <v>https://zfin.org/ZDB-GENE-080723-23</v>
      </c>
      <c r="J764" t="s">
        <v>2282</v>
      </c>
    </row>
    <row r="765" spans="1:10" x14ac:dyDescent="0.2">
      <c r="A765">
        <v>1.7250135090905999E-14</v>
      </c>
      <c r="B765">
        <v>0.25270715342271399</v>
      </c>
      <c r="C765">
        <v>0.45</v>
      </c>
      <c r="D765">
        <v>0.161</v>
      </c>
      <c r="E765">
        <v>2.3974237749341201E-10</v>
      </c>
      <c r="F765">
        <v>1</v>
      </c>
      <c r="G765" t="s">
        <v>2283</v>
      </c>
      <c r="H765" t="s">
        <v>2284</v>
      </c>
      <c r="I765" t="str">
        <f>HYPERLINK("https://zfin.org/ZDB-GENE-050522-240")</f>
        <v>https://zfin.org/ZDB-GENE-050522-240</v>
      </c>
      <c r="J765" t="s">
        <v>2285</v>
      </c>
    </row>
    <row r="766" spans="1:10" x14ac:dyDescent="0.2">
      <c r="A766">
        <v>1.7508309673368199E-14</v>
      </c>
      <c r="B766">
        <v>-0.40699782661165301</v>
      </c>
      <c r="C766">
        <v>0.99299999999999999</v>
      </c>
      <c r="D766">
        <v>0.96699999999999997</v>
      </c>
      <c r="E766">
        <v>2.4333048784047098E-10</v>
      </c>
      <c r="F766">
        <v>1</v>
      </c>
      <c r="G766" t="s">
        <v>2286</v>
      </c>
      <c r="H766" t="s">
        <v>2287</v>
      </c>
      <c r="I766" t="str">
        <f>HYPERLINK("https://zfin.org/ZDB-GENE-040622-5")</f>
        <v>https://zfin.org/ZDB-GENE-040622-5</v>
      </c>
      <c r="J766" t="s">
        <v>2288</v>
      </c>
    </row>
    <row r="767" spans="1:10" x14ac:dyDescent="0.2">
      <c r="A767">
        <v>1.7510894650628499E-14</v>
      </c>
      <c r="B767">
        <v>-1.1546322097991799</v>
      </c>
      <c r="C767">
        <v>0.25</v>
      </c>
      <c r="D767">
        <v>0.502</v>
      </c>
      <c r="E767">
        <v>2.43366413854435E-10</v>
      </c>
      <c r="F767">
        <v>1</v>
      </c>
      <c r="G767" t="s">
        <v>2289</v>
      </c>
      <c r="H767" t="s">
        <v>2290</v>
      </c>
      <c r="I767" t="str">
        <f>HYPERLINK("https://zfin.org/ZDB-GENE-030131-4678")</f>
        <v>https://zfin.org/ZDB-GENE-030131-4678</v>
      </c>
      <c r="J767" t="s">
        <v>2291</v>
      </c>
    </row>
    <row r="768" spans="1:10" x14ac:dyDescent="0.2">
      <c r="A768">
        <v>2.3551999218044601E-14</v>
      </c>
      <c r="B768">
        <v>0.25901381420111602</v>
      </c>
      <c r="C768">
        <v>0.60699999999999998</v>
      </c>
      <c r="D768">
        <v>0.24199999999999999</v>
      </c>
      <c r="E768">
        <v>3.2732568513238401E-10</v>
      </c>
      <c r="F768">
        <v>1</v>
      </c>
      <c r="G768" t="s">
        <v>2292</v>
      </c>
      <c r="H768" t="s">
        <v>2293</v>
      </c>
      <c r="I768" t="str">
        <f>HYPERLINK("https://zfin.org/ZDB-GENE-040718-185")</f>
        <v>https://zfin.org/ZDB-GENE-040718-185</v>
      </c>
      <c r="J768" t="s">
        <v>2294</v>
      </c>
    </row>
    <row r="769" spans="1:10" x14ac:dyDescent="0.2">
      <c r="A769">
        <v>4.9773495835727801E-14</v>
      </c>
      <c r="B769">
        <v>0.34328407021109297</v>
      </c>
      <c r="C769">
        <v>0.8</v>
      </c>
      <c r="D769">
        <v>0.378</v>
      </c>
      <c r="E769">
        <v>6.9175204512494597E-10</v>
      </c>
      <c r="F769">
        <v>1</v>
      </c>
      <c r="G769" t="s">
        <v>2295</v>
      </c>
      <c r="H769" t="s">
        <v>2296</v>
      </c>
      <c r="I769" t="str">
        <f>HYPERLINK("https://zfin.org/ZDB-GENE-050417-333")</f>
        <v>https://zfin.org/ZDB-GENE-050417-333</v>
      </c>
      <c r="J769" t="s">
        <v>2297</v>
      </c>
    </row>
    <row r="770" spans="1:10" x14ac:dyDescent="0.2">
      <c r="A770">
        <v>5.6212961293251201E-14</v>
      </c>
      <c r="B770">
        <v>-0.55402263317023903</v>
      </c>
      <c r="C770">
        <v>0.9</v>
      </c>
      <c r="D770">
        <v>0.84399999999999997</v>
      </c>
      <c r="E770">
        <v>7.8124773605360498E-10</v>
      </c>
      <c r="F770">
        <v>1</v>
      </c>
      <c r="G770" t="s">
        <v>2298</v>
      </c>
      <c r="H770" t="s">
        <v>2299</v>
      </c>
      <c r="I770" t="str">
        <f>HYPERLINK("https://zfin.org/ZDB-GENE-060331-121")</f>
        <v>https://zfin.org/ZDB-GENE-060331-121</v>
      </c>
      <c r="J770" t="s">
        <v>2300</v>
      </c>
    </row>
    <row r="771" spans="1:10" x14ac:dyDescent="0.2">
      <c r="A771">
        <v>6.1622383345567096E-14</v>
      </c>
      <c r="B771">
        <v>-0.78077489992450799</v>
      </c>
      <c r="C771">
        <v>0.65</v>
      </c>
      <c r="D771">
        <v>0.68200000000000005</v>
      </c>
      <c r="E771">
        <v>8.5642788373669202E-10</v>
      </c>
      <c r="F771">
        <v>1</v>
      </c>
      <c r="G771" t="s">
        <v>2301</v>
      </c>
      <c r="H771" t="s">
        <v>2302</v>
      </c>
      <c r="I771" t="str">
        <f>HYPERLINK("https://zfin.org/ZDB-GENE-030131-9134")</f>
        <v>https://zfin.org/ZDB-GENE-030131-9134</v>
      </c>
      <c r="J771" t="s">
        <v>2303</v>
      </c>
    </row>
    <row r="772" spans="1:10" x14ac:dyDescent="0.2">
      <c r="A772">
        <v>6.2551795306632601E-14</v>
      </c>
      <c r="B772">
        <v>-0.97537789686376097</v>
      </c>
      <c r="C772">
        <v>0.32100000000000001</v>
      </c>
      <c r="D772">
        <v>0.53100000000000003</v>
      </c>
      <c r="E772">
        <v>8.6934485117157996E-10</v>
      </c>
      <c r="F772">
        <v>1</v>
      </c>
      <c r="G772" t="s">
        <v>2304</v>
      </c>
      <c r="H772" t="s">
        <v>2305</v>
      </c>
      <c r="I772" t="str">
        <f>HYPERLINK("https://zfin.org/ZDB-GENE-160728-87")</f>
        <v>https://zfin.org/ZDB-GENE-160728-87</v>
      </c>
      <c r="J772" t="s">
        <v>2306</v>
      </c>
    </row>
    <row r="773" spans="1:10" x14ac:dyDescent="0.2">
      <c r="A773">
        <v>7.4548462485191797E-14</v>
      </c>
      <c r="B773">
        <v>-0.39955730172790199</v>
      </c>
      <c r="C773">
        <v>0.99299999999999999</v>
      </c>
      <c r="D773">
        <v>0.94899999999999995</v>
      </c>
      <c r="E773">
        <v>1.0360745316192001E-9</v>
      </c>
      <c r="F773">
        <v>1</v>
      </c>
      <c r="G773" t="s">
        <v>2307</v>
      </c>
      <c r="H773" t="s">
        <v>2308</v>
      </c>
      <c r="I773" t="str">
        <f>HYPERLINK("https://zfin.org/ZDB-GENE-040109-5")</f>
        <v>https://zfin.org/ZDB-GENE-040109-5</v>
      </c>
      <c r="J773" t="s">
        <v>2309</v>
      </c>
    </row>
    <row r="774" spans="1:10" x14ac:dyDescent="0.2">
      <c r="A774">
        <v>8.1779791649952698E-14</v>
      </c>
      <c r="B774">
        <v>0.388636443428373</v>
      </c>
      <c r="C774">
        <v>0.879</v>
      </c>
      <c r="D774">
        <v>0.46100000000000002</v>
      </c>
      <c r="E774">
        <v>1.1365755443510399E-9</v>
      </c>
      <c r="F774">
        <v>1</v>
      </c>
      <c r="G774" t="s">
        <v>2310</v>
      </c>
      <c r="H774" t="s">
        <v>2311</v>
      </c>
      <c r="I774" t="str">
        <f>HYPERLINK("https://zfin.org/ZDB-GENE-040625-168")</f>
        <v>https://zfin.org/ZDB-GENE-040625-168</v>
      </c>
      <c r="J774" t="s">
        <v>2312</v>
      </c>
    </row>
    <row r="775" spans="1:10" x14ac:dyDescent="0.2">
      <c r="A775">
        <v>8.3008795917758796E-14</v>
      </c>
      <c r="B775">
        <v>0.28227960761285698</v>
      </c>
      <c r="C775">
        <v>0.85</v>
      </c>
      <c r="D775">
        <v>0.39100000000000001</v>
      </c>
      <c r="E775">
        <v>1.15365624566501E-9</v>
      </c>
      <c r="F775">
        <v>1</v>
      </c>
      <c r="G775" t="s">
        <v>2313</v>
      </c>
      <c r="H775" t="s">
        <v>2314</v>
      </c>
      <c r="I775" t="str">
        <f>HYPERLINK("https://zfin.org/ZDB-GENE-050913-114")</f>
        <v>https://zfin.org/ZDB-GENE-050913-114</v>
      </c>
      <c r="J775" t="s">
        <v>2315</v>
      </c>
    </row>
    <row r="776" spans="1:10" x14ac:dyDescent="0.2">
      <c r="A776">
        <v>8.5545085418886498E-14</v>
      </c>
      <c r="B776">
        <v>-0.41640340279235</v>
      </c>
      <c r="C776">
        <v>0.99299999999999999</v>
      </c>
      <c r="D776">
        <v>0.93899999999999995</v>
      </c>
      <c r="E776">
        <v>1.1889055971516801E-9</v>
      </c>
      <c r="F776">
        <v>1</v>
      </c>
      <c r="G776" t="s">
        <v>2316</v>
      </c>
      <c r="H776" t="s">
        <v>2317</v>
      </c>
      <c r="I776" t="str">
        <f>HYPERLINK("https://zfin.org/ZDB-GENE-030131-10018")</f>
        <v>https://zfin.org/ZDB-GENE-030131-10018</v>
      </c>
      <c r="J776" t="s">
        <v>2318</v>
      </c>
    </row>
    <row r="777" spans="1:10" x14ac:dyDescent="0.2">
      <c r="A777">
        <v>1.37542099166336E-13</v>
      </c>
      <c r="B777">
        <v>-1.2298474953910801</v>
      </c>
      <c r="C777">
        <v>0.25</v>
      </c>
      <c r="D777">
        <v>0.49</v>
      </c>
      <c r="E777">
        <v>1.9115600942137401E-9</v>
      </c>
      <c r="F777">
        <v>1</v>
      </c>
      <c r="G777" t="s">
        <v>2319</v>
      </c>
      <c r="H777" t="s">
        <v>2320</v>
      </c>
      <c r="I777" t="str">
        <f>HYPERLINK("https://zfin.org/ZDB-GENE-041121-18")</f>
        <v>https://zfin.org/ZDB-GENE-041121-18</v>
      </c>
      <c r="J777" t="s">
        <v>2321</v>
      </c>
    </row>
    <row r="778" spans="1:10" x14ac:dyDescent="0.2">
      <c r="A778">
        <v>1.54957470831064E-13</v>
      </c>
      <c r="B778">
        <v>-1.0340625389447899</v>
      </c>
      <c r="C778">
        <v>0.214</v>
      </c>
      <c r="D778">
        <v>0.46200000000000002</v>
      </c>
      <c r="E778">
        <v>2.1535989296101201E-9</v>
      </c>
      <c r="F778">
        <v>1</v>
      </c>
      <c r="G778" t="s">
        <v>2322</v>
      </c>
      <c r="H778" t="s">
        <v>2323</v>
      </c>
      <c r="I778" t="str">
        <f>HYPERLINK("https://zfin.org/ZDB-GENE-040426-1362")</f>
        <v>https://zfin.org/ZDB-GENE-040426-1362</v>
      </c>
      <c r="J778" t="s">
        <v>2324</v>
      </c>
    </row>
    <row r="779" spans="1:10" x14ac:dyDescent="0.2">
      <c r="A779">
        <v>1.7566815787566801E-13</v>
      </c>
      <c r="B779">
        <v>-1.1124402964793201</v>
      </c>
      <c r="C779">
        <v>0.29299999999999998</v>
      </c>
      <c r="D779">
        <v>0.505</v>
      </c>
      <c r="E779">
        <v>2.44143605815603E-9</v>
      </c>
      <c r="F779">
        <v>1</v>
      </c>
      <c r="G779" t="s">
        <v>2325</v>
      </c>
      <c r="H779" t="s">
        <v>2326</v>
      </c>
      <c r="I779" t="str">
        <f>HYPERLINK("https://zfin.org/ZDB-GENE-060503-431")</f>
        <v>https://zfin.org/ZDB-GENE-060503-431</v>
      </c>
      <c r="J779" t="s">
        <v>2327</v>
      </c>
    </row>
    <row r="780" spans="1:10" x14ac:dyDescent="0.2">
      <c r="A780">
        <v>1.91247273758888E-13</v>
      </c>
      <c r="B780">
        <v>-1.28704190214873</v>
      </c>
      <c r="C780">
        <v>0.2</v>
      </c>
      <c r="D780">
        <v>0.45800000000000002</v>
      </c>
      <c r="E780">
        <v>2.6579546107010198E-9</v>
      </c>
      <c r="F780">
        <v>1</v>
      </c>
      <c r="G780" t="s">
        <v>2328</v>
      </c>
      <c r="H780" t="s">
        <v>2329</v>
      </c>
      <c r="I780" t="str">
        <f>HYPERLINK("https://zfin.org/ZDB-GENE-030707-2")</f>
        <v>https://zfin.org/ZDB-GENE-030707-2</v>
      </c>
      <c r="J780" t="s">
        <v>2330</v>
      </c>
    </row>
    <row r="781" spans="1:10" x14ac:dyDescent="0.2">
      <c r="A781">
        <v>2.0231311815928301E-13</v>
      </c>
      <c r="B781">
        <v>-0.36464019570131301</v>
      </c>
      <c r="C781">
        <v>1</v>
      </c>
      <c r="D781">
        <v>0.95099999999999996</v>
      </c>
      <c r="E781">
        <v>2.8117477161777102E-9</v>
      </c>
      <c r="F781">
        <v>1</v>
      </c>
      <c r="G781" t="s">
        <v>2331</v>
      </c>
      <c r="H781" t="s">
        <v>2332</v>
      </c>
      <c r="I781" t="str">
        <f>HYPERLINK("https://zfin.org/ZDB-GENE-040426-1700")</f>
        <v>https://zfin.org/ZDB-GENE-040426-1700</v>
      </c>
      <c r="J781" t="s">
        <v>2333</v>
      </c>
    </row>
    <row r="782" spans="1:10" x14ac:dyDescent="0.2">
      <c r="A782">
        <v>2.9220045728649201E-13</v>
      </c>
      <c r="B782">
        <v>-1.06927410079518</v>
      </c>
      <c r="C782">
        <v>0.35699999999999998</v>
      </c>
      <c r="D782">
        <v>0.53100000000000003</v>
      </c>
      <c r="E782">
        <v>4.0610019553676599E-9</v>
      </c>
      <c r="F782">
        <v>1</v>
      </c>
      <c r="G782" t="s">
        <v>2334</v>
      </c>
      <c r="H782" t="s">
        <v>2335</v>
      </c>
      <c r="I782" t="str">
        <f>HYPERLINK("https://zfin.org/ZDB-GENE-030131-6757")</f>
        <v>https://zfin.org/ZDB-GENE-030131-6757</v>
      </c>
      <c r="J782" t="s">
        <v>2336</v>
      </c>
    </row>
    <row r="783" spans="1:10" x14ac:dyDescent="0.2">
      <c r="A783">
        <v>3.5670130491611798E-13</v>
      </c>
      <c r="B783">
        <v>0.25412892773937001</v>
      </c>
      <c r="C783">
        <v>0.77900000000000003</v>
      </c>
      <c r="D783">
        <v>0.35099999999999998</v>
      </c>
      <c r="E783">
        <v>4.9574347357242099E-9</v>
      </c>
      <c r="F783">
        <v>1</v>
      </c>
      <c r="G783" t="s">
        <v>2337</v>
      </c>
      <c r="H783" t="s">
        <v>2338</v>
      </c>
      <c r="I783" t="str">
        <f>HYPERLINK("https://zfin.org/ZDB-GENE-040625-50")</f>
        <v>https://zfin.org/ZDB-GENE-040625-50</v>
      </c>
      <c r="J783" t="s">
        <v>2339</v>
      </c>
    </row>
    <row r="784" spans="1:10" x14ac:dyDescent="0.2">
      <c r="A784">
        <v>3.5712924669319902E-13</v>
      </c>
      <c r="B784">
        <v>0.30510392234938699</v>
      </c>
      <c r="C784">
        <v>0.50700000000000001</v>
      </c>
      <c r="D784">
        <v>0.20499999999999999</v>
      </c>
      <c r="E784">
        <v>4.9633822705420798E-9</v>
      </c>
      <c r="F784">
        <v>1</v>
      </c>
      <c r="G784" t="s">
        <v>2340</v>
      </c>
      <c r="H784" t="s">
        <v>2341</v>
      </c>
      <c r="I784" t="str">
        <f>HYPERLINK("https://zfin.org/ZDB-GENE-040426-1444")</f>
        <v>https://zfin.org/ZDB-GENE-040426-1444</v>
      </c>
      <c r="J784" t="s">
        <v>2342</v>
      </c>
    </row>
    <row r="785" spans="1:10" x14ac:dyDescent="0.2">
      <c r="A785">
        <v>3.62632741971801E-13</v>
      </c>
      <c r="B785">
        <v>0.373157478843544</v>
      </c>
      <c r="C785">
        <v>0.94299999999999995</v>
      </c>
      <c r="D785">
        <v>0.60499999999999998</v>
      </c>
      <c r="E785">
        <v>5.03986984792409E-9</v>
      </c>
      <c r="F785">
        <v>1</v>
      </c>
      <c r="G785" t="s">
        <v>2343</v>
      </c>
      <c r="H785" t="s">
        <v>2344</v>
      </c>
      <c r="I785" t="str">
        <f>HYPERLINK("https://zfin.org/ZDB-GENE-041010-33")</f>
        <v>https://zfin.org/ZDB-GENE-041010-33</v>
      </c>
      <c r="J785" t="s">
        <v>2345</v>
      </c>
    </row>
    <row r="786" spans="1:10" x14ac:dyDescent="0.2">
      <c r="A786">
        <v>3.8945692497095501E-13</v>
      </c>
      <c r="B786">
        <v>-0.42046955167514399</v>
      </c>
      <c r="C786">
        <v>0.99299999999999999</v>
      </c>
      <c r="D786">
        <v>0.92200000000000004</v>
      </c>
      <c r="E786">
        <v>5.41267234324633E-9</v>
      </c>
      <c r="F786">
        <v>1</v>
      </c>
      <c r="G786" t="s">
        <v>2346</v>
      </c>
      <c r="H786" t="s">
        <v>2347</v>
      </c>
      <c r="I786" t="str">
        <f>HYPERLINK("https://zfin.org/ZDB-GENE-040426-2701")</f>
        <v>https://zfin.org/ZDB-GENE-040426-2701</v>
      </c>
      <c r="J786" t="s">
        <v>2348</v>
      </c>
    </row>
    <row r="787" spans="1:10" x14ac:dyDescent="0.2">
      <c r="A787">
        <v>3.9417200232941898E-13</v>
      </c>
      <c r="B787">
        <v>-0.37091377922631602</v>
      </c>
      <c r="C787">
        <v>0.98599999999999999</v>
      </c>
      <c r="D787">
        <v>0.95399999999999996</v>
      </c>
      <c r="E787">
        <v>5.4782024883742597E-9</v>
      </c>
      <c r="F787">
        <v>1</v>
      </c>
      <c r="G787" t="s">
        <v>2349</v>
      </c>
      <c r="H787" t="s">
        <v>2350</v>
      </c>
      <c r="I787" t="str">
        <f>HYPERLINK("https://zfin.org/ZDB-GENE-030131-8656")</f>
        <v>https://zfin.org/ZDB-GENE-030131-8656</v>
      </c>
      <c r="J787" t="s">
        <v>2351</v>
      </c>
    </row>
    <row r="788" spans="1:10" x14ac:dyDescent="0.2">
      <c r="A788">
        <v>4.2040156479831098E-13</v>
      </c>
      <c r="B788">
        <v>-1.08010876432449</v>
      </c>
      <c r="C788">
        <v>0.4</v>
      </c>
      <c r="D788">
        <v>0.55600000000000005</v>
      </c>
      <c r="E788">
        <v>5.8427409475669201E-9</v>
      </c>
      <c r="F788">
        <v>1</v>
      </c>
      <c r="G788" t="s">
        <v>2352</v>
      </c>
      <c r="H788" t="s">
        <v>2353</v>
      </c>
      <c r="I788" t="str">
        <f>HYPERLINK("https://zfin.org/ZDB-GENE-051023-8")</f>
        <v>https://zfin.org/ZDB-GENE-051023-8</v>
      </c>
      <c r="J788" t="s">
        <v>2354</v>
      </c>
    </row>
    <row r="789" spans="1:10" x14ac:dyDescent="0.2">
      <c r="A789">
        <v>4.6275682102543303E-13</v>
      </c>
      <c r="B789">
        <v>-0.47204672588373198</v>
      </c>
      <c r="C789">
        <v>0.93600000000000005</v>
      </c>
      <c r="D789">
        <v>0.88400000000000001</v>
      </c>
      <c r="E789">
        <v>6.4313942986114597E-9</v>
      </c>
      <c r="F789">
        <v>1</v>
      </c>
      <c r="G789" t="s">
        <v>2355</v>
      </c>
      <c r="H789" t="s">
        <v>2356</v>
      </c>
      <c r="I789" t="str">
        <f>HYPERLINK("https://zfin.org/ZDB-GENE-040426-1788")</f>
        <v>https://zfin.org/ZDB-GENE-040426-1788</v>
      </c>
      <c r="J789" t="s">
        <v>2357</v>
      </c>
    </row>
    <row r="790" spans="1:10" x14ac:dyDescent="0.2">
      <c r="A790">
        <v>6.0800712645948598E-13</v>
      </c>
      <c r="B790">
        <v>0.27123320750415197</v>
      </c>
      <c r="C790">
        <v>0.65700000000000003</v>
      </c>
      <c r="D790">
        <v>0.28599999999999998</v>
      </c>
      <c r="E790">
        <v>8.4500830435339295E-9</v>
      </c>
      <c r="F790">
        <v>1</v>
      </c>
      <c r="G790" t="s">
        <v>2358</v>
      </c>
      <c r="H790" t="s">
        <v>2359</v>
      </c>
      <c r="I790" t="str">
        <f>HYPERLINK("https://zfin.org/ZDB-GENE-020326-1")</f>
        <v>https://zfin.org/ZDB-GENE-020326-1</v>
      </c>
      <c r="J790" t="s">
        <v>2360</v>
      </c>
    </row>
    <row r="791" spans="1:10" x14ac:dyDescent="0.2">
      <c r="A791">
        <v>7.4944252611732595E-13</v>
      </c>
      <c r="B791">
        <v>-0.36055077935837998</v>
      </c>
      <c r="C791">
        <v>1</v>
      </c>
      <c r="D791">
        <v>0.97399999999999998</v>
      </c>
      <c r="E791">
        <v>1.0415752227978599E-8</v>
      </c>
      <c r="F791">
        <v>1</v>
      </c>
      <c r="G791" t="s">
        <v>2361</v>
      </c>
      <c r="H791" t="s">
        <v>2362</v>
      </c>
      <c r="I791" t="str">
        <f>HYPERLINK("https://zfin.org/ZDB-GENE-040801-183")</f>
        <v>https://zfin.org/ZDB-GENE-040801-183</v>
      </c>
      <c r="J791" t="s">
        <v>2363</v>
      </c>
    </row>
    <row r="792" spans="1:10" x14ac:dyDescent="0.2">
      <c r="A792">
        <v>8.4834647562374002E-13</v>
      </c>
      <c r="B792">
        <v>-0.85746574895765604</v>
      </c>
      <c r="C792">
        <v>0.59299999999999997</v>
      </c>
      <c r="D792">
        <v>0.64300000000000002</v>
      </c>
      <c r="E792">
        <v>1.17903193182187E-8</v>
      </c>
      <c r="F792">
        <v>1</v>
      </c>
      <c r="G792" t="s">
        <v>2364</v>
      </c>
      <c r="H792" t="s">
        <v>2365</v>
      </c>
      <c r="I792" t="str">
        <f>HYPERLINK("https://zfin.org/ZDB-GENE-080204-124")</f>
        <v>https://zfin.org/ZDB-GENE-080204-124</v>
      </c>
      <c r="J792" t="s">
        <v>2366</v>
      </c>
    </row>
    <row r="793" spans="1:10" x14ac:dyDescent="0.2">
      <c r="A793">
        <v>1.0789975836066599E-12</v>
      </c>
      <c r="B793">
        <v>-0.379846680071942</v>
      </c>
      <c r="C793">
        <v>0.97099999999999997</v>
      </c>
      <c r="D793">
        <v>0.94199999999999995</v>
      </c>
      <c r="E793">
        <v>1.49959084169654E-8</v>
      </c>
      <c r="F793">
        <v>1</v>
      </c>
      <c r="G793" t="s">
        <v>2367</v>
      </c>
      <c r="H793" t="s">
        <v>2368</v>
      </c>
      <c r="I793" t="str">
        <f>HYPERLINK("https://zfin.org/ZDB-GENE-030131-8512")</f>
        <v>https://zfin.org/ZDB-GENE-030131-8512</v>
      </c>
      <c r="J793" t="s">
        <v>2369</v>
      </c>
    </row>
    <row r="794" spans="1:10" x14ac:dyDescent="0.2">
      <c r="A794">
        <v>1.8763135312228302E-12</v>
      </c>
      <c r="B794">
        <v>-0.34008934431836602</v>
      </c>
      <c r="C794">
        <v>0.99299999999999999</v>
      </c>
      <c r="D794">
        <v>0.96299999999999997</v>
      </c>
      <c r="E794">
        <v>2.6077005456934899E-8</v>
      </c>
      <c r="F794">
        <v>1</v>
      </c>
      <c r="G794" t="s">
        <v>2370</v>
      </c>
      <c r="H794" t="s">
        <v>2371</v>
      </c>
      <c r="I794" t="str">
        <f>HYPERLINK("https://zfin.org/ZDB-GENE-030131-9092")</f>
        <v>https://zfin.org/ZDB-GENE-030131-9092</v>
      </c>
      <c r="J794" t="s">
        <v>2372</v>
      </c>
    </row>
    <row r="795" spans="1:10" x14ac:dyDescent="0.2">
      <c r="A795">
        <v>2.0182528646701199E-12</v>
      </c>
      <c r="B795">
        <v>-0.42767144664985501</v>
      </c>
      <c r="C795">
        <v>0.92900000000000005</v>
      </c>
      <c r="D795">
        <v>0.89300000000000002</v>
      </c>
      <c r="E795">
        <v>2.8049678313185399E-8</v>
      </c>
      <c r="F795">
        <v>1</v>
      </c>
      <c r="G795" t="s">
        <v>2373</v>
      </c>
      <c r="H795" t="s">
        <v>2374</v>
      </c>
      <c r="I795" t="str">
        <f>HYPERLINK("https://zfin.org/ZDB-GENE-030131-8494")</f>
        <v>https://zfin.org/ZDB-GENE-030131-8494</v>
      </c>
      <c r="J795" t="s">
        <v>2375</v>
      </c>
    </row>
    <row r="796" spans="1:10" x14ac:dyDescent="0.2">
      <c r="A796">
        <v>3.0583559046001602E-12</v>
      </c>
      <c r="B796">
        <v>-0.46143203407984101</v>
      </c>
      <c r="C796">
        <v>0.93600000000000005</v>
      </c>
      <c r="D796">
        <v>0.85299999999999998</v>
      </c>
      <c r="E796">
        <v>4.25050303621331E-8</v>
      </c>
      <c r="F796">
        <v>1</v>
      </c>
      <c r="G796" t="s">
        <v>2376</v>
      </c>
      <c r="H796" t="s">
        <v>2377</v>
      </c>
      <c r="I796" t="str">
        <f>HYPERLINK("https://zfin.org/ZDB-GENE-040426-1706")</f>
        <v>https://zfin.org/ZDB-GENE-040426-1706</v>
      </c>
      <c r="J796" t="s">
        <v>2378</v>
      </c>
    </row>
    <row r="797" spans="1:10" x14ac:dyDescent="0.2">
      <c r="A797">
        <v>4.3010133703428601E-12</v>
      </c>
      <c r="B797">
        <v>-0.87949286680514605</v>
      </c>
      <c r="C797">
        <v>0.23599999999999999</v>
      </c>
      <c r="D797">
        <v>0.46</v>
      </c>
      <c r="E797">
        <v>5.9775483821024995E-8</v>
      </c>
      <c r="F797">
        <v>1</v>
      </c>
      <c r="G797" t="s">
        <v>2379</v>
      </c>
      <c r="H797" t="s">
        <v>2380</v>
      </c>
      <c r="I797" t="str">
        <f>HYPERLINK("https://zfin.org/ZDB-GENE-040930-3")</f>
        <v>https://zfin.org/ZDB-GENE-040930-3</v>
      </c>
      <c r="J797" t="s">
        <v>2381</v>
      </c>
    </row>
    <row r="798" spans="1:10" x14ac:dyDescent="0.2">
      <c r="A798">
        <v>6.70722597378885E-12</v>
      </c>
      <c r="B798">
        <v>-0.97110625873048295</v>
      </c>
      <c r="C798">
        <v>0.28599999999999998</v>
      </c>
      <c r="D798">
        <v>0.48599999999999999</v>
      </c>
      <c r="E798">
        <v>9.3217026583717504E-8</v>
      </c>
      <c r="F798">
        <v>1</v>
      </c>
      <c r="G798" t="s">
        <v>2382</v>
      </c>
      <c r="H798" t="s">
        <v>2383</v>
      </c>
      <c r="I798" t="str">
        <f>HYPERLINK("https://zfin.org/ZDB-GENE-050208-317")</f>
        <v>https://zfin.org/ZDB-GENE-050208-317</v>
      </c>
      <c r="J798" t="s">
        <v>2384</v>
      </c>
    </row>
    <row r="799" spans="1:10" x14ac:dyDescent="0.2">
      <c r="A799">
        <v>6.79895327997293E-12</v>
      </c>
      <c r="B799">
        <v>0.29752770235485398</v>
      </c>
      <c r="C799">
        <v>0.89300000000000002</v>
      </c>
      <c r="D799">
        <v>0.45200000000000001</v>
      </c>
      <c r="E799">
        <v>9.4491852685063799E-8</v>
      </c>
      <c r="F799">
        <v>1</v>
      </c>
      <c r="G799" t="s">
        <v>2385</v>
      </c>
      <c r="H799" t="s">
        <v>2386</v>
      </c>
      <c r="I799" t="str">
        <f>HYPERLINK("https://zfin.org/ZDB-GENE-040718-136")</f>
        <v>https://zfin.org/ZDB-GENE-040718-136</v>
      </c>
      <c r="J799" t="s">
        <v>2387</v>
      </c>
    </row>
    <row r="800" spans="1:10" x14ac:dyDescent="0.2">
      <c r="A800">
        <v>7.0143600273697198E-12</v>
      </c>
      <c r="B800">
        <v>-1.0847202397790801</v>
      </c>
      <c r="C800">
        <v>0.379</v>
      </c>
      <c r="D800">
        <v>0.53400000000000003</v>
      </c>
      <c r="E800">
        <v>9.7485575660384298E-8</v>
      </c>
      <c r="F800">
        <v>1</v>
      </c>
      <c r="G800" t="s">
        <v>2388</v>
      </c>
      <c r="H800" t="s">
        <v>2389</v>
      </c>
      <c r="I800" t="str">
        <f>HYPERLINK("https://zfin.org/ZDB-GENE-031001-11")</f>
        <v>https://zfin.org/ZDB-GENE-031001-11</v>
      </c>
      <c r="J800" t="s">
        <v>2390</v>
      </c>
    </row>
    <row r="801" spans="1:10" x14ac:dyDescent="0.2">
      <c r="A801">
        <v>1.27495245473135E-11</v>
      </c>
      <c r="B801">
        <v>-1.00966275748933</v>
      </c>
      <c r="C801">
        <v>0.2</v>
      </c>
      <c r="D801">
        <v>0.433</v>
      </c>
      <c r="E801">
        <v>1.77192892158563E-7</v>
      </c>
      <c r="F801">
        <v>1</v>
      </c>
      <c r="G801" t="s">
        <v>2391</v>
      </c>
      <c r="H801" t="s">
        <v>2392</v>
      </c>
      <c r="I801" t="str">
        <f>HYPERLINK("https://zfin.org/ZDB-GENE-020802-2")</f>
        <v>https://zfin.org/ZDB-GENE-020802-2</v>
      </c>
      <c r="J801" t="s">
        <v>2393</v>
      </c>
    </row>
    <row r="802" spans="1:10" x14ac:dyDescent="0.2">
      <c r="A802">
        <v>1.44560259444675E-11</v>
      </c>
      <c r="B802">
        <v>-0.980889209567538</v>
      </c>
      <c r="C802">
        <v>0.23599999999999999</v>
      </c>
      <c r="D802">
        <v>0.45100000000000001</v>
      </c>
      <c r="E802">
        <v>2.0090984857620901E-7</v>
      </c>
      <c r="F802">
        <v>1</v>
      </c>
      <c r="G802" t="s">
        <v>2394</v>
      </c>
      <c r="H802" t="s">
        <v>2395</v>
      </c>
      <c r="I802" t="str">
        <f>HYPERLINK("https://zfin.org/ZDB-GENE-990415-229")</f>
        <v>https://zfin.org/ZDB-GENE-990415-229</v>
      </c>
      <c r="J802" t="s">
        <v>2396</v>
      </c>
    </row>
    <row r="803" spans="1:10" x14ac:dyDescent="0.2">
      <c r="A803">
        <v>2.0688062756424101E-11</v>
      </c>
      <c r="B803">
        <v>0.28169262080777902</v>
      </c>
      <c r="C803">
        <v>0.83599999999999997</v>
      </c>
      <c r="D803">
        <v>0.41</v>
      </c>
      <c r="E803">
        <v>2.87522696188782E-7</v>
      </c>
      <c r="F803">
        <v>1</v>
      </c>
      <c r="G803" t="s">
        <v>2397</v>
      </c>
      <c r="H803" t="s">
        <v>2398</v>
      </c>
      <c r="I803" t="str">
        <f>HYPERLINK("https://zfin.org/ZDB-GENE-040426-1652")</f>
        <v>https://zfin.org/ZDB-GENE-040426-1652</v>
      </c>
      <c r="J803" t="s">
        <v>2399</v>
      </c>
    </row>
    <row r="804" spans="1:10" x14ac:dyDescent="0.2">
      <c r="A804">
        <v>2.5461281842874301E-11</v>
      </c>
      <c r="B804">
        <v>-0.31858663846741397</v>
      </c>
      <c r="C804">
        <v>1</v>
      </c>
      <c r="D804">
        <v>0.97499999999999998</v>
      </c>
      <c r="E804">
        <v>3.53860895052267E-7</v>
      </c>
      <c r="F804">
        <v>1</v>
      </c>
      <c r="G804" t="s">
        <v>2400</v>
      </c>
      <c r="H804" t="s">
        <v>2401</v>
      </c>
      <c r="I804" t="str">
        <f>HYPERLINK("https://zfin.org/ZDB-GENE-040426-1670")</f>
        <v>https://zfin.org/ZDB-GENE-040426-1670</v>
      </c>
      <c r="J804" t="s">
        <v>2402</v>
      </c>
    </row>
    <row r="805" spans="1:10" x14ac:dyDescent="0.2">
      <c r="A805">
        <v>3.4559065620347601E-11</v>
      </c>
      <c r="B805">
        <v>-0.96594161978552995</v>
      </c>
      <c r="C805">
        <v>0.214</v>
      </c>
      <c r="D805">
        <v>0.432</v>
      </c>
      <c r="E805">
        <v>4.8030189399159105E-7</v>
      </c>
      <c r="F805">
        <v>1</v>
      </c>
      <c r="G805" t="s">
        <v>2403</v>
      </c>
      <c r="H805" t="s">
        <v>2404</v>
      </c>
      <c r="I805" t="str">
        <f>HYPERLINK("https://zfin.org/ZDB-GENE-040801-77")</f>
        <v>https://zfin.org/ZDB-GENE-040801-77</v>
      </c>
      <c r="J805" t="s">
        <v>2405</v>
      </c>
    </row>
    <row r="806" spans="1:10" x14ac:dyDescent="0.2">
      <c r="A806">
        <v>3.8842191855821001E-11</v>
      </c>
      <c r="B806">
        <v>0.26773813499820498</v>
      </c>
      <c r="C806">
        <v>0.79300000000000004</v>
      </c>
      <c r="D806">
        <v>0.38500000000000001</v>
      </c>
      <c r="E806">
        <v>5.3982878241220002E-7</v>
      </c>
      <c r="F806">
        <v>1</v>
      </c>
      <c r="G806" t="s">
        <v>2406</v>
      </c>
      <c r="H806" t="s">
        <v>2407</v>
      </c>
      <c r="I806" t="str">
        <f>HYPERLINK("https://zfin.org/ZDB-GENE-030131-330")</f>
        <v>https://zfin.org/ZDB-GENE-030131-330</v>
      </c>
      <c r="J806" t="s">
        <v>2408</v>
      </c>
    </row>
    <row r="807" spans="1:10" x14ac:dyDescent="0.2">
      <c r="A807">
        <v>4.2231213895021102E-11</v>
      </c>
      <c r="B807">
        <v>-0.43275698410212199</v>
      </c>
      <c r="C807">
        <v>0.97899999999999998</v>
      </c>
      <c r="D807">
        <v>0.84699999999999998</v>
      </c>
      <c r="E807">
        <v>5.8692941071300301E-7</v>
      </c>
      <c r="F807">
        <v>1</v>
      </c>
      <c r="G807" t="s">
        <v>2409</v>
      </c>
      <c r="H807" t="s">
        <v>2410</v>
      </c>
      <c r="I807" t="str">
        <f>HYPERLINK("https://zfin.org/ZDB-GENE-080220-50")</f>
        <v>https://zfin.org/ZDB-GENE-080220-50</v>
      </c>
      <c r="J807" t="s">
        <v>2411</v>
      </c>
    </row>
    <row r="808" spans="1:10" x14ac:dyDescent="0.2">
      <c r="A808">
        <v>4.5181755457772502E-11</v>
      </c>
      <c r="B808">
        <v>-0.87220608106005104</v>
      </c>
      <c r="C808">
        <v>0.186</v>
      </c>
      <c r="D808">
        <v>0.41099999999999998</v>
      </c>
      <c r="E808">
        <v>6.2793603735212199E-7</v>
      </c>
      <c r="F808">
        <v>1</v>
      </c>
      <c r="G808" t="s">
        <v>2412</v>
      </c>
      <c r="H808" t="s">
        <v>2413</v>
      </c>
      <c r="I808" t="str">
        <f>HYPERLINK("https://zfin.org/ZDB-GENE-030131-4489")</f>
        <v>https://zfin.org/ZDB-GENE-030131-4489</v>
      </c>
      <c r="J808" t="s">
        <v>2414</v>
      </c>
    </row>
    <row r="809" spans="1:10" x14ac:dyDescent="0.2">
      <c r="A809">
        <v>5.8435951977993399E-11</v>
      </c>
      <c r="B809">
        <v>-1.0895203162051299</v>
      </c>
      <c r="C809">
        <v>0.24299999999999999</v>
      </c>
      <c r="D809">
        <v>0.44800000000000001</v>
      </c>
      <c r="E809">
        <v>8.1214286059015196E-7</v>
      </c>
      <c r="F809">
        <v>1</v>
      </c>
      <c r="G809" t="s">
        <v>2415</v>
      </c>
      <c r="H809" t="s">
        <v>2416</v>
      </c>
      <c r="I809" t="str">
        <f>HYPERLINK("https://zfin.org/ZDB-GENE-980526-416")</f>
        <v>https://zfin.org/ZDB-GENE-980526-416</v>
      </c>
      <c r="J809" t="s">
        <v>2417</v>
      </c>
    </row>
    <row r="810" spans="1:10" x14ac:dyDescent="0.2">
      <c r="A810">
        <v>6.0470559283430198E-11</v>
      </c>
      <c r="B810">
        <v>0.25277701332846902</v>
      </c>
      <c r="C810">
        <v>0.72899999999999998</v>
      </c>
      <c r="D810">
        <v>0.34699999999999998</v>
      </c>
      <c r="E810">
        <v>8.4041983292111305E-7</v>
      </c>
      <c r="F810">
        <v>1</v>
      </c>
      <c r="G810" t="s">
        <v>2418</v>
      </c>
      <c r="H810" t="s">
        <v>2419</v>
      </c>
      <c r="I810" t="str">
        <f>HYPERLINK("https://zfin.org/ZDB-GENE-040426-2648")</f>
        <v>https://zfin.org/ZDB-GENE-040426-2648</v>
      </c>
      <c r="J810" t="s">
        <v>2420</v>
      </c>
    </row>
    <row r="811" spans="1:10" x14ac:dyDescent="0.2">
      <c r="A811">
        <v>6.2808069728174296E-11</v>
      </c>
      <c r="B811">
        <v>0.30508787733700699</v>
      </c>
      <c r="C811">
        <v>0.879</v>
      </c>
      <c r="D811">
        <v>0.49199999999999999</v>
      </c>
      <c r="E811">
        <v>8.72906553082166E-7</v>
      </c>
      <c r="F811">
        <v>1</v>
      </c>
      <c r="G811" t="s">
        <v>2421</v>
      </c>
      <c r="H811" t="s">
        <v>2422</v>
      </c>
      <c r="I811" t="str">
        <f>HYPERLINK("https://zfin.org/ZDB-GENE-040426-857")</f>
        <v>https://zfin.org/ZDB-GENE-040426-857</v>
      </c>
      <c r="J811" t="s">
        <v>2423</v>
      </c>
    </row>
    <row r="812" spans="1:10" x14ac:dyDescent="0.2">
      <c r="A812">
        <v>6.2966065881093195E-11</v>
      </c>
      <c r="B812">
        <v>0.31262693633724897</v>
      </c>
      <c r="C812">
        <v>0.77900000000000003</v>
      </c>
      <c r="D812">
        <v>0.40200000000000002</v>
      </c>
      <c r="E812">
        <v>8.7510238361543303E-7</v>
      </c>
      <c r="F812">
        <v>1</v>
      </c>
      <c r="G812" t="s">
        <v>2424</v>
      </c>
      <c r="H812" t="s">
        <v>2425</v>
      </c>
      <c r="I812" t="str">
        <f>HYPERLINK("https://zfin.org/ZDB-GENE-030131-8369")</f>
        <v>https://zfin.org/ZDB-GENE-030131-8369</v>
      </c>
      <c r="J812" t="s">
        <v>2426</v>
      </c>
    </row>
    <row r="813" spans="1:10" x14ac:dyDescent="0.2">
      <c r="A813">
        <v>7.0910554113861102E-11</v>
      </c>
      <c r="B813">
        <v>-0.94009225378651196</v>
      </c>
      <c r="C813">
        <v>0.121</v>
      </c>
      <c r="D813">
        <v>0.35799999999999998</v>
      </c>
      <c r="E813">
        <v>9.8551488107444193E-7</v>
      </c>
      <c r="F813">
        <v>1</v>
      </c>
      <c r="G813" t="s">
        <v>2427</v>
      </c>
      <c r="H813" t="s">
        <v>2428</v>
      </c>
      <c r="I813" t="str">
        <f>HYPERLINK("https://zfin.org/ZDB-GENE-131127-464")</f>
        <v>https://zfin.org/ZDB-GENE-131127-464</v>
      </c>
      <c r="J813" t="s">
        <v>2429</v>
      </c>
    </row>
    <row r="814" spans="1:10" x14ac:dyDescent="0.2">
      <c r="A814">
        <v>7.5282276179245495E-11</v>
      </c>
      <c r="B814">
        <v>-0.83473821520361402</v>
      </c>
      <c r="C814">
        <v>0.27100000000000002</v>
      </c>
      <c r="D814">
        <v>0.46800000000000003</v>
      </c>
      <c r="E814">
        <v>1.0462730743391501E-6</v>
      </c>
      <c r="F814">
        <v>1</v>
      </c>
      <c r="G814" t="s">
        <v>2430</v>
      </c>
      <c r="H814" t="s">
        <v>2431</v>
      </c>
      <c r="I814" t="str">
        <f>HYPERLINK("https://zfin.org/ZDB-GENE-040718-312")</f>
        <v>https://zfin.org/ZDB-GENE-040718-312</v>
      </c>
      <c r="J814" t="s">
        <v>2432</v>
      </c>
    </row>
    <row r="815" spans="1:10" x14ac:dyDescent="0.2">
      <c r="A815">
        <v>7.6874014601570906E-11</v>
      </c>
      <c r="B815">
        <v>-0.59830461700802096</v>
      </c>
      <c r="C815">
        <v>0.82899999999999996</v>
      </c>
      <c r="D815">
        <v>0.747</v>
      </c>
      <c r="E815">
        <v>1.0683950549326299E-6</v>
      </c>
      <c r="F815">
        <v>1</v>
      </c>
      <c r="G815" t="s">
        <v>2433</v>
      </c>
      <c r="H815" t="s">
        <v>2434</v>
      </c>
      <c r="I815" t="str">
        <f>HYPERLINK("https://zfin.org/ZDB-GENE-030131-2085")</f>
        <v>https://zfin.org/ZDB-GENE-030131-2085</v>
      </c>
      <c r="J815" t="s">
        <v>2435</v>
      </c>
    </row>
    <row r="816" spans="1:10" x14ac:dyDescent="0.2">
      <c r="A816">
        <v>8.7507112686901796E-11</v>
      </c>
      <c r="B816">
        <v>0.27330967571486198</v>
      </c>
      <c r="C816">
        <v>0.78600000000000003</v>
      </c>
      <c r="D816">
        <v>0.40799999999999997</v>
      </c>
      <c r="E816">
        <v>1.2161738521225601E-6</v>
      </c>
      <c r="F816">
        <v>1</v>
      </c>
      <c r="G816" t="s">
        <v>2436</v>
      </c>
      <c r="H816" t="s">
        <v>2437</v>
      </c>
      <c r="I816" t="str">
        <f>HYPERLINK("https://zfin.org/ZDB-GENE-030131-977")</f>
        <v>https://zfin.org/ZDB-GENE-030131-977</v>
      </c>
      <c r="J816" t="s">
        <v>2438</v>
      </c>
    </row>
    <row r="817" spans="1:10" x14ac:dyDescent="0.2">
      <c r="A817">
        <v>1.15252520412104E-10</v>
      </c>
      <c r="B817">
        <v>-0.56268582657948096</v>
      </c>
      <c r="C817">
        <v>0.81399999999999995</v>
      </c>
      <c r="D817">
        <v>0.73899999999999999</v>
      </c>
      <c r="E817">
        <v>1.6017795286874201E-6</v>
      </c>
      <c r="F817">
        <v>1</v>
      </c>
      <c r="G817" t="s">
        <v>2439</v>
      </c>
      <c r="H817" t="s">
        <v>2440</v>
      </c>
      <c r="I817" t="str">
        <f>HYPERLINK("https://zfin.org/ZDB-GENE-030131-7336")</f>
        <v>https://zfin.org/ZDB-GENE-030131-7336</v>
      </c>
      <c r="J817" t="s">
        <v>2441</v>
      </c>
    </row>
    <row r="818" spans="1:10" x14ac:dyDescent="0.2">
      <c r="A818">
        <v>1.2676238855875499E-10</v>
      </c>
      <c r="B818">
        <v>0.32145873889261101</v>
      </c>
      <c r="C818">
        <v>0.95</v>
      </c>
      <c r="D818">
        <v>0.60399999999999998</v>
      </c>
      <c r="E818">
        <v>1.76174367618958E-6</v>
      </c>
      <c r="F818">
        <v>1</v>
      </c>
      <c r="G818" t="s">
        <v>2442</v>
      </c>
      <c r="H818" t="s">
        <v>2443</v>
      </c>
      <c r="I818" t="str">
        <f>HYPERLINK("https://zfin.org/ZDB-GENE-040801-10")</f>
        <v>https://zfin.org/ZDB-GENE-040801-10</v>
      </c>
      <c r="J818" t="s">
        <v>2444</v>
      </c>
    </row>
    <row r="819" spans="1:10" x14ac:dyDescent="0.2">
      <c r="A819">
        <v>1.39270256304186E-10</v>
      </c>
      <c r="B819">
        <v>0.280031785033037</v>
      </c>
      <c r="C819">
        <v>0.72899999999999998</v>
      </c>
      <c r="D819">
        <v>0.36499999999999999</v>
      </c>
      <c r="E819">
        <v>1.9355780221155699E-6</v>
      </c>
      <c r="F819">
        <v>1</v>
      </c>
      <c r="G819" t="s">
        <v>2445</v>
      </c>
      <c r="H819" t="s">
        <v>2446</v>
      </c>
      <c r="I819" t="str">
        <f>HYPERLINK("https://zfin.org/ZDB-GENE-040204-1")</f>
        <v>https://zfin.org/ZDB-GENE-040204-1</v>
      </c>
      <c r="J819" t="s">
        <v>2447</v>
      </c>
    </row>
    <row r="820" spans="1:10" x14ac:dyDescent="0.2">
      <c r="A820">
        <v>1.6673568479984201E-10</v>
      </c>
      <c r="B820">
        <v>-0.89241279902557602</v>
      </c>
      <c r="C820">
        <v>0.32100000000000001</v>
      </c>
      <c r="D820">
        <v>0.48899999999999999</v>
      </c>
      <c r="E820">
        <v>2.3172925473482E-6</v>
      </c>
      <c r="F820">
        <v>1</v>
      </c>
      <c r="G820" t="s">
        <v>2448</v>
      </c>
      <c r="H820" t="s">
        <v>2449</v>
      </c>
      <c r="I820" t="str">
        <f>HYPERLINK("https://zfin.org/ZDB-GENE-031113-9")</f>
        <v>https://zfin.org/ZDB-GENE-031113-9</v>
      </c>
      <c r="J820" t="s">
        <v>2450</v>
      </c>
    </row>
    <row r="821" spans="1:10" x14ac:dyDescent="0.2">
      <c r="A821">
        <v>1.69614073395951E-10</v>
      </c>
      <c r="B821">
        <v>-0.77472889130221401</v>
      </c>
      <c r="C821">
        <v>0.41399999999999998</v>
      </c>
      <c r="D821">
        <v>0.53900000000000003</v>
      </c>
      <c r="E821">
        <v>2.3572963920569298E-6</v>
      </c>
      <c r="F821">
        <v>1</v>
      </c>
      <c r="G821" t="s">
        <v>2451</v>
      </c>
      <c r="H821" t="s">
        <v>2452</v>
      </c>
      <c r="I821" t="str">
        <f>HYPERLINK("https://zfin.org/ZDB-GENE-021206-13")</f>
        <v>https://zfin.org/ZDB-GENE-021206-13</v>
      </c>
      <c r="J821" t="s">
        <v>2453</v>
      </c>
    </row>
    <row r="822" spans="1:10" x14ac:dyDescent="0.2">
      <c r="A822">
        <v>2.19586271589182E-10</v>
      </c>
      <c r="B822">
        <v>-0.78305090303366698</v>
      </c>
      <c r="C822">
        <v>0.35</v>
      </c>
      <c r="D822">
        <v>0.505</v>
      </c>
      <c r="E822">
        <v>3.05181000254645E-6</v>
      </c>
      <c r="F822">
        <v>1</v>
      </c>
      <c r="G822" t="s">
        <v>2454</v>
      </c>
      <c r="H822" t="s">
        <v>2455</v>
      </c>
      <c r="I822" t="str">
        <f>HYPERLINK("https://zfin.org/ZDB-GENE-030131-5237")</f>
        <v>https://zfin.org/ZDB-GENE-030131-5237</v>
      </c>
      <c r="J822" t="s">
        <v>2456</v>
      </c>
    </row>
    <row r="823" spans="1:10" x14ac:dyDescent="0.2">
      <c r="A823">
        <v>2.3939639455447798E-10</v>
      </c>
      <c r="B823">
        <v>-1.0364252332045201</v>
      </c>
      <c r="C823">
        <v>0.20699999999999999</v>
      </c>
      <c r="D823">
        <v>0.41499999999999998</v>
      </c>
      <c r="E823">
        <v>3.3271310915181399E-6</v>
      </c>
      <c r="F823">
        <v>1</v>
      </c>
      <c r="G823" t="s">
        <v>2457</v>
      </c>
      <c r="H823" t="s">
        <v>2458</v>
      </c>
      <c r="I823" t="str">
        <f>HYPERLINK("https://zfin.org/ZDB-GENE-070424-30")</f>
        <v>https://zfin.org/ZDB-GENE-070424-30</v>
      </c>
      <c r="J823" t="s">
        <v>2459</v>
      </c>
    </row>
    <row r="824" spans="1:10" x14ac:dyDescent="0.2">
      <c r="A824">
        <v>3.1094093303694101E-10</v>
      </c>
      <c r="B824">
        <v>-0.46373948029140699</v>
      </c>
      <c r="C824">
        <v>0.89300000000000002</v>
      </c>
      <c r="D824">
        <v>0.80100000000000005</v>
      </c>
      <c r="E824">
        <v>4.3214570873474003E-6</v>
      </c>
      <c r="F824">
        <v>1</v>
      </c>
      <c r="G824" t="s">
        <v>2460</v>
      </c>
      <c r="H824" t="s">
        <v>2461</v>
      </c>
      <c r="I824" t="str">
        <f>HYPERLINK("https://zfin.org/ZDB-GENE-030131-9034")</f>
        <v>https://zfin.org/ZDB-GENE-030131-9034</v>
      </c>
      <c r="J824" t="s">
        <v>2462</v>
      </c>
    </row>
    <row r="825" spans="1:10" x14ac:dyDescent="0.2">
      <c r="A825">
        <v>3.2892960057988799E-10</v>
      </c>
      <c r="B825">
        <v>-0.87675287402703905</v>
      </c>
      <c r="C825">
        <v>0.221</v>
      </c>
      <c r="D825">
        <v>0.42399999999999999</v>
      </c>
      <c r="E825">
        <v>4.5714635888592902E-6</v>
      </c>
      <c r="F825">
        <v>1</v>
      </c>
      <c r="G825" t="s">
        <v>2463</v>
      </c>
      <c r="H825" t="s">
        <v>2464</v>
      </c>
      <c r="I825" t="str">
        <f>HYPERLINK("https://zfin.org/ZDB-GENE-030131-8466")</f>
        <v>https://zfin.org/ZDB-GENE-030131-8466</v>
      </c>
      <c r="J825" t="s">
        <v>2465</v>
      </c>
    </row>
    <row r="826" spans="1:10" x14ac:dyDescent="0.2">
      <c r="A826">
        <v>3.5899134634909302E-10</v>
      </c>
      <c r="B826">
        <v>-1.0090996375480401</v>
      </c>
      <c r="C826">
        <v>0.29299999999999998</v>
      </c>
      <c r="D826">
        <v>0.46</v>
      </c>
      <c r="E826">
        <v>4.9892617315596897E-6</v>
      </c>
      <c r="F826">
        <v>1</v>
      </c>
      <c r="G826" t="s">
        <v>2466</v>
      </c>
      <c r="H826" t="s">
        <v>2467</v>
      </c>
      <c r="I826" t="str">
        <f>HYPERLINK("https://zfin.org/ZDB-GENE-010412-1")</f>
        <v>https://zfin.org/ZDB-GENE-010412-1</v>
      </c>
      <c r="J826" t="s">
        <v>2468</v>
      </c>
    </row>
    <row r="827" spans="1:10" x14ac:dyDescent="0.2">
      <c r="A827">
        <v>4.7738216826956402E-10</v>
      </c>
      <c r="B827">
        <v>-0.92002704405012403</v>
      </c>
      <c r="C827">
        <v>0.32100000000000001</v>
      </c>
      <c r="D827">
        <v>0.47499999999999998</v>
      </c>
      <c r="E827">
        <v>6.6346573746103998E-6</v>
      </c>
      <c r="F827">
        <v>1</v>
      </c>
      <c r="G827" t="s">
        <v>2469</v>
      </c>
      <c r="H827" t="s">
        <v>2470</v>
      </c>
      <c r="I827" t="str">
        <f>HYPERLINK("https://zfin.org/ZDB-GENE-030131-8909")</f>
        <v>https://zfin.org/ZDB-GENE-030131-8909</v>
      </c>
      <c r="J827" t="s">
        <v>2471</v>
      </c>
    </row>
    <row r="828" spans="1:10" x14ac:dyDescent="0.2">
      <c r="A828">
        <v>5.1370489502650099E-10</v>
      </c>
      <c r="B828">
        <v>-0.91851322500445098</v>
      </c>
      <c r="C828">
        <v>0.33600000000000002</v>
      </c>
      <c r="D828">
        <v>0.48499999999999999</v>
      </c>
      <c r="E828">
        <v>7.1394706310783098E-6</v>
      </c>
      <c r="F828">
        <v>1</v>
      </c>
      <c r="G828" t="s">
        <v>2472</v>
      </c>
      <c r="H828" t="s">
        <v>2473</v>
      </c>
      <c r="I828" t="str">
        <f>HYPERLINK("https://zfin.org/ZDB-GENE-000208-17")</f>
        <v>https://zfin.org/ZDB-GENE-000208-17</v>
      </c>
      <c r="J828" t="s">
        <v>2474</v>
      </c>
    </row>
    <row r="829" spans="1:10" x14ac:dyDescent="0.2">
      <c r="A829">
        <v>5.2226108827924296E-10</v>
      </c>
      <c r="B829">
        <v>-0.71485903066015999</v>
      </c>
      <c r="C829">
        <v>0.54300000000000004</v>
      </c>
      <c r="D829">
        <v>0.59199999999999997</v>
      </c>
      <c r="E829">
        <v>7.2583846049049203E-6</v>
      </c>
      <c r="F829">
        <v>1</v>
      </c>
      <c r="G829" t="s">
        <v>2475</v>
      </c>
      <c r="H829" t="s">
        <v>2476</v>
      </c>
      <c r="I829" t="str">
        <f>HYPERLINK("https://zfin.org/ZDB-GENE-030131-269")</f>
        <v>https://zfin.org/ZDB-GENE-030131-269</v>
      </c>
      <c r="J829" t="s">
        <v>2477</v>
      </c>
    </row>
    <row r="830" spans="1:10" x14ac:dyDescent="0.2">
      <c r="A830">
        <v>6.5084139817515502E-10</v>
      </c>
      <c r="B830">
        <v>0.28930385006383103</v>
      </c>
      <c r="C830">
        <v>0.8</v>
      </c>
      <c r="D830">
        <v>0.42899999999999999</v>
      </c>
      <c r="E830">
        <v>9.0453937518382997E-6</v>
      </c>
      <c r="F830">
        <v>1</v>
      </c>
      <c r="G830" t="s">
        <v>2478</v>
      </c>
      <c r="H830" t="s">
        <v>2479</v>
      </c>
      <c r="I830" t="str">
        <f>HYPERLINK("https://zfin.org/ZDB-GENE-040426-1932")</f>
        <v>https://zfin.org/ZDB-GENE-040426-1932</v>
      </c>
      <c r="J830" t="s">
        <v>2480</v>
      </c>
    </row>
    <row r="831" spans="1:10" x14ac:dyDescent="0.2">
      <c r="A831">
        <v>7.6040260019609504E-10</v>
      </c>
      <c r="B831">
        <v>0.25647564144414098</v>
      </c>
      <c r="C831">
        <v>0.92100000000000004</v>
      </c>
      <c r="D831">
        <v>0.48</v>
      </c>
      <c r="E831">
        <v>1.05680753375253E-5</v>
      </c>
      <c r="F831">
        <v>1</v>
      </c>
      <c r="G831" t="s">
        <v>2481</v>
      </c>
      <c r="H831" t="s">
        <v>2482</v>
      </c>
      <c r="I831" t="str">
        <f>HYPERLINK("https://zfin.org/ZDB-GENE-030131-5162")</f>
        <v>https://zfin.org/ZDB-GENE-030131-5162</v>
      </c>
      <c r="J831" t="s">
        <v>2483</v>
      </c>
    </row>
    <row r="832" spans="1:10" x14ac:dyDescent="0.2">
      <c r="A832">
        <v>8.2845776777333396E-10</v>
      </c>
      <c r="B832">
        <v>-0.56082576514242899</v>
      </c>
      <c r="C832">
        <v>0.82899999999999996</v>
      </c>
      <c r="D832">
        <v>0.75</v>
      </c>
      <c r="E832">
        <v>1.1513906056513801E-5</v>
      </c>
      <c r="F832">
        <v>1</v>
      </c>
      <c r="G832" t="s">
        <v>2484</v>
      </c>
      <c r="H832" t="s">
        <v>2485</v>
      </c>
      <c r="I832" t="str">
        <f>HYPERLINK("https://zfin.org/ZDB-GENE-990712-18")</f>
        <v>https://zfin.org/ZDB-GENE-990712-18</v>
      </c>
      <c r="J832" t="s">
        <v>2486</v>
      </c>
    </row>
    <row r="833" spans="1:10" x14ac:dyDescent="0.2">
      <c r="A833">
        <v>8.7848816651634203E-10</v>
      </c>
      <c r="B833">
        <v>-0.8307262234342</v>
      </c>
      <c r="C833">
        <v>0.4</v>
      </c>
      <c r="D833">
        <v>0.51700000000000002</v>
      </c>
      <c r="E833">
        <v>1.22092285382441E-5</v>
      </c>
      <c r="F833">
        <v>1</v>
      </c>
      <c r="G833" t="s">
        <v>2487</v>
      </c>
      <c r="H833" t="s">
        <v>2488</v>
      </c>
      <c r="I833" t="str">
        <f>HYPERLINK("https://zfin.org/ZDB-GENE-040912-149")</f>
        <v>https://zfin.org/ZDB-GENE-040912-149</v>
      </c>
      <c r="J833" t="s">
        <v>2489</v>
      </c>
    </row>
    <row r="834" spans="1:10" x14ac:dyDescent="0.2">
      <c r="A834">
        <v>9.0331639734966899E-10</v>
      </c>
      <c r="B834">
        <v>0.25877496325268601</v>
      </c>
      <c r="C834">
        <v>0.99299999999999999</v>
      </c>
      <c r="D834">
        <v>0.97199999999999998</v>
      </c>
      <c r="E834">
        <v>1.2554291290365699E-5</v>
      </c>
      <c r="F834">
        <v>1</v>
      </c>
      <c r="G834" t="s">
        <v>2490</v>
      </c>
      <c r="H834" t="s">
        <v>2491</v>
      </c>
      <c r="I834" t="str">
        <f>HYPERLINK("https://zfin.org/ZDB-GENE-990415-92")</f>
        <v>https://zfin.org/ZDB-GENE-990415-92</v>
      </c>
      <c r="J834" t="s">
        <v>2492</v>
      </c>
    </row>
    <row r="835" spans="1:10" x14ac:dyDescent="0.2">
      <c r="A835">
        <v>9.6043202479077499E-10</v>
      </c>
      <c r="B835">
        <v>0.26790276368432903</v>
      </c>
      <c r="C835">
        <v>0.95699999999999996</v>
      </c>
      <c r="D835">
        <v>0.58299999999999996</v>
      </c>
      <c r="E835">
        <v>1.3348084280542199E-5</v>
      </c>
      <c r="F835">
        <v>1</v>
      </c>
      <c r="G835" t="s">
        <v>2493</v>
      </c>
      <c r="H835" t="s">
        <v>2494</v>
      </c>
      <c r="I835" t="str">
        <f>HYPERLINK("https://zfin.org/ZDB-GENE-040426-1707")</f>
        <v>https://zfin.org/ZDB-GENE-040426-1707</v>
      </c>
      <c r="J835" t="s">
        <v>2495</v>
      </c>
    </row>
    <row r="836" spans="1:10" x14ac:dyDescent="0.2">
      <c r="A836">
        <v>9.686461172879269E-10</v>
      </c>
      <c r="B836">
        <v>-0.94637567745394102</v>
      </c>
      <c r="C836">
        <v>0.27100000000000002</v>
      </c>
      <c r="D836">
        <v>0.45100000000000001</v>
      </c>
      <c r="E836">
        <v>1.3462243738067601E-5</v>
      </c>
      <c r="F836">
        <v>1</v>
      </c>
      <c r="G836" t="s">
        <v>2496</v>
      </c>
      <c r="H836" t="s">
        <v>2497</v>
      </c>
      <c r="I836" t="str">
        <f>HYPERLINK("https://zfin.org/ZDB-GENE-031002-1")</f>
        <v>https://zfin.org/ZDB-GENE-031002-1</v>
      </c>
      <c r="J836" t="s">
        <v>2498</v>
      </c>
    </row>
    <row r="837" spans="1:10" x14ac:dyDescent="0.2">
      <c r="A837">
        <v>9.8868832795161194E-10</v>
      </c>
      <c r="B837">
        <v>-0.692816937784135</v>
      </c>
      <c r="C837">
        <v>0.6</v>
      </c>
      <c r="D837">
        <v>0.61199999999999999</v>
      </c>
      <c r="E837">
        <v>1.3740790381871501E-5</v>
      </c>
      <c r="F837">
        <v>1</v>
      </c>
      <c r="G837" t="s">
        <v>2499</v>
      </c>
      <c r="H837" t="s">
        <v>2500</v>
      </c>
      <c r="I837" t="str">
        <f>HYPERLINK("https://zfin.org/ZDB-GENE-030131-4915")</f>
        <v>https://zfin.org/ZDB-GENE-030131-4915</v>
      </c>
      <c r="J837" t="s">
        <v>2501</v>
      </c>
    </row>
    <row r="838" spans="1:10" x14ac:dyDescent="0.2">
      <c r="A838">
        <v>1.4039440814045101E-9</v>
      </c>
      <c r="B838">
        <v>-0.33631509795172998</v>
      </c>
      <c r="C838">
        <v>0.96399999999999997</v>
      </c>
      <c r="D838">
        <v>0.95199999999999996</v>
      </c>
      <c r="E838">
        <v>1.9512014843359901E-5</v>
      </c>
      <c r="F838">
        <v>1</v>
      </c>
      <c r="G838" t="s">
        <v>2502</v>
      </c>
      <c r="H838" t="s">
        <v>2503</v>
      </c>
      <c r="I838" t="str">
        <f>HYPERLINK("https://zfin.org/ZDB-GENE-990603-10")</f>
        <v>https://zfin.org/ZDB-GENE-990603-10</v>
      </c>
      <c r="J838" t="s">
        <v>2504</v>
      </c>
    </row>
    <row r="839" spans="1:10" x14ac:dyDescent="0.2">
      <c r="A839">
        <v>1.7220451352777199E-9</v>
      </c>
      <c r="B839">
        <v>-0.84084265491964805</v>
      </c>
      <c r="C839">
        <v>0.16400000000000001</v>
      </c>
      <c r="D839">
        <v>0.36799999999999999</v>
      </c>
      <c r="E839">
        <v>2.3932983290089699E-5</v>
      </c>
      <c r="F839">
        <v>1</v>
      </c>
      <c r="G839" t="s">
        <v>2505</v>
      </c>
      <c r="H839" t="s">
        <v>2506</v>
      </c>
      <c r="I839" t="str">
        <f>HYPERLINK("https://zfin.org/ZDB-GENE-030131-3121")</f>
        <v>https://zfin.org/ZDB-GENE-030131-3121</v>
      </c>
      <c r="J839" t="s">
        <v>2507</v>
      </c>
    </row>
    <row r="840" spans="1:10" x14ac:dyDescent="0.2">
      <c r="A840">
        <v>1.9811141571728798E-9</v>
      </c>
      <c r="B840">
        <v>-1.0735234587348701</v>
      </c>
      <c r="C840">
        <v>0.307</v>
      </c>
      <c r="D840">
        <v>0.46600000000000003</v>
      </c>
      <c r="E840">
        <v>2.7533524556388701E-5</v>
      </c>
      <c r="F840">
        <v>1</v>
      </c>
      <c r="G840" t="s">
        <v>2508</v>
      </c>
      <c r="H840" t="s">
        <v>2509</v>
      </c>
      <c r="I840" t="str">
        <f>HYPERLINK("https://zfin.org/ZDB-GENE-050320-109")</f>
        <v>https://zfin.org/ZDB-GENE-050320-109</v>
      </c>
      <c r="J840" t="s">
        <v>2510</v>
      </c>
    </row>
    <row r="841" spans="1:10" x14ac:dyDescent="0.2">
      <c r="A841">
        <v>2.0163063366546201E-9</v>
      </c>
      <c r="B841">
        <v>-1.1533943761360901</v>
      </c>
      <c r="C841">
        <v>0.59299999999999997</v>
      </c>
      <c r="D841">
        <v>0.60899999999999999</v>
      </c>
      <c r="E841">
        <v>2.8022625466825898E-5</v>
      </c>
      <c r="F841">
        <v>1</v>
      </c>
      <c r="G841" t="s">
        <v>2511</v>
      </c>
      <c r="H841" t="s">
        <v>2512</v>
      </c>
      <c r="I841" t="str">
        <f>HYPERLINK("https://zfin.org/ZDB-GENE-000619-1")</f>
        <v>https://zfin.org/ZDB-GENE-000619-1</v>
      </c>
      <c r="J841" t="s">
        <v>2513</v>
      </c>
    </row>
    <row r="842" spans="1:10" x14ac:dyDescent="0.2">
      <c r="A842">
        <v>2.0837816242525002E-9</v>
      </c>
      <c r="B842">
        <v>-0.63588931254757097</v>
      </c>
      <c r="C842">
        <v>0.69299999999999995</v>
      </c>
      <c r="D842">
        <v>0.67100000000000004</v>
      </c>
      <c r="E842">
        <v>2.8960397013861199E-5</v>
      </c>
      <c r="F842">
        <v>1</v>
      </c>
      <c r="G842" t="s">
        <v>2514</v>
      </c>
      <c r="H842" t="s">
        <v>2515</v>
      </c>
      <c r="I842" t="str">
        <f>HYPERLINK("https://zfin.org/ZDB-GENE-000210-25")</f>
        <v>https://zfin.org/ZDB-GENE-000210-25</v>
      </c>
      <c r="J842" t="s">
        <v>2516</v>
      </c>
    </row>
    <row r="843" spans="1:10" x14ac:dyDescent="0.2">
      <c r="A843">
        <v>2.3570391070384601E-9</v>
      </c>
      <c r="B843">
        <v>-0.49958134725926001</v>
      </c>
      <c r="C843">
        <v>0.871</v>
      </c>
      <c r="D843">
        <v>0.77100000000000002</v>
      </c>
      <c r="E843">
        <v>3.2758129509620503E-5</v>
      </c>
      <c r="F843">
        <v>1</v>
      </c>
      <c r="G843" t="s">
        <v>2517</v>
      </c>
      <c r="H843" t="s">
        <v>2518</v>
      </c>
      <c r="I843" t="str">
        <f>HYPERLINK("https://zfin.org/ZDB-GENE-030131-341")</f>
        <v>https://zfin.org/ZDB-GENE-030131-341</v>
      </c>
      <c r="J843" t="s">
        <v>2519</v>
      </c>
    </row>
    <row r="844" spans="1:10" x14ac:dyDescent="0.2">
      <c r="A844">
        <v>2.3731043148118601E-9</v>
      </c>
      <c r="B844">
        <v>-0.66603802499016496</v>
      </c>
      <c r="C844">
        <v>0.59299999999999997</v>
      </c>
      <c r="D844">
        <v>0.61899999999999999</v>
      </c>
      <c r="E844">
        <v>3.2981403767255302E-5</v>
      </c>
      <c r="F844">
        <v>1</v>
      </c>
      <c r="G844" t="s">
        <v>2520</v>
      </c>
      <c r="H844" t="s">
        <v>2521</v>
      </c>
      <c r="I844" t="str">
        <f>HYPERLINK("https://zfin.org/ZDB-GENE-061013-323")</f>
        <v>https://zfin.org/ZDB-GENE-061013-323</v>
      </c>
      <c r="J844" t="s">
        <v>2522</v>
      </c>
    </row>
    <row r="845" spans="1:10" x14ac:dyDescent="0.2">
      <c r="A845">
        <v>2.62847961050479E-9</v>
      </c>
      <c r="B845">
        <v>-0.31596285416919301</v>
      </c>
      <c r="C845">
        <v>1</v>
      </c>
      <c r="D845">
        <v>0.93100000000000005</v>
      </c>
      <c r="E845">
        <v>3.6530609626795501E-5</v>
      </c>
      <c r="F845">
        <v>1</v>
      </c>
      <c r="G845" t="s">
        <v>2523</v>
      </c>
      <c r="H845" t="s">
        <v>2524</v>
      </c>
      <c r="I845" t="str">
        <f>HYPERLINK("https://zfin.org/ZDB-GENE-050320-15")</f>
        <v>https://zfin.org/ZDB-GENE-050320-15</v>
      </c>
      <c r="J845" t="s">
        <v>2525</v>
      </c>
    </row>
    <row r="846" spans="1:10" x14ac:dyDescent="0.2">
      <c r="A846">
        <v>2.7114259872307198E-9</v>
      </c>
      <c r="B846">
        <v>-0.98497470201414805</v>
      </c>
      <c r="C846">
        <v>0.186</v>
      </c>
      <c r="D846">
        <v>0.38200000000000001</v>
      </c>
      <c r="E846">
        <v>3.7683398370532598E-5</v>
      </c>
      <c r="F846">
        <v>1</v>
      </c>
      <c r="G846" t="s">
        <v>2526</v>
      </c>
      <c r="H846" t="s">
        <v>2527</v>
      </c>
      <c r="I846" t="str">
        <f>HYPERLINK("https://zfin.org/ZDB-GENE-030131-8760")</f>
        <v>https://zfin.org/ZDB-GENE-030131-8760</v>
      </c>
      <c r="J846" t="s">
        <v>2528</v>
      </c>
    </row>
    <row r="847" spans="1:10" x14ac:dyDescent="0.2">
      <c r="A847">
        <v>2.94644794564243E-9</v>
      </c>
      <c r="B847">
        <v>-0.34455062934666802</v>
      </c>
      <c r="C847">
        <v>0.96399999999999997</v>
      </c>
      <c r="D847">
        <v>0.92500000000000004</v>
      </c>
      <c r="E847">
        <v>4.0949733548538498E-5</v>
      </c>
      <c r="F847">
        <v>1</v>
      </c>
      <c r="G847" t="s">
        <v>2529</v>
      </c>
      <c r="H847" t="s">
        <v>2530</v>
      </c>
      <c r="I847" t="str">
        <f>HYPERLINK("https://zfin.org/ZDB-GENE-020419-12")</f>
        <v>https://zfin.org/ZDB-GENE-020419-12</v>
      </c>
      <c r="J847" t="s">
        <v>2531</v>
      </c>
    </row>
    <row r="848" spans="1:10" x14ac:dyDescent="0.2">
      <c r="A848">
        <v>3.1763290385061798E-9</v>
      </c>
      <c r="B848">
        <v>-0.80044977729460898</v>
      </c>
      <c r="C848">
        <v>0.27100000000000002</v>
      </c>
      <c r="D848">
        <v>0.436</v>
      </c>
      <c r="E848">
        <v>4.4144620977158898E-5</v>
      </c>
      <c r="F848">
        <v>1</v>
      </c>
      <c r="G848" t="s">
        <v>2532</v>
      </c>
      <c r="H848" t="s">
        <v>2533</v>
      </c>
      <c r="I848" t="str">
        <f>HYPERLINK("https://zfin.org/ZDB-GENE-040426-1356")</f>
        <v>https://zfin.org/ZDB-GENE-040426-1356</v>
      </c>
      <c r="J848" t="s">
        <v>2534</v>
      </c>
    </row>
    <row r="849" spans="1:10" x14ac:dyDescent="0.2">
      <c r="A849">
        <v>3.49548825542417E-9</v>
      </c>
      <c r="B849">
        <v>-0.82687949685926099</v>
      </c>
      <c r="C849">
        <v>0.52100000000000002</v>
      </c>
      <c r="D849">
        <v>0.57299999999999995</v>
      </c>
      <c r="E849">
        <v>4.8580295773885099E-5</v>
      </c>
      <c r="F849">
        <v>1</v>
      </c>
      <c r="G849" t="s">
        <v>2535</v>
      </c>
      <c r="H849" t="s">
        <v>2536</v>
      </c>
      <c r="I849" t="str">
        <f>HYPERLINK("https://zfin.org/ZDB-GENE-030131-4042")</f>
        <v>https://zfin.org/ZDB-GENE-030131-4042</v>
      </c>
      <c r="J849" t="s">
        <v>2537</v>
      </c>
    </row>
    <row r="850" spans="1:10" x14ac:dyDescent="0.2">
      <c r="A850">
        <v>6.13729879910606E-9</v>
      </c>
      <c r="B850">
        <v>0.25542215070945601</v>
      </c>
      <c r="C850">
        <v>0.80700000000000005</v>
      </c>
      <c r="D850">
        <v>0.42499999999999999</v>
      </c>
      <c r="E850">
        <v>8.5296178709975994E-5</v>
      </c>
      <c r="F850">
        <v>1</v>
      </c>
      <c r="G850" t="s">
        <v>2538</v>
      </c>
      <c r="H850" t="s">
        <v>2539</v>
      </c>
      <c r="I850" t="str">
        <f>HYPERLINK("https://zfin.org/ZDB-GENE-040426-2194")</f>
        <v>https://zfin.org/ZDB-GENE-040426-2194</v>
      </c>
      <c r="J850" t="s">
        <v>2540</v>
      </c>
    </row>
    <row r="851" spans="1:10" x14ac:dyDescent="0.2">
      <c r="A851">
        <v>6.2157431730576596E-9</v>
      </c>
      <c r="B851">
        <v>-0.80062863969233999</v>
      </c>
      <c r="C851">
        <v>0.15</v>
      </c>
      <c r="D851">
        <v>0.34599999999999997</v>
      </c>
      <c r="E851">
        <v>8.6386398619155299E-5</v>
      </c>
      <c r="F851">
        <v>1</v>
      </c>
      <c r="G851" t="s">
        <v>2541</v>
      </c>
      <c r="H851" t="s">
        <v>2542</v>
      </c>
      <c r="I851" t="str">
        <f>HYPERLINK("https://zfin.org/ZDB-GENE-030131-5415")</f>
        <v>https://zfin.org/ZDB-GENE-030131-5415</v>
      </c>
      <c r="J851" t="s">
        <v>2543</v>
      </c>
    </row>
    <row r="852" spans="1:10" x14ac:dyDescent="0.2">
      <c r="A852">
        <v>6.99615808873518E-9</v>
      </c>
      <c r="B852">
        <v>-0.52340055614538605</v>
      </c>
      <c r="C852">
        <v>0.84299999999999997</v>
      </c>
      <c r="D852">
        <v>0.72099999999999997</v>
      </c>
      <c r="E852">
        <v>9.7232605117241505E-5</v>
      </c>
      <c r="F852">
        <v>1</v>
      </c>
      <c r="G852" t="s">
        <v>2544</v>
      </c>
      <c r="H852" t="s">
        <v>2545</v>
      </c>
      <c r="I852" t="str">
        <f>HYPERLINK("https://zfin.org/ZDB-GENE-030131-185")</f>
        <v>https://zfin.org/ZDB-GENE-030131-185</v>
      </c>
      <c r="J852" t="s">
        <v>2546</v>
      </c>
    </row>
    <row r="853" spans="1:10" x14ac:dyDescent="0.2">
      <c r="A853">
        <v>7.5209617589770903E-9</v>
      </c>
      <c r="B853">
        <v>-0.43945828017616101</v>
      </c>
      <c r="C853">
        <v>0.85699999999999998</v>
      </c>
      <c r="D853">
        <v>0.754</v>
      </c>
      <c r="E853">
        <v>1.04526326526264E-4</v>
      </c>
      <c r="F853">
        <v>1</v>
      </c>
      <c r="G853" t="s">
        <v>2547</v>
      </c>
      <c r="H853" t="s">
        <v>2548</v>
      </c>
      <c r="I853" t="str">
        <f>HYPERLINK("https://zfin.org/ZDB-GENE-041108-1")</f>
        <v>https://zfin.org/ZDB-GENE-041108-1</v>
      </c>
      <c r="J853" t="s">
        <v>2549</v>
      </c>
    </row>
    <row r="854" spans="1:10" x14ac:dyDescent="0.2">
      <c r="A854">
        <v>8.1566162110633603E-9</v>
      </c>
      <c r="B854">
        <v>-0.32918319191748202</v>
      </c>
      <c r="C854">
        <v>0.98599999999999999</v>
      </c>
      <c r="D854">
        <v>0.92600000000000005</v>
      </c>
      <c r="E854">
        <v>1.1336065210135899E-4</v>
      </c>
      <c r="F854">
        <v>1</v>
      </c>
      <c r="G854" t="s">
        <v>2550</v>
      </c>
      <c r="H854" t="s">
        <v>2551</v>
      </c>
      <c r="I854" t="str">
        <f>HYPERLINK("https://zfin.org/ZDB-GENE-020423-4")</f>
        <v>https://zfin.org/ZDB-GENE-020423-4</v>
      </c>
      <c r="J854" t="s">
        <v>2552</v>
      </c>
    </row>
    <row r="855" spans="1:10" x14ac:dyDescent="0.2">
      <c r="A855">
        <v>1.0544612774139399E-8</v>
      </c>
      <c r="B855">
        <v>-0.97170052468118695</v>
      </c>
      <c r="C855">
        <v>0.186</v>
      </c>
      <c r="D855">
        <v>0.36799999999999999</v>
      </c>
      <c r="E855">
        <v>1.46549028334989E-4</v>
      </c>
      <c r="F855">
        <v>1</v>
      </c>
      <c r="G855" t="s">
        <v>2553</v>
      </c>
      <c r="H855" t="s">
        <v>2554</v>
      </c>
      <c r="I855" t="str">
        <f>HYPERLINK("https://zfin.org/ZDB-GENE-090915-6")</f>
        <v>https://zfin.org/ZDB-GENE-090915-6</v>
      </c>
      <c r="J855" t="s">
        <v>2555</v>
      </c>
    </row>
    <row r="856" spans="1:10" x14ac:dyDescent="0.2">
      <c r="A856">
        <v>1.11642500099843E-8</v>
      </c>
      <c r="B856">
        <v>-1.05953566058969</v>
      </c>
      <c r="C856">
        <v>0.25</v>
      </c>
      <c r="D856">
        <v>0.41499999999999998</v>
      </c>
      <c r="E856">
        <v>1.5516074663876199E-4</v>
      </c>
      <c r="F856">
        <v>1</v>
      </c>
      <c r="G856" t="s">
        <v>2556</v>
      </c>
      <c r="H856" t="s">
        <v>2557</v>
      </c>
      <c r="I856" t="str">
        <f>HYPERLINK("https://zfin.org/ZDB-GENE-980526-144")</f>
        <v>https://zfin.org/ZDB-GENE-980526-144</v>
      </c>
      <c r="J856" t="s">
        <v>2558</v>
      </c>
    </row>
    <row r="857" spans="1:10" x14ac:dyDescent="0.2">
      <c r="A857">
        <v>1.18450357083534E-8</v>
      </c>
      <c r="B857">
        <v>-0.853136087012482</v>
      </c>
      <c r="C857">
        <v>0.39300000000000002</v>
      </c>
      <c r="D857">
        <v>0.499</v>
      </c>
      <c r="E857">
        <v>1.6462230627469499E-4</v>
      </c>
      <c r="F857">
        <v>1</v>
      </c>
      <c r="G857" t="s">
        <v>2559</v>
      </c>
      <c r="H857" t="s">
        <v>2560</v>
      </c>
      <c r="I857" t="str">
        <f>HYPERLINK("https://zfin.org/ZDB-GENE-990708-8")</f>
        <v>https://zfin.org/ZDB-GENE-990708-8</v>
      </c>
      <c r="J857" t="s">
        <v>2561</v>
      </c>
    </row>
    <row r="858" spans="1:10" x14ac:dyDescent="0.2">
      <c r="A858">
        <v>1.201648635013E-8</v>
      </c>
      <c r="B858">
        <v>-0.79643743176561299</v>
      </c>
      <c r="C858">
        <v>0.121</v>
      </c>
      <c r="D858">
        <v>0.32100000000000001</v>
      </c>
      <c r="E858">
        <v>1.67005127294107E-4</v>
      </c>
      <c r="F858">
        <v>1</v>
      </c>
      <c r="G858" t="s">
        <v>2562</v>
      </c>
      <c r="H858" t="s">
        <v>2563</v>
      </c>
      <c r="I858" t="str">
        <f>HYPERLINK("https://zfin.org/ZDB-GENE-030131-9435")</f>
        <v>https://zfin.org/ZDB-GENE-030131-9435</v>
      </c>
      <c r="J858" t="s">
        <v>2564</v>
      </c>
    </row>
    <row r="859" spans="1:10" x14ac:dyDescent="0.2">
      <c r="A859">
        <v>1.35459495660876E-8</v>
      </c>
      <c r="B859">
        <v>-0.868422510631639</v>
      </c>
      <c r="C859">
        <v>0.84299999999999997</v>
      </c>
      <c r="D859">
        <v>0.752</v>
      </c>
      <c r="E859">
        <v>1.8826160706948599E-4</v>
      </c>
      <c r="F859">
        <v>1</v>
      </c>
      <c r="G859" t="s">
        <v>2565</v>
      </c>
      <c r="H859" t="s">
        <v>2566</v>
      </c>
      <c r="I859" t="str">
        <f>HYPERLINK("https://zfin.org/ZDB-GENE-040912-122")</f>
        <v>https://zfin.org/ZDB-GENE-040912-122</v>
      </c>
      <c r="J859" t="s">
        <v>2567</v>
      </c>
    </row>
    <row r="860" spans="1:10" x14ac:dyDescent="0.2">
      <c r="A860">
        <v>1.58528332677588E-8</v>
      </c>
      <c r="B860">
        <v>-0.77573811415025695</v>
      </c>
      <c r="C860">
        <v>0.3</v>
      </c>
      <c r="D860">
        <v>0.442</v>
      </c>
      <c r="E860">
        <v>2.2032267675531201E-4</v>
      </c>
      <c r="F860">
        <v>1</v>
      </c>
      <c r="G860" t="s">
        <v>2568</v>
      </c>
      <c r="H860" t="s">
        <v>2569</v>
      </c>
      <c r="I860" t="str">
        <f>HYPERLINK("https://zfin.org/ZDB-GENE-040718-339")</f>
        <v>https://zfin.org/ZDB-GENE-040718-339</v>
      </c>
      <c r="J860" t="s">
        <v>2570</v>
      </c>
    </row>
    <row r="861" spans="1:10" x14ac:dyDescent="0.2">
      <c r="A861">
        <v>1.61724996201453E-8</v>
      </c>
      <c r="B861">
        <v>-0.347055914893733</v>
      </c>
      <c r="C861">
        <v>0.97099999999999997</v>
      </c>
      <c r="D861">
        <v>0.872</v>
      </c>
      <c r="E861">
        <v>2.2476539972078E-4</v>
      </c>
      <c r="F861">
        <v>1</v>
      </c>
      <c r="G861" t="s">
        <v>2571</v>
      </c>
      <c r="H861" t="s">
        <v>2572</v>
      </c>
      <c r="I861" t="str">
        <f>HYPERLINK("https://zfin.org/ZDB-GENE-051113-276")</f>
        <v>https://zfin.org/ZDB-GENE-051113-276</v>
      </c>
      <c r="J861" t="s">
        <v>2573</v>
      </c>
    </row>
    <row r="862" spans="1:10" x14ac:dyDescent="0.2">
      <c r="A862">
        <v>1.8978729963189001E-8</v>
      </c>
      <c r="B862">
        <v>-0.77882022924998295</v>
      </c>
      <c r="C862">
        <v>0.17899999999999999</v>
      </c>
      <c r="D862">
        <v>0.36199999999999999</v>
      </c>
      <c r="E862">
        <v>2.6376638902840001E-4</v>
      </c>
      <c r="F862">
        <v>1</v>
      </c>
      <c r="G862" t="s">
        <v>2574</v>
      </c>
      <c r="H862" t="s">
        <v>2575</v>
      </c>
      <c r="I862" t="str">
        <f>HYPERLINK("https://zfin.org/ZDB-GENE-040426-2161")</f>
        <v>https://zfin.org/ZDB-GENE-040426-2161</v>
      </c>
      <c r="J862" t="s">
        <v>2576</v>
      </c>
    </row>
    <row r="863" spans="1:10" x14ac:dyDescent="0.2">
      <c r="A863">
        <v>1.9254230250791899E-8</v>
      </c>
      <c r="B863">
        <v>-0.34165187096910798</v>
      </c>
      <c r="C863">
        <v>0.95</v>
      </c>
      <c r="D863">
        <v>0.88900000000000001</v>
      </c>
      <c r="E863">
        <v>2.6759529202550602E-4</v>
      </c>
      <c r="F863">
        <v>1</v>
      </c>
      <c r="G863" t="s">
        <v>2577</v>
      </c>
      <c r="H863" t="s">
        <v>2578</v>
      </c>
      <c r="I863" t="str">
        <f>HYPERLINK("https://zfin.org/ZDB-GENE-030131-7310")</f>
        <v>https://zfin.org/ZDB-GENE-030131-7310</v>
      </c>
      <c r="J863" t="s">
        <v>2579</v>
      </c>
    </row>
    <row r="864" spans="1:10" x14ac:dyDescent="0.2">
      <c r="A864">
        <v>1.9266745416087E-8</v>
      </c>
      <c r="B864">
        <v>-1.0225184164640599</v>
      </c>
      <c r="C864">
        <v>0.20699999999999999</v>
      </c>
      <c r="D864">
        <v>0.379</v>
      </c>
      <c r="E864">
        <v>2.67769227792777E-4</v>
      </c>
      <c r="F864">
        <v>1</v>
      </c>
      <c r="G864" t="s">
        <v>2580</v>
      </c>
      <c r="H864" t="s">
        <v>2581</v>
      </c>
      <c r="I864" t="str">
        <f>HYPERLINK("https://zfin.org/ZDB-GENE-030131-9790")</f>
        <v>https://zfin.org/ZDB-GENE-030131-9790</v>
      </c>
      <c r="J864" t="s">
        <v>2582</v>
      </c>
    </row>
    <row r="865" spans="1:10" x14ac:dyDescent="0.2">
      <c r="A865">
        <v>1.9331091471770302E-8</v>
      </c>
      <c r="B865">
        <v>-0.50510839763455895</v>
      </c>
      <c r="C865">
        <v>0.91400000000000003</v>
      </c>
      <c r="D865">
        <v>0.81200000000000006</v>
      </c>
      <c r="E865">
        <v>2.6866350927466398E-4</v>
      </c>
      <c r="F865">
        <v>1</v>
      </c>
      <c r="G865" t="s">
        <v>2583</v>
      </c>
      <c r="H865" t="s">
        <v>2584</v>
      </c>
      <c r="I865" t="str">
        <f>HYPERLINK("https://zfin.org/ZDB-GENE-030131-8625")</f>
        <v>https://zfin.org/ZDB-GENE-030131-8625</v>
      </c>
      <c r="J865" t="s">
        <v>2585</v>
      </c>
    </row>
    <row r="866" spans="1:10" x14ac:dyDescent="0.2">
      <c r="A866">
        <v>2.0638787889424599E-8</v>
      </c>
      <c r="B866">
        <v>-0.69977894376309402</v>
      </c>
      <c r="C866">
        <v>0.6</v>
      </c>
      <c r="D866">
        <v>0.60499999999999998</v>
      </c>
      <c r="E866">
        <v>2.86837874087222E-4</v>
      </c>
      <c r="F866">
        <v>1</v>
      </c>
      <c r="G866" t="s">
        <v>2586</v>
      </c>
      <c r="H866" t="s">
        <v>2587</v>
      </c>
      <c r="I866" t="str">
        <f>HYPERLINK("https://zfin.org/ZDB-GENE-031002-33")</f>
        <v>https://zfin.org/ZDB-GENE-031002-33</v>
      </c>
      <c r="J866" t="s">
        <v>2588</v>
      </c>
    </row>
    <row r="867" spans="1:10" x14ac:dyDescent="0.2">
      <c r="A867">
        <v>2.2051859672497401E-8</v>
      </c>
      <c r="B867">
        <v>-0.76379338484561099</v>
      </c>
      <c r="C867">
        <v>0.27900000000000003</v>
      </c>
      <c r="D867">
        <v>0.434</v>
      </c>
      <c r="E867">
        <v>3.0647674572836802E-4</v>
      </c>
      <c r="F867">
        <v>1</v>
      </c>
      <c r="G867" t="s">
        <v>2589</v>
      </c>
      <c r="H867" t="s">
        <v>2590</v>
      </c>
      <c r="I867" t="str">
        <f>HYPERLINK("https://zfin.org/ZDB-GENE-040718-183")</f>
        <v>https://zfin.org/ZDB-GENE-040718-183</v>
      </c>
      <c r="J867" t="s">
        <v>2591</v>
      </c>
    </row>
    <row r="868" spans="1:10" x14ac:dyDescent="0.2">
      <c r="A868">
        <v>2.2949713246438599E-8</v>
      </c>
      <c r="B868">
        <v>-0.41873594107064699</v>
      </c>
      <c r="C868">
        <v>0.871</v>
      </c>
      <c r="D868">
        <v>0.79400000000000004</v>
      </c>
      <c r="E868">
        <v>3.1895511469900398E-4</v>
      </c>
      <c r="F868">
        <v>1</v>
      </c>
      <c r="G868" t="s">
        <v>2592</v>
      </c>
      <c r="H868" t="s">
        <v>2593</v>
      </c>
      <c r="I868" t="str">
        <f>HYPERLINK("https://zfin.org/ZDB-GENE-030131-8581")</f>
        <v>https://zfin.org/ZDB-GENE-030131-8581</v>
      </c>
      <c r="J868" t="s">
        <v>2594</v>
      </c>
    </row>
    <row r="869" spans="1:10" x14ac:dyDescent="0.2">
      <c r="A869">
        <v>2.4923900585154001E-8</v>
      </c>
      <c r="B869">
        <v>-0.33470271711281802</v>
      </c>
      <c r="C869">
        <v>0.99299999999999999</v>
      </c>
      <c r="D869">
        <v>0.91100000000000003</v>
      </c>
      <c r="E869">
        <v>3.4639237033246998E-4</v>
      </c>
      <c r="F869">
        <v>1</v>
      </c>
      <c r="G869" t="s">
        <v>2595</v>
      </c>
      <c r="H869" t="s">
        <v>2596</v>
      </c>
      <c r="I869" t="str">
        <f>HYPERLINK("https://zfin.org/ZDB-GENE-050417-65")</f>
        <v>https://zfin.org/ZDB-GENE-050417-65</v>
      </c>
      <c r="J869" t="s">
        <v>2597</v>
      </c>
    </row>
    <row r="870" spans="1:10" x14ac:dyDescent="0.2">
      <c r="A870">
        <v>2.59219954194094E-8</v>
      </c>
      <c r="B870">
        <v>-0.53276408786738905</v>
      </c>
      <c r="C870">
        <v>0.75700000000000001</v>
      </c>
      <c r="D870">
        <v>0.67600000000000005</v>
      </c>
      <c r="E870">
        <v>3.6026389233895201E-4</v>
      </c>
      <c r="F870">
        <v>1</v>
      </c>
      <c r="G870" t="s">
        <v>2598</v>
      </c>
      <c r="H870" t="s">
        <v>2599</v>
      </c>
      <c r="I870" t="str">
        <f>HYPERLINK("https://zfin.org/ZDB-GENE-030826-10")</f>
        <v>https://zfin.org/ZDB-GENE-030826-10</v>
      </c>
      <c r="J870" t="s">
        <v>2600</v>
      </c>
    </row>
    <row r="871" spans="1:10" x14ac:dyDescent="0.2">
      <c r="A871">
        <v>2.61273521177097E-8</v>
      </c>
      <c r="B871">
        <v>-0.53170839843840201</v>
      </c>
      <c r="C871">
        <v>0.76400000000000001</v>
      </c>
      <c r="D871">
        <v>0.70199999999999996</v>
      </c>
      <c r="E871">
        <v>3.6311793973192898E-4</v>
      </c>
      <c r="F871">
        <v>1</v>
      </c>
      <c r="G871" t="s">
        <v>2601</v>
      </c>
      <c r="H871" t="s">
        <v>2602</v>
      </c>
      <c r="I871" t="str">
        <f>HYPERLINK("https://zfin.org/ZDB-GENE-030131-488")</f>
        <v>https://zfin.org/ZDB-GENE-030131-488</v>
      </c>
      <c r="J871" t="s">
        <v>2603</v>
      </c>
    </row>
    <row r="872" spans="1:10" x14ac:dyDescent="0.2">
      <c r="A872">
        <v>2.61357723271233E-8</v>
      </c>
      <c r="B872">
        <v>-0.79502852501287402</v>
      </c>
      <c r="C872">
        <v>7.9000000000000001E-2</v>
      </c>
      <c r="D872">
        <v>0.27500000000000002</v>
      </c>
      <c r="E872">
        <v>3.6323496380235898E-4</v>
      </c>
      <c r="F872">
        <v>1</v>
      </c>
      <c r="G872" t="s">
        <v>2604</v>
      </c>
      <c r="H872" t="s">
        <v>2605</v>
      </c>
      <c r="I872" t="str">
        <f>HYPERLINK("https://zfin.org/ZDB-GENE-091204-265")</f>
        <v>https://zfin.org/ZDB-GENE-091204-265</v>
      </c>
      <c r="J872" t="s">
        <v>2606</v>
      </c>
    </row>
    <row r="873" spans="1:10" x14ac:dyDescent="0.2">
      <c r="A873">
        <v>3.0326894732613702E-8</v>
      </c>
      <c r="B873">
        <v>-0.96612096715417395</v>
      </c>
      <c r="C873">
        <v>0.34300000000000003</v>
      </c>
      <c r="D873">
        <v>0.46700000000000003</v>
      </c>
      <c r="E873">
        <v>4.2148318299386502E-4</v>
      </c>
      <c r="F873">
        <v>1</v>
      </c>
      <c r="G873" t="s">
        <v>2607</v>
      </c>
      <c r="H873" t="s">
        <v>2608</v>
      </c>
      <c r="I873" t="str">
        <f>HYPERLINK("https://zfin.org/ZDB-GENE-030911-2")</f>
        <v>https://zfin.org/ZDB-GENE-030911-2</v>
      </c>
      <c r="J873" t="s">
        <v>2609</v>
      </c>
    </row>
    <row r="874" spans="1:10" x14ac:dyDescent="0.2">
      <c r="A874">
        <v>3.3270908346767398E-8</v>
      </c>
      <c r="B874">
        <v>-0.73967578475826801</v>
      </c>
      <c r="C874">
        <v>6.4000000000000001E-2</v>
      </c>
      <c r="D874">
        <v>0.25900000000000001</v>
      </c>
      <c r="E874">
        <v>4.6239908420337398E-4</v>
      </c>
      <c r="F874">
        <v>1</v>
      </c>
      <c r="G874" t="s">
        <v>2610</v>
      </c>
      <c r="H874" t="s">
        <v>2611</v>
      </c>
      <c r="I874" t="str">
        <f>HYPERLINK("https://zfin.org/ZDB-GENE-041010-30")</f>
        <v>https://zfin.org/ZDB-GENE-041010-30</v>
      </c>
      <c r="J874" t="s">
        <v>2612</v>
      </c>
    </row>
    <row r="875" spans="1:10" x14ac:dyDescent="0.2">
      <c r="A875">
        <v>3.7735968071173801E-8</v>
      </c>
      <c r="B875">
        <v>-0.72524346455837096</v>
      </c>
      <c r="C875">
        <v>7.9000000000000001E-2</v>
      </c>
      <c r="D875">
        <v>0.27100000000000002</v>
      </c>
      <c r="E875">
        <v>5.2445448425317395E-4</v>
      </c>
      <c r="F875">
        <v>1</v>
      </c>
      <c r="G875" t="s">
        <v>2613</v>
      </c>
      <c r="H875" t="s">
        <v>2614</v>
      </c>
      <c r="I875" t="str">
        <f>HYPERLINK("https://zfin.org/ZDB-GENE-030131-3202")</f>
        <v>https://zfin.org/ZDB-GENE-030131-3202</v>
      </c>
      <c r="J875" t="s">
        <v>2615</v>
      </c>
    </row>
    <row r="876" spans="1:10" x14ac:dyDescent="0.2">
      <c r="A876">
        <v>3.8204685516324801E-8</v>
      </c>
      <c r="B876">
        <v>-0.93045446175022195</v>
      </c>
      <c r="C876">
        <v>6.4000000000000001E-2</v>
      </c>
      <c r="D876">
        <v>0.26100000000000001</v>
      </c>
      <c r="E876">
        <v>5.3096871930588204E-4</v>
      </c>
      <c r="F876">
        <v>1</v>
      </c>
      <c r="G876" t="s">
        <v>2616</v>
      </c>
      <c r="H876" t="s">
        <v>2617</v>
      </c>
      <c r="I876" t="str">
        <f>HYPERLINK("https://zfin.org/ZDB-GENE-030131-9126")</f>
        <v>https://zfin.org/ZDB-GENE-030131-9126</v>
      </c>
      <c r="J876" t="s">
        <v>2618</v>
      </c>
    </row>
    <row r="877" spans="1:10" x14ac:dyDescent="0.2">
      <c r="A877">
        <v>4.1817766929435498E-8</v>
      </c>
      <c r="B877">
        <v>-0.54697712598567505</v>
      </c>
      <c r="C877">
        <v>0.7</v>
      </c>
      <c r="D877">
        <v>0.66200000000000003</v>
      </c>
      <c r="E877">
        <v>5.8118332478529499E-4</v>
      </c>
      <c r="F877">
        <v>1</v>
      </c>
      <c r="G877" t="s">
        <v>2619</v>
      </c>
      <c r="H877" t="s">
        <v>2620</v>
      </c>
      <c r="I877" t="str">
        <f>HYPERLINK("https://zfin.org/ZDB-GENE-030131-2416")</f>
        <v>https://zfin.org/ZDB-GENE-030131-2416</v>
      </c>
      <c r="J877" t="s">
        <v>2621</v>
      </c>
    </row>
    <row r="878" spans="1:10" x14ac:dyDescent="0.2">
      <c r="A878">
        <v>4.1923050113760099E-8</v>
      </c>
      <c r="B878">
        <v>-1.0326237535723</v>
      </c>
      <c r="C878">
        <v>0.93600000000000005</v>
      </c>
      <c r="D878">
        <v>0.83199999999999996</v>
      </c>
      <c r="E878">
        <v>5.8264655048103796E-4</v>
      </c>
      <c r="F878">
        <v>1</v>
      </c>
      <c r="G878" t="s">
        <v>2622</v>
      </c>
      <c r="H878" t="s">
        <v>2623</v>
      </c>
      <c r="I878" t="str">
        <f>HYPERLINK("https://zfin.org/ZDB-GENE-051030-81")</f>
        <v>https://zfin.org/ZDB-GENE-051030-81</v>
      </c>
      <c r="J878" t="s">
        <v>2624</v>
      </c>
    </row>
    <row r="879" spans="1:10" x14ac:dyDescent="0.2">
      <c r="A879">
        <v>4.2248685474922201E-8</v>
      </c>
      <c r="B879">
        <v>-0.75284861286326199</v>
      </c>
      <c r="C879">
        <v>0.214</v>
      </c>
      <c r="D879">
        <v>0.38200000000000001</v>
      </c>
      <c r="E879">
        <v>5.8717223073046897E-4</v>
      </c>
      <c r="F879">
        <v>1</v>
      </c>
      <c r="G879" t="s">
        <v>2625</v>
      </c>
      <c r="H879" t="s">
        <v>2626</v>
      </c>
      <c r="I879" t="str">
        <f>HYPERLINK("https://zfin.org/ZDB-GENE-030826-16")</f>
        <v>https://zfin.org/ZDB-GENE-030826-16</v>
      </c>
      <c r="J879" t="s">
        <v>2627</v>
      </c>
    </row>
    <row r="880" spans="1:10" x14ac:dyDescent="0.2">
      <c r="A880">
        <v>4.4746618983706697E-8</v>
      </c>
      <c r="B880">
        <v>-0.73704664775847295</v>
      </c>
      <c r="C880">
        <v>0.52900000000000003</v>
      </c>
      <c r="D880">
        <v>0.54500000000000004</v>
      </c>
      <c r="E880">
        <v>6.2188851063555599E-4</v>
      </c>
      <c r="F880">
        <v>1</v>
      </c>
      <c r="G880" t="s">
        <v>2628</v>
      </c>
      <c r="H880" t="s">
        <v>2629</v>
      </c>
      <c r="I880" t="str">
        <f>HYPERLINK("https://zfin.org/ZDB-GENE-010413-1")</f>
        <v>https://zfin.org/ZDB-GENE-010413-1</v>
      </c>
      <c r="J880" t="s">
        <v>2630</v>
      </c>
    </row>
    <row r="881" spans="1:10" x14ac:dyDescent="0.2">
      <c r="A881">
        <v>4.6716660419841401E-8</v>
      </c>
      <c r="B881">
        <v>-0.45199054839842301</v>
      </c>
      <c r="C881">
        <v>0.95</v>
      </c>
      <c r="D881">
        <v>0.81100000000000005</v>
      </c>
      <c r="E881">
        <v>6.4926814651495603E-4</v>
      </c>
      <c r="F881">
        <v>1</v>
      </c>
      <c r="G881" t="s">
        <v>2631</v>
      </c>
      <c r="H881" t="s">
        <v>2632</v>
      </c>
      <c r="I881" t="str">
        <f>HYPERLINK("https://zfin.org/ZDB-GENE-050419-122")</f>
        <v>https://zfin.org/ZDB-GENE-050419-122</v>
      </c>
      <c r="J881" t="s">
        <v>2633</v>
      </c>
    </row>
    <row r="882" spans="1:10" x14ac:dyDescent="0.2">
      <c r="A882">
        <v>2.4791607967919899E-169</v>
      </c>
      <c r="B882">
        <v>1.7625915219466</v>
      </c>
      <c r="C882">
        <v>0.89700000000000002</v>
      </c>
      <c r="D882">
        <v>0.314</v>
      </c>
      <c r="E882">
        <v>3.4455376753815099E-165</v>
      </c>
      <c r="F882">
        <v>2</v>
      </c>
      <c r="G882" t="s">
        <v>2634</v>
      </c>
      <c r="H882" t="s">
        <v>2635</v>
      </c>
      <c r="I882" t="str">
        <f>HYPERLINK("https://zfin.org/ZDB-GENE-011212-6")</f>
        <v>https://zfin.org/ZDB-GENE-011212-6</v>
      </c>
      <c r="J882" t="s">
        <v>2636</v>
      </c>
    </row>
    <row r="883" spans="1:10" x14ac:dyDescent="0.2">
      <c r="A883">
        <v>1.20089893180624E-168</v>
      </c>
      <c r="B883">
        <v>1.8006734326653999</v>
      </c>
      <c r="C883">
        <v>0.99399999999999999</v>
      </c>
      <c r="D883">
        <v>0.874</v>
      </c>
      <c r="E883">
        <v>1.66900933542431E-164</v>
      </c>
      <c r="F883">
        <v>2</v>
      </c>
      <c r="G883" t="s">
        <v>1599</v>
      </c>
      <c r="H883" t="s">
        <v>1600</v>
      </c>
      <c r="I883" t="str">
        <f>HYPERLINK("https://zfin.org/")</f>
        <v>https://zfin.org/</v>
      </c>
      <c r="J883" t="s">
        <v>1601</v>
      </c>
    </row>
    <row r="884" spans="1:10" x14ac:dyDescent="0.2">
      <c r="A884">
        <v>8.2996372347807304E-158</v>
      </c>
      <c r="B884">
        <v>1.80299538677209</v>
      </c>
      <c r="C884">
        <v>0.622</v>
      </c>
      <c r="D884">
        <v>0.10199999999999999</v>
      </c>
      <c r="E884">
        <v>1.1534835828898299E-153</v>
      </c>
      <c r="F884">
        <v>2</v>
      </c>
      <c r="G884" t="s">
        <v>2637</v>
      </c>
      <c r="H884" t="s">
        <v>2638</v>
      </c>
      <c r="I884" t="str">
        <f>HYPERLINK("https://zfin.org/ZDB-GENE-070502-5")</f>
        <v>https://zfin.org/ZDB-GENE-070502-5</v>
      </c>
      <c r="J884" t="s">
        <v>2639</v>
      </c>
    </row>
    <row r="885" spans="1:10" x14ac:dyDescent="0.2">
      <c r="A885">
        <v>2.84740218410092E-137</v>
      </c>
      <c r="B885">
        <v>2.1087712843944799</v>
      </c>
      <c r="C885">
        <v>0.64200000000000002</v>
      </c>
      <c r="D885">
        <v>0.14099999999999999</v>
      </c>
      <c r="E885">
        <v>3.95731955546346E-133</v>
      </c>
      <c r="F885">
        <v>2</v>
      </c>
      <c r="G885" t="s">
        <v>2640</v>
      </c>
      <c r="H885" t="s">
        <v>2641</v>
      </c>
      <c r="I885" t="str">
        <f>HYPERLINK("https://zfin.org/ZDB-GENE-041111-1")</f>
        <v>https://zfin.org/ZDB-GENE-041111-1</v>
      </c>
      <c r="J885" t="s">
        <v>2642</v>
      </c>
    </row>
    <row r="886" spans="1:10" x14ac:dyDescent="0.2">
      <c r="A886">
        <v>2.6972910451234601E-121</v>
      </c>
      <c r="B886">
        <v>0.71794790700699496</v>
      </c>
      <c r="C886">
        <v>1</v>
      </c>
      <c r="D886">
        <v>1</v>
      </c>
      <c r="E886">
        <v>3.7486950945125801E-117</v>
      </c>
      <c r="F886">
        <v>2</v>
      </c>
      <c r="G886" t="s">
        <v>975</v>
      </c>
      <c r="H886" t="s">
        <v>976</v>
      </c>
      <c r="I886" t="str">
        <f>HYPERLINK("https://zfin.org/ZDB-GENE-141216-248")</f>
        <v>https://zfin.org/ZDB-GENE-141216-248</v>
      </c>
      <c r="J886" t="s">
        <v>977</v>
      </c>
    </row>
    <row r="887" spans="1:10" x14ac:dyDescent="0.2">
      <c r="A887">
        <v>5.7147786380156503E-106</v>
      </c>
      <c r="B887">
        <v>1.4140993218015001</v>
      </c>
      <c r="C887">
        <v>0.89400000000000002</v>
      </c>
      <c r="D887">
        <v>0.56999999999999995</v>
      </c>
      <c r="E887">
        <v>7.9423993511141505E-102</v>
      </c>
      <c r="F887">
        <v>2</v>
      </c>
      <c r="G887" t="s">
        <v>2153</v>
      </c>
      <c r="H887" t="s">
        <v>2154</v>
      </c>
      <c r="I887" t="str">
        <f>HYPERLINK("https://zfin.org/ZDB-GENE-031016-2")</f>
        <v>https://zfin.org/ZDB-GENE-031016-2</v>
      </c>
      <c r="J887" t="s">
        <v>2155</v>
      </c>
    </row>
    <row r="888" spans="1:10" x14ac:dyDescent="0.2">
      <c r="A888">
        <v>1.4825112893887301E-99</v>
      </c>
      <c r="B888">
        <v>1.24613925180457</v>
      </c>
      <c r="C888">
        <v>0.84199999999999997</v>
      </c>
      <c r="D888">
        <v>0.41399999999999998</v>
      </c>
      <c r="E888">
        <v>2.0603941899924501E-95</v>
      </c>
      <c r="F888">
        <v>2</v>
      </c>
      <c r="G888" t="s">
        <v>2607</v>
      </c>
      <c r="H888" t="s">
        <v>2608</v>
      </c>
      <c r="I888" t="str">
        <f>HYPERLINK("https://zfin.org/ZDB-GENE-030911-2")</f>
        <v>https://zfin.org/ZDB-GENE-030911-2</v>
      </c>
      <c r="J888" t="s">
        <v>2609</v>
      </c>
    </row>
    <row r="889" spans="1:10" x14ac:dyDescent="0.2">
      <c r="A889">
        <v>7.2711189405223696E-95</v>
      </c>
      <c r="B889">
        <v>-2.2145119844133299</v>
      </c>
      <c r="C889">
        <v>0.249</v>
      </c>
      <c r="D889">
        <v>0.81200000000000006</v>
      </c>
      <c r="E889">
        <v>1.0105401103538E-90</v>
      </c>
      <c r="F889">
        <v>2</v>
      </c>
      <c r="G889" t="s">
        <v>1701</v>
      </c>
      <c r="H889" t="s">
        <v>1702</v>
      </c>
      <c r="I889" t="str">
        <f>HYPERLINK("https://zfin.org/ZDB-GENE-111109-2")</f>
        <v>https://zfin.org/ZDB-GENE-111109-2</v>
      </c>
      <c r="J889" t="s">
        <v>1703</v>
      </c>
    </row>
    <row r="890" spans="1:10" x14ac:dyDescent="0.2">
      <c r="A890">
        <v>6.7791029539387598E-86</v>
      </c>
      <c r="B890">
        <v>1.4139263047826101</v>
      </c>
      <c r="C890">
        <v>0.41599999999999998</v>
      </c>
      <c r="D890">
        <v>7.8E-2</v>
      </c>
      <c r="E890">
        <v>9.4215972853840899E-82</v>
      </c>
      <c r="F890">
        <v>2</v>
      </c>
      <c r="G890" t="s">
        <v>2643</v>
      </c>
      <c r="H890" t="s">
        <v>2644</v>
      </c>
      <c r="I890" t="str">
        <f>HYPERLINK("https://zfin.org/ZDB-GENE-060503-475")</f>
        <v>https://zfin.org/ZDB-GENE-060503-475</v>
      </c>
      <c r="J890" t="s">
        <v>2645</v>
      </c>
    </row>
    <row r="891" spans="1:10" x14ac:dyDescent="0.2">
      <c r="A891">
        <v>1.21755974804308E-85</v>
      </c>
      <c r="B891">
        <v>-1.45279721787245</v>
      </c>
      <c r="C891">
        <v>0.74199999999999999</v>
      </c>
      <c r="D891">
        <v>0.96699999999999997</v>
      </c>
      <c r="E891">
        <v>1.6921645378302699E-81</v>
      </c>
      <c r="F891">
        <v>2</v>
      </c>
      <c r="G891" t="s">
        <v>1221</v>
      </c>
      <c r="H891" t="s">
        <v>1222</v>
      </c>
      <c r="I891" t="str">
        <f>HYPERLINK("https://zfin.org/ZDB-GENE-040426-1508")</f>
        <v>https://zfin.org/ZDB-GENE-040426-1508</v>
      </c>
      <c r="J891" t="s">
        <v>1223</v>
      </c>
    </row>
    <row r="892" spans="1:10" x14ac:dyDescent="0.2">
      <c r="A892">
        <v>1.23454078258314E-79</v>
      </c>
      <c r="B892">
        <v>1.05578262103423</v>
      </c>
      <c r="C892">
        <v>0.24</v>
      </c>
      <c r="D892">
        <v>0.02</v>
      </c>
      <c r="E892">
        <v>1.71576477963405E-75</v>
      </c>
      <c r="F892">
        <v>2</v>
      </c>
      <c r="G892" t="s">
        <v>2646</v>
      </c>
      <c r="H892" t="s">
        <v>2647</v>
      </c>
      <c r="I892" t="str">
        <f>HYPERLINK("https://zfin.org/ZDB-GENE-010328-5")</f>
        <v>https://zfin.org/ZDB-GENE-010328-5</v>
      </c>
      <c r="J892" t="s">
        <v>2648</v>
      </c>
    </row>
    <row r="893" spans="1:10" x14ac:dyDescent="0.2">
      <c r="A893">
        <v>1.2263990867827099E-76</v>
      </c>
      <c r="B893">
        <v>1.1426780029824599</v>
      </c>
      <c r="C893">
        <v>0.34</v>
      </c>
      <c r="D893">
        <v>5.3999999999999999E-2</v>
      </c>
      <c r="E893">
        <v>1.70444945081061E-72</v>
      </c>
      <c r="F893">
        <v>2</v>
      </c>
      <c r="G893" t="s">
        <v>2649</v>
      </c>
      <c r="H893" t="s">
        <v>2650</v>
      </c>
      <c r="I893" t="str">
        <f>HYPERLINK("https://zfin.org/ZDB-GENE-040718-335")</f>
        <v>https://zfin.org/ZDB-GENE-040718-335</v>
      </c>
      <c r="J893" t="s">
        <v>2651</v>
      </c>
    </row>
    <row r="894" spans="1:10" x14ac:dyDescent="0.2">
      <c r="A894">
        <v>7.6986166102586701E-68</v>
      </c>
      <c r="B894">
        <v>1.22164106582176</v>
      </c>
      <c r="C894">
        <v>0.63900000000000001</v>
      </c>
      <c r="D894">
        <v>0.27200000000000002</v>
      </c>
      <c r="E894">
        <v>1.06995373649375E-63</v>
      </c>
      <c r="F894">
        <v>2</v>
      </c>
      <c r="G894" t="s">
        <v>2652</v>
      </c>
      <c r="H894" t="s">
        <v>2653</v>
      </c>
      <c r="I894" t="str">
        <f>HYPERLINK("https://zfin.org/ZDB-GENE-040426-1937")</f>
        <v>https://zfin.org/ZDB-GENE-040426-1937</v>
      </c>
      <c r="J894" t="s">
        <v>2654</v>
      </c>
    </row>
    <row r="895" spans="1:10" x14ac:dyDescent="0.2">
      <c r="A895">
        <v>1.6785430982146901E-63</v>
      </c>
      <c r="B895">
        <v>0.508767028761961</v>
      </c>
      <c r="C895">
        <v>0.99099999999999999</v>
      </c>
      <c r="D895">
        <v>0.995</v>
      </c>
      <c r="E895">
        <v>2.3328391978987798E-59</v>
      </c>
      <c r="F895">
        <v>2</v>
      </c>
      <c r="G895" t="s">
        <v>849</v>
      </c>
      <c r="H895" t="s">
        <v>850</v>
      </c>
      <c r="I895" t="str">
        <f>HYPERLINK("https://zfin.org/ZDB-GENE-040426-2209")</f>
        <v>https://zfin.org/ZDB-GENE-040426-2209</v>
      </c>
      <c r="J895" t="s">
        <v>851</v>
      </c>
    </row>
    <row r="896" spans="1:10" x14ac:dyDescent="0.2">
      <c r="A896">
        <v>1.11811880839513E-61</v>
      </c>
      <c r="B896">
        <v>-2.3294282193225802</v>
      </c>
      <c r="C896">
        <v>0.60099999999999998</v>
      </c>
      <c r="D896">
        <v>0.878</v>
      </c>
      <c r="E896">
        <v>1.55396151990755E-57</v>
      </c>
      <c r="F896">
        <v>2</v>
      </c>
      <c r="G896" t="s">
        <v>1967</v>
      </c>
      <c r="H896" t="s">
        <v>1968</v>
      </c>
      <c r="I896" t="str">
        <f>HYPERLINK("https://zfin.org/ZDB-GENE-070705-532")</f>
        <v>https://zfin.org/ZDB-GENE-070705-532</v>
      </c>
      <c r="J896" t="s">
        <v>1969</v>
      </c>
    </row>
    <row r="897" spans="1:10" x14ac:dyDescent="0.2">
      <c r="A897">
        <v>1.16433567659041E-60</v>
      </c>
      <c r="B897">
        <v>-0.28401423283431998</v>
      </c>
      <c r="C897">
        <v>1</v>
      </c>
      <c r="D897">
        <v>0.998</v>
      </c>
      <c r="E897">
        <v>1.61819372332536E-56</v>
      </c>
      <c r="F897">
        <v>2</v>
      </c>
      <c r="G897" t="s">
        <v>752</v>
      </c>
      <c r="H897" t="s">
        <v>753</v>
      </c>
      <c r="I897" t="str">
        <f>HYPERLINK("https://zfin.org/ZDB-GENE-030805-3")</f>
        <v>https://zfin.org/ZDB-GENE-030805-3</v>
      </c>
      <c r="J897" t="s">
        <v>754</v>
      </c>
    </row>
    <row r="898" spans="1:10" x14ac:dyDescent="0.2">
      <c r="A898">
        <v>6.6381348631164301E-59</v>
      </c>
      <c r="B898">
        <v>0.94180676413098596</v>
      </c>
      <c r="C898">
        <v>0.314</v>
      </c>
      <c r="D898">
        <v>6.0999999999999999E-2</v>
      </c>
      <c r="E898">
        <v>9.2256798327592104E-55</v>
      </c>
      <c r="F898">
        <v>2</v>
      </c>
      <c r="G898" t="s">
        <v>2655</v>
      </c>
      <c r="H898" t="s">
        <v>2656</v>
      </c>
      <c r="I898" t="str">
        <f>HYPERLINK("https://zfin.org/ZDB-GENE-070410-49")</f>
        <v>https://zfin.org/ZDB-GENE-070410-49</v>
      </c>
      <c r="J898" t="s">
        <v>2657</v>
      </c>
    </row>
    <row r="899" spans="1:10" x14ac:dyDescent="0.2">
      <c r="A899">
        <v>2.46781726535954E-58</v>
      </c>
      <c r="B899">
        <v>-1.237024677428</v>
      </c>
      <c r="C899">
        <v>0.182</v>
      </c>
      <c r="D899">
        <v>0.66300000000000003</v>
      </c>
      <c r="E899">
        <v>3.42977243539669E-54</v>
      </c>
      <c r="F899">
        <v>2</v>
      </c>
      <c r="G899" t="s">
        <v>1558</v>
      </c>
      <c r="H899" t="s">
        <v>1559</v>
      </c>
      <c r="I899" t="str">
        <f>HYPERLINK("https://zfin.org/")</f>
        <v>https://zfin.org/</v>
      </c>
    </row>
    <row r="900" spans="1:10" x14ac:dyDescent="0.2">
      <c r="A900">
        <v>2.1038434431407099E-57</v>
      </c>
      <c r="B900">
        <v>0.81867333097261197</v>
      </c>
      <c r="C900">
        <v>0.23799999999999999</v>
      </c>
      <c r="D900">
        <v>3.2000000000000001E-2</v>
      </c>
      <c r="E900">
        <v>2.9239216172769498E-53</v>
      </c>
      <c r="F900">
        <v>2</v>
      </c>
      <c r="G900" t="s">
        <v>2658</v>
      </c>
      <c r="H900" t="s">
        <v>2659</v>
      </c>
      <c r="I900" t="str">
        <f>HYPERLINK("https://zfin.org/ZDB-GENE-081104-326")</f>
        <v>https://zfin.org/ZDB-GENE-081104-326</v>
      </c>
      <c r="J900" t="s">
        <v>2660</v>
      </c>
    </row>
    <row r="901" spans="1:10" x14ac:dyDescent="0.2">
      <c r="A901">
        <v>1.7252024455768999E-55</v>
      </c>
      <c r="B901">
        <v>1.19170603725292</v>
      </c>
      <c r="C901">
        <v>0.40500000000000003</v>
      </c>
      <c r="D901">
        <v>0.11600000000000001</v>
      </c>
      <c r="E901">
        <v>2.39768635886277E-51</v>
      </c>
      <c r="F901">
        <v>2</v>
      </c>
      <c r="G901" t="s">
        <v>2661</v>
      </c>
      <c r="H901" t="s">
        <v>2662</v>
      </c>
      <c r="I901" t="str">
        <f>HYPERLINK("https://zfin.org/ZDB-GENE-040319-2")</f>
        <v>https://zfin.org/ZDB-GENE-040319-2</v>
      </c>
      <c r="J901" t="s">
        <v>2663</v>
      </c>
    </row>
    <row r="902" spans="1:10" x14ac:dyDescent="0.2">
      <c r="A902">
        <v>2.6496746551218199E-55</v>
      </c>
      <c r="B902">
        <v>-1.3849403364684001</v>
      </c>
      <c r="C902">
        <v>0.20200000000000001</v>
      </c>
      <c r="D902">
        <v>0.64900000000000002</v>
      </c>
      <c r="E902">
        <v>3.6825178356882999E-51</v>
      </c>
      <c r="F902">
        <v>2</v>
      </c>
      <c r="G902" t="s">
        <v>2170</v>
      </c>
      <c r="H902" t="s">
        <v>2171</v>
      </c>
      <c r="I902" t="str">
        <f>HYPERLINK("https://zfin.org/ZDB-GENE-040426-2826")</f>
        <v>https://zfin.org/ZDB-GENE-040426-2826</v>
      </c>
      <c r="J902" t="s">
        <v>2172</v>
      </c>
    </row>
    <row r="903" spans="1:10" x14ac:dyDescent="0.2">
      <c r="A903">
        <v>4.9448190805976203E-54</v>
      </c>
      <c r="B903">
        <v>-1.7714485734710701</v>
      </c>
      <c r="C903">
        <v>0.47799999999999998</v>
      </c>
      <c r="D903">
        <v>0.81</v>
      </c>
      <c r="E903">
        <v>6.8723095582145702E-50</v>
      </c>
      <c r="F903">
        <v>2</v>
      </c>
      <c r="G903" t="s">
        <v>1892</v>
      </c>
      <c r="H903" t="s">
        <v>1893</v>
      </c>
      <c r="I903" t="str">
        <f>HYPERLINK("https://zfin.org/ZDB-GENE-121214-200")</f>
        <v>https://zfin.org/ZDB-GENE-121214-200</v>
      </c>
      <c r="J903" t="s">
        <v>1894</v>
      </c>
    </row>
    <row r="904" spans="1:10" x14ac:dyDescent="0.2">
      <c r="A904">
        <v>6.1588647857150003E-54</v>
      </c>
      <c r="B904">
        <v>0.894815838258188</v>
      </c>
      <c r="C904">
        <v>0.76500000000000001</v>
      </c>
      <c r="D904">
        <v>0.49299999999999999</v>
      </c>
      <c r="E904">
        <v>8.5595902791867001E-50</v>
      </c>
      <c r="F904">
        <v>2</v>
      </c>
      <c r="G904" t="s">
        <v>2334</v>
      </c>
      <c r="H904" t="s">
        <v>2335</v>
      </c>
      <c r="I904" t="str">
        <f>HYPERLINK("https://zfin.org/ZDB-GENE-030131-6757")</f>
        <v>https://zfin.org/ZDB-GENE-030131-6757</v>
      </c>
      <c r="J904" t="s">
        <v>2336</v>
      </c>
    </row>
    <row r="905" spans="1:10" x14ac:dyDescent="0.2">
      <c r="A905">
        <v>1.7912668558074902E-52</v>
      </c>
      <c r="B905">
        <v>0.946215916815069</v>
      </c>
      <c r="C905">
        <v>0.88</v>
      </c>
      <c r="D905">
        <v>0.72499999999999998</v>
      </c>
      <c r="E905">
        <v>2.4895026762012499E-48</v>
      </c>
      <c r="F905">
        <v>2</v>
      </c>
      <c r="G905" t="s">
        <v>2232</v>
      </c>
      <c r="H905" t="s">
        <v>2233</v>
      </c>
      <c r="I905" t="str">
        <f>HYPERLINK("https://zfin.org/ZDB-GENE-030131-8575")</f>
        <v>https://zfin.org/ZDB-GENE-030131-8575</v>
      </c>
      <c r="J905" t="s">
        <v>2234</v>
      </c>
    </row>
    <row r="906" spans="1:10" x14ac:dyDescent="0.2">
      <c r="A906">
        <v>7.6376217063485803E-49</v>
      </c>
      <c r="B906">
        <v>0.88549854874866396</v>
      </c>
      <c r="C906">
        <v>0.28699999999999998</v>
      </c>
      <c r="D906">
        <v>6.0999999999999999E-2</v>
      </c>
      <c r="E906">
        <v>1.0614766647483299E-44</v>
      </c>
      <c r="F906">
        <v>2</v>
      </c>
      <c r="G906" t="s">
        <v>2664</v>
      </c>
      <c r="H906" t="s">
        <v>2665</v>
      </c>
      <c r="I906" t="str">
        <f>HYPERLINK("https://zfin.org/ZDB-GENE-121129-3")</f>
        <v>https://zfin.org/ZDB-GENE-121129-3</v>
      </c>
      <c r="J906" t="s">
        <v>2666</v>
      </c>
    </row>
    <row r="907" spans="1:10" x14ac:dyDescent="0.2">
      <c r="A907">
        <v>9.6239924990274004E-49</v>
      </c>
      <c r="B907">
        <v>0.83995135039188995</v>
      </c>
      <c r="C907">
        <v>0.214</v>
      </c>
      <c r="D907">
        <v>3.1E-2</v>
      </c>
      <c r="E907">
        <v>1.3375424775148299E-44</v>
      </c>
      <c r="F907">
        <v>2</v>
      </c>
      <c r="G907" t="s">
        <v>2667</v>
      </c>
      <c r="H907" t="s">
        <v>2668</v>
      </c>
      <c r="I907" t="str">
        <f>HYPERLINK("https://zfin.org/ZDB-GENE-081104-210")</f>
        <v>https://zfin.org/ZDB-GENE-081104-210</v>
      </c>
      <c r="J907" t="s">
        <v>2669</v>
      </c>
    </row>
    <row r="908" spans="1:10" x14ac:dyDescent="0.2">
      <c r="A908">
        <v>1.12230491210352E-46</v>
      </c>
      <c r="B908">
        <v>0.99810187119815497</v>
      </c>
      <c r="C908">
        <v>0.437</v>
      </c>
      <c r="D908">
        <v>0.154</v>
      </c>
      <c r="E908">
        <v>1.5597793668414701E-42</v>
      </c>
      <c r="F908">
        <v>2</v>
      </c>
      <c r="G908" t="s">
        <v>816</v>
      </c>
      <c r="H908" t="s">
        <v>817</v>
      </c>
      <c r="I908" t="str">
        <f>HYPERLINK("https://zfin.org/ZDB-GENE-050417-175")</f>
        <v>https://zfin.org/ZDB-GENE-050417-175</v>
      </c>
      <c r="J908" t="s">
        <v>818</v>
      </c>
    </row>
    <row r="909" spans="1:10" x14ac:dyDescent="0.2">
      <c r="A909">
        <v>6.0167178100585803E-46</v>
      </c>
      <c r="B909">
        <v>0.65308044440740598</v>
      </c>
      <c r="C909">
        <v>0.155</v>
      </c>
      <c r="D909">
        <v>1.4999999999999999E-2</v>
      </c>
      <c r="E909">
        <v>8.3620344124194205E-42</v>
      </c>
      <c r="F909">
        <v>2</v>
      </c>
      <c r="G909" t="s">
        <v>2670</v>
      </c>
      <c r="H909" t="s">
        <v>2671</v>
      </c>
      <c r="I909" t="str">
        <f>HYPERLINK("https://zfin.org/ZDB-GENE-030131-9839")</f>
        <v>https://zfin.org/ZDB-GENE-030131-9839</v>
      </c>
      <c r="J909" t="s">
        <v>2672</v>
      </c>
    </row>
    <row r="910" spans="1:10" x14ac:dyDescent="0.2">
      <c r="A910">
        <v>1.1526063206418899E-45</v>
      </c>
      <c r="B910">
        <v>-1.2988311836491899</v>
      </c>
      <c r="C910">
        <v>0.11700000000000001</v>
      </c>
      <c r="D910">
        <v>0.53800000000000003</v>
      </c>
      <c r="E910">
        <v>1.6018922644281E-41</v>
      </c>
      <c r="F910">
        <v>2</v>
      </c>
      <c r="G910" t="s">
        <v>2262</v>
      </c>
      <c r="H910" t="s">
        <v>2263</v>
      </c>
      <c r="I910" t="str">
        <f>HYPERLINK("https://zfin.org/ZDB-GENE-030131-2159")</f>
        <v>https://zfin.org/ZDB-GENE-030131-2159</v>
      </c>
      <c r="J910" t="s">
        <v>2264</v>
      </c>
    </row>
    <row r="911" spans="1:10" x14ac:dyDescent="0.2">
      <c r="A911">
        <v>3.8630454928569199E-45</v>
      </c>
      <c r="B911">
        <v>-1.9876755882625901</v>
      </c>
      <c r="C911">
        <v>0.73899999999999999</v>
      </c>
      <c r="D911">
        <v>0.91</v>
      </c>
      <c r="E911">
        <v>5.3688606259725503E-41</v>
      </c>
      <c r="F911">
        <v>2</v>
      </c>
      <c r="G911" t="s">
        <v>2259</v>
      </c>
      <c r="H911" t="s">
        <v>2260</v>
      </c>
      <c r="I911" t="str">
        <f>HYPERLINK("https://zfin.org/ZDB-GENE-121214-193")</f>
        <v>https://zfin.org/ZDB-GENE-121214-193</v>
      </c>
      <c r="J911" t="s">
        <v>2261</v>
      </c>
    </row>
    <row r="912" spans="1:10" x14ac:dyDescent="0.2">
      <c r="A912">
        <v>1.6406350235747301E-44</v>
      </c>
      <c r="B912">
        <v>0.95273692832037904</v>
      </c>
      <c r="C912">
        <v>0.57199999999999995</v>
      </c>
      <c r="D912">
        <v>0.26700000000000002</v>
      </c>
      <c r="E912">
        <v>2.28015455576416E-40</v>
      </c>
      <c r="F912">
        <v>2</v>
      </c>
      <c r="G912" t="s">
        <v>2673</v>
      </c>
      <c r="H912" t="s">
        <v>2674</v>
      </c>
      <c r="I912" t="str">
        <f>HYPERLINK("https://zfin.org/ZDB-GENE-061103-283")</f>
        <v>https://zfin.org/ZDB-GENE-061103-283</v>
      </c>
      <c r="J912" t="s">
        <v>2675</v>
      </c>
    </row>
    <row r="913" spans="1:10" x14ac:dyDescent="0.2">
      <c r="A913">
        <v>8.3590737597159501E-44</v>
      </c>
      <c r="B913">
        <v>0.74778302545479602</v>
      </c>
      <c r="C913">
        <v>0.95</v>
      </c>
      <c r="D913">
        <v>0.85299999999999998</v>
      </c>
      <c r="E913">
        <v>1.16174407112532E-39</v>
      </c>
      <c r="F913">
        <v>2</v>
      </c>
      <c r="G913" t="s">
        <v>1353</v>
      </c>
      <c r="H913" t="s">
        <v>1354</v>
      </c>
      <c r="I913" t="str">
        <f>HYPERLINK("https://zfin.org/")</f>
        <v>https://zfin.org/</v>
      </c>
    </row>
    <row r="914" spans="1:10" x14ac:dyDescent="0.2">
      <c r="A914">
        <v>1.38193982068822E-42</v>
      </c>
      <c r="B914">
        <v>0.54280450008945702</v>
      </c>
      <c r="C914">
        <v>0.126</v>
      </c>
      <c r="D914">
        <v>0.01</v>
      </c>
      <c r="E914">
        <v>1.9206199627924799E-38</v>
      </c>
      <c r="F914">
        <v>2</v>
      </c>
      <c r="G914" t="s">
        <v>2676</v>
      </c>
      <c r="H914" t="s">
        <v>2677</v>
      </c>
      <c r="I914" t="str">
        <f>HYPERLINK("https://zfin.org/ZDB-GENE-040310-5")</f>
        <v>https://zfin.org/ZDB-GENE-040310-5</v>
      </c>
      <c r="J914" t="s">
        <v>2678</v>
      </c>
    </row>
    <row r="915" spans="1:10" x14ac:dyDescent="0.2">
      <c r="A915">
        <v>3.3236608843465802E-41</v>
      </c>
      <c r="B915">
        <v>0.87882278288679705</v>
      </c>
      <c r="C915">
        <v>0.65700000000000003</v>
      </c>
      <c r="D915">
        <v>0.39300000000000002</v>
      </c>
      <c r="E915">
        <v>4.6192238970648696E-37</v>
      </c>
      <c r="F915">
        <v>2</v>
      </c>
      <c r="G915" t="s">
        <v>2391</v>
      </c>
      <c r="H915" t="s">
        <v>2392</v>
      </c>
      <c r="I915" t="str">
        <f>HYPERLINK("https://zfin.org/ZDB-GENE-020802-2")</f>
        <v>https://zfin.org/ZDB-GENE-020802-2</v>
      </c>
      <c r="J915" t="s">
        <v>2393</v>
      </c>
    </row>
    <row r="916" spans="1:10" x14ac:dyDescent="0.2">
      <c r="A916">
        <v>5.3288591921660504E-41</v>
      </c>
      <c r="B916">
        <v>0.71059386621634302</v>
      </c>
      <c r="C916">
        <v>0.17299999999999999</v>
      </c>
      <c r="D916">
        <v>2.4E-2</v>
      </c>
      <c r="E916">
        <v>7.4060485052723801E-37</v>
      </c>
      <c r="F916">
        <v>2</v>
      </c>
      <c r="G916" t="s">
        <v>2679</v>
      </c>
      <c r="H916" t="s">
        <v>2680</v>
      </c>
      <c r="I916" t="str">
        <f>HYPERLINK("https://zfin.org/ZDB-GENE-070727-1")</f>
        <v>https://zfin.org/ZDB-GENE-070727-1</v>
      </c>
      <c r="J916" t="s">
        <v>2681</v>
      </c>
    </row>
    <row r="917" spans="1:10" x14ac:dyDescent="0.2">
      <c r="A917">
        <v>8.5404027687724998E-41</v>
      </c>
      <c r="B917">
        <v>-0.81005469140600095</v>
      </c>
      <c r="C917">
        <v>0.29299999999999998</v>
      </c>
      <c r="D917">
        <v>0.71199999999999997</v>
      </c>
      <c r="E917">
        <v>1.1869451768039999E-36</v>
      </c>
      <c r="F917">
        <v>2</v>
      </c>
      <c r="G917" t="s">
        <v>1638</v>
      </c>
      <c r="H917" t="s">
        <v>1639</v>
      </c>
      <c r="I917" t="str">
        <f>HYPERLINK("https://zfin.org/ZDB-GENE-010129-1")</f>
        <v>https://zfin.org/ZDB-GENE-010129-1</v>
      </c>
      <c r="J917" t="s">
        <v>1640</v>
      </c>
    </row>
    <row r="918" spans="1:10" x14ac:dyDescent="0.2">
      <c r="A918">
        <v>1.41903361560818E-40</v>
      </c>
      <c r="B918">
        <v>-1.0570332217202401</v>
      </c>
      <c r="C918">
        <v>5.2999999999999999E-2</v>
      </c>
      <c r="D918">
        <v>0.443</v>
      </c>
      <c r="E918">
        <v>1.9721729189722499E-36</v>
      </c>
      <c r="F918">
        <v>2</v>
      </c>
      <c r="G918" t="s">
        <v>2274</v>
      </c>
      <c r="H918" t="s">
        <v>2275</v>
      </c>
      <c r="I918" t="str">
        <f>HYPERLINK("https://zfin.org/ZDB-GENE-041114-138")</f>
        <v>https://zfin.org/ZDB-GENE-041114-138</v>
      </c>
      <c r="J918" t="s">
        <v>2276</v>
      </c>
    </row>
    <row r="919" spans="1:10" x14ac:dyDescent="0.2">
      <c r="A919">
        <v>5.7404218786123002E-40</v>
      </c>
      <c r="B919">
        <v>-0.51094482837031097</v>
      </c>
      <c r="C919">
        <v>0.92100000000000004</v>
      </c>
      <c r="D919">
        <v>0.98799999999999999</v>
      </c>
      <c r="E919">
        <v>7.9780383268953705E-36</v>
      </c>
      <c r="F919">
        <v>2</v>
      </c>
      <c r="G919" t="s">
        <v>1883</v>
      </c>
      <c r="H919" t="s">
        <v>1884</v>
      </c>
      <c r="I919" t="str">
        <f>HYPERLINK("https://zfin.org/ZDB-GENE-070327-2")</f>
        <v>https://zfin.org/ZDB-GENE-070327-2</v>
      </c>
      <c r="J919" t="s">
        <v>1885</v>
      </c>
    </row>
    <row r="920" spans="1:10" x14ac:dyDescent="0.2">
      <c r="A920">
        <v>1.96985680445898E-39</v>
      </c>
      <c r="B920">
        <v>0.95624731568767596</v>
      </c>
      <c r="C920">
        <v>0.375</v>
      </c>
      <c r="D920">
        <v>0.128</v>
      </c>
      <c r="E920">
        <v>2.7377069868370898E-35</v>
      </c>
      <c r="F920">
        <v>2</v>
      </c>
      <c r="G920" t="s">
        <v>2682</v>
      </c>
      <c r="H920" t="s">
        <v>2683</v>
      </c>
      <c r="I920" t="str">
        <f>HYPERLINK("https://zfin.org/ZDB-GENE-030311-1")</f>
        <v>https://zfin.org/ZDB-GENE-030311-1</v>
      </c>
      <c r="J920" t="s">
        <v>2684</v>
      </c>
    </row>
    <row r="921" spans="1:10" x14ac:dyDescent="0.2">
      <c r="A921">
        <v>2.5531724330962402E-38</v>
      </c>
      <c r="B921">
        <v>-1.1799936165966201</v>
      </c>
      <c r="C921">
        <v>0.27900000000000003</v>
      </c>
      <c r="D921">
        <v>0.64900000000000002</v>
      </c>
      <c r="E921">
        <v>3.5483990475171501E-34</v>
      </c>
      <c r="F921">
        <v>2</v>
      </c>
      <c r="G921" t="s">
        <v>2511</v>
      </c>
      <c r="H921" t="s">
        <v>2512</v>
      </c>
      <c r="I921" t="str">
        <f>HYPERLINK("https://zfin.org/ZDB-GENE-000619-1")</f>
        <v>https://zfin.org/ZDB-GENE-000619-1</v>
      </c>
      <c r="J921" t="s">
        <v>2513</v>
      </c>
    </row>
    <row r="922" spans="1:10" x14ac:dyDescent="0.2">
      <c r="A922">
        <v>7.3865490528761603E-38</v>
      </c>
      <c r="B922">
        <v>0.63143665548913097</v>
      </c>
      <c r="C922">
        <v>0.20799999999999999</v>
      </c>
      <c r="D922">
        <v>3.9E-2</v>
      </c>
      <c r="E922">
        <v>1.0265825873687299E-33</v>
      </c>
      <c r="F922">
        <v>2</v>
      </c>
      <c r="G922" t="s">
        <v>2685</v>
      </c>
      <c r="H922" t="s">
        <v>2686</v>
      </c>
      <c r="I922" t="str">
        <f>HYPERLINK("https://zfin.org/ZDB-GENE-060610-3")</f>
        <v>https://zfin.org/ZDB-GENE-060610-3</v>
      </c>
      <c r="J922" t="s">
        <v>2687</v>
      </c>
    </row>
    <row r="923" spans="1:10" x14ac:dyDescent="0.2">
      <c r="A923">
        <v>2.0604330034373701E-37</v>
      </c>
      <c r="B923">
        <v>0.67724507105729304</v>
      </c>
      <c r="C923">
        <v>0.23799999999999999</v>
      </c>
      <c r="D923">
        <v>5.1999999999999998E-2</v>
      </c>
      <c r="E923">
        <v>2.8635897881772501E-33</v>
      </c>
      <c r="F923">
        <v>2</v>
      </c>
      <c r="G923" t="s">
        <v>2688</v>
      </c>
      <c r="H923" t="s">
        <v>2689</v>
      </c>
      <c r="I923" t="str">
        <f>HYPERLINK("https://zfin.org/ZDB-GENE-090312-170")</f>
        <v>https://zfin.org/ZDB-GENE-090312-170</v>
      </c>
      <c r="J923" t="s">
        <v>2690</v>
      </c>
    </row>
    <row r="924" spans="1:10" x14ac:dyDescent="0.2">
      <c r="A924">
        <v>4.2403530795730897E-37</v>
      </c>
      <c r="B924">
        <v>0.62741548977424899</v>
      </c>
      <c r="C924">
        <v>0.92400000000000004</v>
      </c>
      <c r="D924">
        <v>0.82899999999999996</v>
      </c>
      <c r="E924">
        <v>5.8932427099906798E-33</v>
      </c>
      <c r="F924">
        <v>2</v>
      </c>
      <c r="G924" t="s">
        <v>1857</v>
      </c>
      <c r="H924" t="s">
        <v>1858</v>
      </c>
      <c r="I924" t="str">
        <f>HYPERLINK("https://zfin.org/ZDB-GENE-030131-8599")</f>
        <v>https://zfin.org/ZDB-GENE-030131-8599</v>
      </c>
      <c r="J924" t="s">
        <v>1859</v>
      </c>
    </row>
    <row r="925" spans="1:10" x14ac:dyDescent="0.2">
      <c r="A925">
        <v>7.3091880805850501E-37</v>
      </c>
      <c r="B925">
        <v>0.73466923577658705</v>
      </c>
      <c r="C925">
        <v>0.152</v>
      </c>
      <c r="D925">
        <v>0.02</v>
      </c>
      <c r="E925">
        <v>1.01583095943971E-32</v>
      </c>
      <c r="F925">
        <v>2</v>
      </c>
      <c r="G925" t="s">
        <v>2691</v>
      </c>
      <c r="H925" t="s">
        <v>2692</v>
      </c>
      <c r="I925" t="str">
        <f>HYPERLINK("https://zfin.org/ZDB-GENE-120104-1")</f>
        <v>https://zfin.org/ZDB-GENE-120104-1</v>
      </c>
      <c r="J925" t="s">
        <v>2693</v>
      </c>
    </row>
    <row r="926" spans="1:10" x14ac:dyDescent="0.2">
      <c r="A926">
        <v>1.23615135523773E-36</v>
      </c>
      <c r="B926">
        <v>0.68709500911999299</v>
      </c>
      <c r="C926">
        <v>0.16400000000000001</v>
      </c>
      <c r="D926">
        <v>2.4E-2</v>
      </c>
      <c r="E926">
        <v>1.7180031535094001E-32</v>
      </c>
      <c r="F926">
        <v>2</v>
      </c>
      <c r="G926" t="s">
        <v>2694</v>
      </c>
      <c r="H926" t="s">
        <v>2695</v>
      </c>
      <c r="I926" t="str">
        <f>HYPERLINK("https://zfin.org/ZDB-GENE-030131-9242")</f>
        <v>https://zfin.org/ZDB-GENE-030131-9242</v>
      </c>
      <c r="J926" t="s">
        <v>2696</v>
      </c>
    </row>
    <row r="927" spans="1:10" x14ac:dyDescent="0.2">
      <c r="A927">
        <v>2.1671710071510301E-36</v>
      </c>
      <c r="B927">
        <v>-1.20305129370352</v>
      </c>
      <c r="C927">
        <v>8.5000000000000006E-2</v>
      </c>
      <c r="D927">
        <v>0.45</v>
      </c>
      <c r="E927">
        <v>3.0119342657385001E-32</v>
      </c>
      <c r="F927">
        <v>2</v>
      </c>
      <c r="G927" t="s">
        <v>2697</v>
      </c>
      <c r="H927" t="s">
        <v>2698</v>
      </c>
      <c r="I927" t="str">
        <f>HYPERLINK("https://zfin.org/ZDB-GENE-141215-49")</f>
        <v>https://zfin.org/ZDB-GENE-141215-49</v>
      </c>
      <c r="J927" t="s">
        <v>2699</v>
      </c>
    </row>
    <row r="928" spans="1:10" x14ac:dyDescent="0.2">
      <c r="A928">
        <v>2.4209334884887601E-35</v>
      </c>
      <c r="B928">
        <v>0.48904927975568002</v>
      </c>
      <c r="C928">
        <v>0.93500000000000005</v>
      </c>
      <c r="D928">
        <v>0.91300000000000003</v>
      </c>
      <c r="E928">
        <v>3.3646133623016798E-31</v>
      </c>
      <c r="F928">
        <v>2</v>
      </c>
      <c r="G928" t="s">
        <v>1743</v>
      </c>
      <c r="H928" t="s">
        <v>1744</v>
      </c>
      <c r="I928" t="str">
        <f>HYPERLINK("https://zfin.org/ZDB-GENE-050208-726")</f>
        <v>https://zfin.org/ZDB-GENE-050208-726</v>
      </c>
      <c r="J928" t="s">
        <v>1745</v>
      </c>
    </row>
    <row r="929" spans="1:10" x14ac:dyDescent="0.2">
      <c r="A929">
        <v>3.1391362504989202E-35</v>
      </c>
      <c r="B929">
        <v>-0.93614437064824196</v>
      </c>
      <c r="C929">
        <v>7.2999999999999995E-2</v>
      </c>
      <c r="D929">
        <v>0.438</v>
      </c>
      <c r="E929">
        <v>4.3627715609433901E-31</v>
      </c>
      <c r="F929">
        <v>2</v>
      </c>
      <c r="G929" t="s">
        <v>2700</v>
      </c>
      <c r="H929" t="s">
        <v>2701</v>
      </c>
      <c r="I929" t="str">
        <f>HYPERLINK("https://zfin.org/ZDB-GENE-050417-338")</f>
        <v>https://zfin.org/ZDB-GENE-050417-338</v>
      </c>
      <c r="J929" t="s">
        <v>2702</v>
      </c>
    </row>
    <row r="930" spans="1:10" x14ac:dyDescent="0.2">
      <c r="A930">
        <v>7.5986707524501901E-35</v>
      </c>
      <c r="B930">
        <v>-0.69597210489481098</v>
      </c>
      <c r="C930">
        <v>0.45200000000000001</v>
      </c>
      <c r="D930">
        <v>0.80900000000000005</v>
      </c>
      <c r="E930">
        <v>1.05606326117553E-30</v>
      </c>
      <c r="F930">
        <v>2</v>
      </c>
      <c r="G930" t="s">
        <v>1827</v>
      </c>
      <c r="H930" t="s">
        <v>1828</v>
      </c>
      <c r="I930" t="str">
        <f>HYPERLINK("https://zfin.org/ZDB-GENE-050307-5")</f>
        <v>https://zfin.org/ZDB-GENE-050307-5</v>
      </c>
      <c r="J930" t="s">
        <v>1829</v>
      </c>
    </row>
    <row r="931" spans="1:10" x14ac:dyDescent="0.2">
      <c r="A931">
        <v>1.3544533655491201E-34</v>
      </c>
      <c r="B931">
        <v>0.60251084728605597</v>
      </c>
      <c r="C931">
        <v>0.877</v>
      </c>
      <c r="D931">
        <v>0.79200000000000004</v>
      </c>
      <c r="E931">
        <v>1.8824192874401698E-30</v>
      </c>
      <c r="F931">
        <v>2</v>
      </c>
      <c r="G931" t="s">
        <v>1227</v>
      </c>
      <c r="H931" t="s">
        <v>1228</v>
      </c>
      <c r="I931" t="str">
        <f>HYPERLINK("https://zfin.org/ZDB-GENE-060316-3")</f>
        <v>https://zfin.org/ZDB-GENE-060316-3</v>
      </c>
      <c r="J931" t="s">
        <v>1229</v>
      </c>
    </row>
    <row r="932" spans="1:10" x14ac:dyDescent="0.2">
      <c r="A932">
        <v>1.6761490890758299E-34</v>
      </c>
      <c r="B932">
        <v>0.62157336434973598</v>
      </c>
      <c r="C932">
        <v>0.17299999999999999</v>
      </c>
      <c r="D932">
        <v>0.03</v>
      </c>
      <c r="E932">
        <v>2.3295120039975899E-30</v>
      </c>
      <c r="F932">
        <v>2</v>
      </c>
      <c r="G932" t="s">
        <v>2703</v>
      </c>
      <c r="H932" t="s">
        <v>2704</v>
      </c>
      <c r="I932" t="str">
        <f>HYPERLINK("https://zfin.org/ZDB-GENE-090218-29")</f>
        <v>https://zfin.org/ZDB-GENE-090218-29</v>
      </c>
      <c r="J932" t="s">
        <v>2705</v>
      </c>
    </row>
    <row r="933" spans="1:10" x14ac:dyDescent="0.2">
      <c r="A933">
        <v>2.4982251110126199E-34</v>
      </c>
      <c r="B933">
        <v>-0.55421991578139995</v>
      </c>
      <c r="C933">
        <v>0.84199999999999997</v>
      </c>
      <c r="D933">
        <v>0.97299999999999998</v>
      </c>
      <c r="E933">
        <v>3.4720332592853398E-30</v>
      </c>
      <c r="F933">
        <v>2</v>
      </c>
      <c r="G933" t="s">
        <v>1293</v>
      </c>
      <c r="H933" t="s">
        <v>1294</v>
      </c>
      <c r="I933" t="str">
        <f>HYPERLINK("https://zfin.org/ZDB-GENE-030131-9744")</f>
        <v>https://zfin.org/ZDB-GENE-030131-9744</v>
      </c>
      <c r="J933" t="s">
        <v>1295</v>
      </c>
    </row>
    <row r="934" spans="1:10" x14ac:dyDescent="0.2">
      <c r="A934">
        <v>8.3687664280595197E-34</v>
      </c>
      <c r="B934">
        <v>0.53644969407722898</v>
      </c>
      <c r="C934">
        <v>0.96199999999999997</v>
      </c>
      <c r="D934">
        <v>0.92700000000000005</v>
      </c>
      <c r="E934">
        <v>1.16309115817171E-29</v>
      </c>
      <c r="F934">
        <v>2</v>
      </c>
      <c r="G934" t="s">
        <v>1065</v>
      </c>
      <c r="H934" t="s">
        <v>1066</v>
      </c>
      <c r="I934" t="str">
        <f>HYPERLINK("https://zfin.org/ZDB-GENE-030131-3532")</f>
        <v>https://zfin.org/ZDB-GENE-030131-3532</v>
      </c>
      <c r="J934" t="s">
        <v>1067</v>
      </c>
    </row>
    <row r="935" spans="1:10" x14ac:dyDescent="0.2">
      <c r="A935">
        <v>1.1223548980965201E-33</v>
      </c>
      <c r="B935">
        <v>-1.2629536675484501</v>
      </c>
      <c r="C935">
        <v>0.129</v>
      </c>
      <c r="D935">
        <v>0.47699999999999998</v>
      </c>
      <c r="E935">
        <v>1.5598488373745401E-29</v>
      </c>
      <c r="F935">
        <v>2</v>
      </c>
      <c r="G935" t="s">
        <v>2706</v>
      </c>
      <c r="H935" t="s">
        <v>2707</v>
      </c>
      <c r="I935" t="str">
        <f>HYPERLINK("https://zfin.org/ZDB-GENE-080829-12")</f>
        <v>https://zfin.org/ZDB-GENE-080829-12</v>
      </c>
      <c r="J935" t="s">
        <v>2708</v>
      </c>
    </row>
    <row r="936" spans="1:10" x14ac:dyDescent="0.2">
      <c r="A936">
        <v>1.50374644962488E-33</v>
      </c>
      <c r="B936">
        <v>0.87416818179144196</v>
      </c>
      <c r="C936">
        <v>0.628</v>
      </c>
      <c r="D936">
        <v>0.40600000000000003</v>
      </c>
      <c r="E936">
        <v>2.0899068156886599E-29</v>
      </c>
      <c r="F936">
        <v>2</v>
      </c>
      <c r="G936" t="s">
        <v>2709</v>
      </c>
      <c r="H936" t="s">
        <v>2710</v>
      </c>
      <c r="I936" t="str">
        <f>HYPERLINK("https://zfin.org/ZDB-GENE-060503-288")</f>
        <v>https://zfin.org/ZDB-GENE-060503-288</v>
      </c>
      <c r="J936" t="s">
        <v>2711</v>
      </c>
    </row>
    <row r="937" spans="1:10" x14ac:dyDescent="0.2">
      <c r="A937">
        <v>2.1662482469193499E-33</v>
      </c>
      <c r="B937">
        <v>0.61833705223311597</v>
      </c>
      <c r="C937">
        <v>0.93</v>
      </c>
      <c r="D937">
        <v>0.86499999999999999</v>
      </c>
      <c r="E937">
        <v>3.01065181356851E-29</v>
      </c>
      <c r="F937">
        <v>2</v>
      </c>
      <c r="G937" t="s">
        <v>1116</v>
      </c>
      <c r="H937" t="s">
        <v>1117</v>
      </c>
      <c r="I937" t="str">
        <f>HYPERLINK("https://zfin.org/ZDB-GENE-110411-160")</f>
        <v>https://zfin.org/ZDB-GENE-110411-160</v>
      </c>
      <c r="J937" t="s">
        <v>1118</v>
      </c>
    </row>
    <row r="938" spans="1:10" x14ac:dyDescent="0.2">
      <c r="A938">
        <v>4.1771342567072301E-33</v>
      </c>
      <c r="B938">
        <v>0.47766418631673602</v>
      </c>
      <c r="C938">
        <v>0.95899999999999996</v>
      </c>
      <c r="D938">
        <v>0.96099999999999997</v>
      </c>
      <c r="E938">
        <v>5.8053811899717198E-29</v>
      </c>
      <c r="F938">
        <v>2</v>
      </c>
      <c r="G938" t="s">
        <v>1032</v>
      </c>
      <c r="H938" t="s">
        <v>1033</v>
      </c>
      <c r="I938" t="str">
        <f>HYPERLINK("https://zfin.org/ZDB-GENE-040426-2315")</f>
        <v>https://zfin.org/ZDB-GENE-040426-2315</v>
      </c>
      <c r="J938" t="s">
        <v>1034</v>
      </c>
    </row>
    <row r="939" spans="1:10" x14ac:dyDescent="0.2">
      <c r="A939">
        <v>1.32348931105232E-32</v>
      </c>
      <c r="B939">
        <v>0.89495843393765695</v>
      </c>
      <c r="C939">
        <v>0.46</v>
      </c>
      <c r="D939">
        <v>0.219</v>
      </c>
      <c r="E939">
        <v>1.83938544450051E-28</v>
      </c>
      <c r="F939">
        <v>2</v>
      </c>
      <c r="G939" t="s">
        <v>2712</v>
      </c>
      <c r="H939" t="s">
        <v>2713</v>
      </c>
      <c r="I939" t="str">
        <f>HYPERLINK("https://zfin.org/ZDB-GENE-091204-95")</f>
        <v>https://zfin.org/ZDB-GENE-091204-95</v>
      </c>
      <c r="J939" t="s">
        <v>2714</v>
      </c>
    </row>
    <row r="940" spans="1:10" x14ac:dyDescent="0.2">
      <c r="A940">
        <v>1.4070546879948E-31</v>
      </c>
      <c r="B940">
        <v>0.51226766464935902</v>
      </c>
      <c r="C940">
        <v>0.11700000000000001</v>
      </c>
      <c r="D940">
        <v>1.4E-2</v>
      </c>
      <c r="E940">
        <v>1.9555246053751801E-27</v>
      </c>
      <c r="F940">
        <v>2</v>
      </c>
      <c r="G940" t="s">
        <v>2715</v>
      </c>
      <c r="H940" t="s">
        <v>2716</v>
      </c>
      <c r="I940" t="str">
        <f>HYPERLINK("https://zfin.org/ZDB-GENE-100405-1")</f>
        <v>https://zfin.org/ZDB-GENE-100405-1</v>
      </c>
      <c r="J940" t="s">
        <v>2717</v>
      </c>
    </row>
    <row r="941" spans="1:10" x14ac:dyDescent="0.2">
      <c r="A941">
        <v>1.9052046258149601E-31</v>
      </c>
      <c r="B941">
        <v>0.83483088885259404</v>
      </c>
      <c r="C941">
        <v>0.378</v>
      </c>
      <c r="D941">
        <v>0.152</v>
      </c>
      <c r="E941">
        <v>2.6478533889576299E-27</v>
      </c>
      <c r="F941">
        <v>2</v>
      </c>
      <c r="G941" t="s">
        <v>2718</v>
      </c>
      <c r="H941" t="s">
        <v>2719</v>
      </c>
      <c r="I941" t="str">
        <f>HYPERLINK("https://zfin.org/ZDB-GENE-070705-81")</f>
        <v>https://zfin.org/ZDB-GENE-070705-81</v>
      </c>
      <c r="J941" t="s">
        <v>2720</v>
      </c>
    </row>
    <row r="942" spans="1:10" x14ac:dyDescent="0.2">
      <c r="A942">
        <v>4.8759855238951902E-31</v>
      </c>
      <c r="B942">
        <v>-0.34765599589016699</v>
      </c>
      <c r="C942">
        <v>0.997</v>
      </c>
      <c r="D942">
        <v>0.997</v>
      </c>
      <c r="E942">
        <v>6.7766446811095301E-27</v>
      </c>
      <c r="F942">
        <v>2</v>
      </c>
      <c r="G942" t="s">
        <v>1653</v>
      </c>
      <c r="H942" t="s">
        <v>1654</v>
      </c>
      <c r="I942" t="str">
        <f>HYPERLINK("https://zfin.org/ZDB-GENE-040426-2284")</f>
        <v>https://zfin.org/ZDB-GENE-040426-2284</v>
      </c>
      <c r="J942" t="s">
        <v>1655</v>
      </c>
    </row>
    <row r="943" spans="1:10" x14ac:dyDescent="0.2">
      <c r="A943">
        <v>1.20659681368905E-30</v>
      </c>
      <c r="B943">
        <v>0.83511314947797599</v>
      </c>
      <c r="C943">
        <v>0.46</v>
      </c>
      <c r="D943">
        <v>0.22800000000000001</v>
      </c>
      <c r="E943">
        <v>1.6769282516650401E-26</v>
      </c>
      <c r="F943">
        <v>2</v>
      </c>
      <c r="G943" t="s">
        <v>2721</v>
      </c>
      <c r="H943" t="s">
        <v>2722</v>
      </c>
      <c r="I943" t="str">
        <f>HYPERLINK("https://zfin.org/ZDB-GENE-010606-1")</f>
        <v>https://zfin.org/ZDB-GENE-010606-1</v>
      </c>
      <c r="J943" t="s">
        <v>2723</v>
      </c>
    </row>
    <row r="944" spans="1:10" x14ac:dyDescent="0.2">
      <c r="A944">
        <v>2.57246952087629E-30</v>
      </c>
      <c r="B944">
        <v>-0.395594596268874</v>
      </c>
      <c r="C944">
        <v>0.96199999999999997</v>
      </c>
      <c r="D944">
        <v>0.98899999999999999</v>
      </c>
      <c r="E944">
        <v>3.5752181401138699E-26</v>
      </c>
      <c r="F944">
        <v>2</v>
      </c>
      <c r="G944" t="s">
        <v>1991</v>
      </c>
      <c r="H944" t="s">
        <v>1992</v>
      </c>
      <c r="I944" t="str">
        <f>HYPERLINK("https://zfin.org/ZDB-GENE-040426-811")</f>
        <v>https://zfin.org/ZDB-GENE-040426-811</v>
      </c>
      <c r="J944" t="s">
        <v>1993</v>
      </c>
    </row>
    <row r="945" spans="1:10" x14ac:dyDescent="0.2">
      <c r="A945">
        <v>2.84409121460485E-29</v>
      </c>
      <c r="B945">
        <v>0.53998688566840602</v>
      </c>
      <c r="C945">
        <v>0.14099999999999999</v>
      </c>
      <c r="D945">
        <v>2.3E-2</v>
      </c>
      <c r="E945">
        <v>3.9527179700578302E-25</v>
      </c>
      <c r="F945">
        <v>2</v>
      </c>
      <c r="G945" t="s">
        <v>2724</v>
      </c>
      <c r="H945" t="s">
        <v>2725</v>
      </c>
      <c r="I945" t="str">
        <f>HYPERLINK("https://zfin.org/ZDB-GENE-031118-112")</f>
        <v>https://zfin.org/ZDB-GENE-031118-112</v>
      </c>
      <c r="J945" t="s">
        <v>2726</v>
      </c>
    </row>
    <row r="946" spans="1:10" x14ac:dyDescent="0.2">
      <c r="A946">
        <v>2.5359288872524199E-28</v>
      </c>
      <c r="B946">
        <v>-0.50335549037321203</v>
      </c>
      <c r="C946">
        <v>0.70699999999999996</v>
      </c>
      <c r="D946">
        <v>0.90300000000000002</v>
      </c>
      <c r="E946">
        <v>3.5244339675034202E-24</v>
      </c>
      <c r="F946">
        <v>2</v>
      </c>
      <c r="G946" t="s">
        <v>1179</v>
      </c>
      <c r="H946" t="s">
        <v>1180</v>
      </c>
      <c r="I946" t="str">
        <f>HYPERLINK("https://zfin.org/ZDB-GENE-030410-1")</f>
        <v>https://zfin.org/ZDB-GENE-030410-1</v>
      </c>
      <c r="J946" t="s">
        <v>1181</v>
      </c>
    </row>
    <row r="947" spans="1:10" x14ac:dyDescent="0.2">
      <c r="A947">
        <v>3.6457475808458498E-28</v>
      </c>
      <c r="B947">
        <v>0.82611005202617205</v>
      </c>
      <c r="C947">
        <v>0.34899999999999998</v>
      </c>
      <c r="D947">
        <v>0.14199999999999999</v>
      </c>
      <c r="E947">
        <v>5.0668599878595597E-24</v>
      </c>
      <c r="F947">
        <v>2</v>
      </c>
      <c r="G947" t="s">
        <v>2727</v>
      </c>
      <c r="H947" t="s">
        <v>2728</v>
      </c>
      <c r="I947" t="str">
        <f>HYPERLINK("https://zfin.org/ZDB-GENE-031116-61")</f>
        <v>https://zfin.org/ZDB-GENE-031116-61</v>
      </c>
      <c r="J947" t="s">
        <v>2729</v>
      </c>
    </row>
    <row r="948" spans="1:10" x14ac:dyDescent="0.2">
      <c r="A948">
        <v>7.44599207807675E-28</v>
      </c>
      <c r="B948">
        <v>0.711987289267627</v>
      </c>
      <c r="C948">
        <v>0.27900000000000003</v>
      </c>
      <c r="D948">
        <v>9.0999999999999998E-2</v>
      </c>
      <c r="E948">
        <v>1.0348439790111101E-23</v>
      </c>
      <c r="F948">
        <v>2</v>
      </c>
      <c r="G948" t="s">
        <v>2730</v>
      </c>
      <c r="H948" t="s">
        <v>2731</v>
      </c>
      <c r="I948" t="str">
        <f>HYPERLINK("https://zfin.org/ZDB-GENE-030131-3264")</f>
        <v>https://zfin.org/ZDB-GENE-030131-3264</v>
      </c>
      <c r="J948" t="s">
        <v>2732</v>
      </c>
    </row>
    <row r="949" spans="1:10" x14ac:dyDescent="0.2">
      <c r="A949">
        <v>1.9705163506621599E-27</v>
      </c>
      <c r="B949">
        <v>-0.36326981333264302</v>
      </c>
      <c r="C949">
        <v>0.91800000000000004</v>
      </c>
      <c r="D949">
        <v>0.98399999999999999</v>
      </c>
      <c r="E949">
        <v>2.7386236241502699E-23</v>
      </c>
      <c r="F949">
        <v>2</v>
      </c>
      <c r="G949" t="s">
        <v>2400</v>
      </c>
      <c r="H949" t="s">
        <v>2401</v>
      </c>
      <c r="I949" t="str">
        <f>HYPERLINK("https://zfin.org/ZDB-GENE-040426-1670")</f>
        <v>https://zfin.org/ZDB-GENE-040426-1670</v>
      </c>
      <c r="J949" t="s">
        <v>2402</v>
      </c>
    </row>
    <row r="950" spans="1:10" x14ac:dyDescent="0.2">
      <c r="A950">
        <v>4.6897108826943297E-27</v>
      </c>
      <c r="B950">
        <v>0.58231215792978996</v>
      </c>
      <c r="C950">
        <v>0.79200000000000004</v>
      </c>
      <c r="D950">
        <v>0.67200000000000004</v>
      </c>
      <c r="E950">
        <v>6.5177601847685905E-23</v>
      </c>
      <c r="F950">
        <v>2</v>
      </c>
      <c r="G950" t="s">
        <v>1851</v>
      </c>
      <c r="H950" t="s">
        <v>1852</v>
      </c>
      <c r="I950" t="str">
        <f>HYPERLINK("https://zfin.org/ZDB-GENE-071205-8")</f>
        <v>https://zfin.org/ZDB-GENE-071205-8</v>
      </c>
      <c r="J950" t="s">
        <v>1853</v>
      </c>
    </row>
    <row r="951" spans="1:10" x14ac:dyDescent="0.2">
      <c r="A951">
        <v>1.3876831760721499E-26</v>
      </c>
      <c r="B951">
        <v>0.73624916366387105</v>
      </c>
      <c r="C951">
        <v>0.57799999999999996</v>
      </c>
      <c r="D951">
        <v>0.38200000000000001</v>
      </c>
      <c r="E951">
        <v>1.9286020781050801E-22</v>
      </c>
      <c r="F951">
        <v>2</v>
      </c>
      <c r="G951" t="s">
        <v>2733</v>
      </c>
      <c r="H951" t="s">
        <v>2734</v>
      </c>
      <c r="I951" t="str">
        <f>HYPERLINK("https://zfin.org/ZDB-GENE-130625-1")</f>
        <v>https://zfin.org/ZDB-GENE-130625-1</v>
      </c>
      <c r="J951" t="s">
        <v>2735</v>
      </c>
    </row>
    <row r="952" spans="1:10" x14ac:dyDescent="0.2">
      <c r="A952">
        <v>2.79531629182473E-26</v>
      </c>
      <c r="B952">
        <v>-0.476839529814792</v>
      </c>
      <c r="C952">
        <v>1</v>
      </c>
      <c r="D952">
        <v>1</v>
      </c>
      <c r="E952">
        <v>3.8849305823780099E-22</v>
      </c>
      <c r="F952">
        <v>2</v>
      </c>
      <c r="G952" t="s">
        <v>945</v>
      </c>
      <c r="H952" t="s">
        <v>946</v>
      </c>
      <c r="I952" t="str">
        <f>HYPERLINK("https://zfin.org/ZDB-GENE-080225-18")</f>
        <v>https://zfin.org/ZDB-GENE-080225-18</v>
      </c>
      <c r="J952" t="s">
        <v>947</v>
      </c>
    </row>
    <row r="953" spans="1:10" x14ac:dyDescent="0.2">
      <c r="A953">
        <v>2.9908481856406901E-26</v>
      </c>
      <c r="B953">
        <v>0.61780472050840796</v>
      </c>
      <c r="C953">
        <v>0.158</v>
      </c>
      <c r="D953">
        <v>3.3000000000000002E-2</v>
      </c>
      <c r="E953">
        <v>4.1566808084034299E-22</v>
      </c>
      <c r="F953">
        <v>2</v>
      </c>
      <c r="G953" t="s">
        <v>2736</v>
      </c>
      <c r="H953" t="s">
        <v>2737</v>
      </c>
      <c r="I953" t="str">
        <f>HYPERLINK("https://zfin.org/ZDB-GENE-091106-2")</f>
        <v>https://zfin.org/ZDB-GENE-091106-2</v>
      </c>
      <c r="J953" t="s">
        <v>2738</v>
      </c>
    </row>
    <row r="954" spans="1:10" x14ac:dyDescent="0.2">
      <c r="A954">
        <v>4.5231783894464901E-26</v>
      </c>
      <c r="B954">
        <v>0.988981404769953</v>
      </c>
      <c r="C954">
        <v>0.499</v>
      </c>
      <c r="D954">
        <v>0.28199999999999997</v>
      </c>
      <c r="E954">
        <v>6.2863133256527404E-22</v>
      </c>
      <c r="F954">
        <v>2</v>
      </c>
      <c r="G954" t="s">
        <v>2739</v>
      </c>
      <c r="H954" t="s">
        <v>2740</v>
      </c>
      <c r="I954" t="str">
        <f>HYPERLINK("https://zfin.org/ZDB-GENE-051030-98")</f>
        <v>https://zfin.org/ZDB-GENE-051030-98</v>
      </c>
      <c r="J954" t="s">
        <v>2741</v>
      </c>
    </row>
    <row r="955" spans="1:10" x14ac:dyDescent="0.2">
      <c r="A955">
        <v>7.8151681884184402E-26</v>
      </c>
      <c r="B955">
        <v>0.63990789190569397</v>
      </c>
      <c r="C955">
        <v>0.24299999999999999</v>
      </c>
      <c r="D955">
        <v>7.4999999999999997E-2</v>
      </c>
      <c r="E955">
        <v>1.0861520748263899E-21</v>
      </c>
      <c r="F955">
        <v>2</v>
      </c>
      <c r="G955" t="s">
        <v>2742</v>
      </c>
      <c r="H955" t="s">
        <v>2743</v>
      </c>
      <c r="I955" t="str">
        <f>HYPERLINK("https://zfin.org/ZDB-GENE-131127-337")</f>
        <v>https://zfin.org/ZDB-GENE-131127-337</v>
      </c>
      <c r="J955" t="s">
        <v>2744</v>
      </c>
    </row>
    <row r="956" spans="1:10" x14ac:dyDescent="0.2">
      <c r="A956">
        <v>9.0379154540135099E-26</v>
      </c>
      <c r="B956">
        <v>0.42640580780826398</v>
      </c>
      <c r="C956">
        <v>0.90900000000000003</v>
      </c>
      <c r="D956">
        <v>0.90100000000000002</v>
      </c>
      <c r="E956">
        <v>1.2560894897988E-21</v>
      </c>
      <c r="F956">
        <v>2</v>
      </c>
      <c r="G956" t="s">
        <v>1332</v>
      </c>
      <c r="H956" t="s">
        <v>1333</v>
      </c>
      <c r="I956" t="str">
        <f>HYPERLINK("https://zfin.org/ZDB-GENE-040426-2740")</f>
        <v>https://zfin.org/ZDB-GENE-040426-2740</v>
      </c>
      <c r="J956" t="s">
        <v>1334</v>
      </c>
    </row>
    <row r="957" spans="1:10" x14ac:dyDescent="0.2">
      <c r="A957">
        <v>2.3238762838315498E-25</v>
      </c>
      <c r="B957">
        <v>-0.63671820699056803</v>
      </c>
      <c r="C957">
        <v>0.217</v>
      </c>
      <c r="D957">
        <v>0.54400000000000004</v>
      </c>
      <c r="E957">
        <v>3.2297232592690898E-21</v>
      </c>
      <c r="F957">
        <v>2</v>
      </c>
      <c r="G957" t="s">
        <v>2745</v>
      </c>
      <c r="H957" t="s">
        <v>2746</v>
      </c>
      <c r="I957" t="str">
        <f>HYPERLINK("https://zfin.org/ZDB-GENE-041210-191")</f>
        <v>https://zfin.org/ZDB-GENE-041210-191</v>
      </c>
      <c r="J957" t="s">
        <v>2747</v>
      </c>
    </row>
    <row r="958" spans="1:10" x14ac:dyDescent="0.2">
      <c r="A958">
        <v>3.5508329346370298E-25</v>
      </c>
      <c r="B958">
        <v>-1.2095616074972599</v>
      </c>
      <c r="C958">
        <v>0.126</v>
      </c>
      <c r="D958">
        <v>0.41699999999999998</v>
      </c>
      <c r="E958">
        <v>4.9349476125585403E-21</v>
      </c>
      <c r="F958">
        <v>2</v>
      </c>
      <c r="G958" t="s">
        <v>2748</v>
      </c>
      <c r="H958" t="s">
        <v>2749</v>
      </c>
      <c r="I958" t="str">
        <f>HYPERLINK("https://zfin.org/ZDB-GENE-040426-1430")</f>
        <v>https://zfin.org/ZDB-GENE-040426-1430</v>
      </c>
      <c r="J958" t="s">
        <v>2750</v>
      </c>
    </row>
    <row r="959" spans="1:10" x14ac:dyDescent="0.2">
      <c r="A959">
        <v>3.9510114158464601E-25</v>
      </c>
      <c r="B959">
        <v>1.0341992630444701</v>
      </c>
      <c r="C959">
        <v>0.55100000000000005</v>
      </c>
      <c r="D959">
        <v>0.35599999999999998</v>
      </c>
      <c r="E959">
        <v>5.4911156657434101E-21</v>
      </c>
      <c r="F959">
        <v>2</v>
      </c>
      <c r="G959" t="s">
        <v>984</v>
      </c>
      <c r="H959" t="s">
        <v>985</v>
      </c>
      <c r="I959" t="str">
        <f>HYPERLINK("https://zfin.org/ZDB-GENE-040718-162")</f>
        <v>https://zfin.org/ZDB-GENE-040718-162</v>
      </c>
      <c r="J959" t="s">
        <v>986</v>
      </c>
    </row>
    <row r="960" spans="1:10" x14ac:dyDescent="0.2">
      <c r="A960">
        <v>4.6779932389016005E-25</v>
      </c>
      <c r="B960">
        <v>-0.32141025468783302</v>
      </c>
      <c r="C960">
        <v>0.98199999999999998</v>
      </c>
      <c r="D960">
        <v>0.996</v>
      </c>
      <c r="E960">
        <v>6.50147500342545E-21</v>
      </c>
      <c r="F960">
        <v>2</v>
      </c>
      <c r="G960" t="s">
        <v>1671</v>
      </c>
      <c r="H960" t="s">
        <v>1672</v>
      </c>
      <c r="I960" t="str">
        <f>HYPERLINK("https://zfin.org/ZDB-GENE-040625-147")</f>
        <v>https://zfin.org/ZDB-GENE-040625-147</v>
      </c>
      <c r="J960" t="s">
        <v>1673</v>
      </c>
    </row>
    <row r="961" spans="1:10" x14ac:dyDescent="0.2">
      <c r="A961">
        <v>6.8552271374515302E-25</v>
      </c>
      <c r="B961">
        <v>-0.86466065177012896</v>
      </c>
      <c r="C961">
        <v>4.7E-2</v>
      </c>
      <c r="D961">
        <v>0.316</v>
      </c>
      <c r="E961">
        <v>9.5273946756301297E-21</v>
      </c>
      <c r="F961">
        <v>2</v>
      </c>
      <c r="G961" t="s">
        <v>2751</v>
      </c>
      <c r="H961" t="s">
        <v>2752</v>
      </c>
      <c r="I961" t="str">
        <f>HYPERLINK("https://zfin.org/ZDB-GENE-980605-16")</f>
        <v>https://zfin.org/ZDB-GENE-980605-16</v>
      </c>
      <c r="J961" t="s">
        <v>2753</v>
      </c>
    </row>
    <row r="962" spans="1:10" x14ac:dyDescent="0.2">
      <c r="A962">
        <v>1.3135389155074401E-24</v>
      </c>
      <c r="B962">
        <v>0.75471693414654495</v>
      </c>
      <c r="C962">
        <v>0.38700000000000001</v>
      </c>
      <c r="D962">
        <v>0.184</v>
      </c>
      <c r="E962">
        <v>1.8255563847722399E-20</v>
      </c>
      <c r="F962">
        <v>2</v>
      </c>
      <c r="G962" t="s">
        <v>2754</v>
      </c>
      <c r="H962" t="s">
        <v>2755</v>
      </c>
      <c r="I962" t="str">
        <f>HYPERLINK("https://zfin.org/ZDB-GENE-030131-3481")</f>
        <v>https://zfin.org/ZDB-GENE-030131-3481</v>
      </c>
      <c r="J962" t="s">
        <v>2756</v>
      </c>
    </row>
    <row r="963" spans="1:10" x14ac:dyDescent="0.2">
      <c r="A963">
        <v>3.0904169786673401E-24</v>
      </c>
      <c r="B963">
        <v>0.64088190561501901</v>
      </c>
      <c r="C963">
        <v>0.111</v>
      </c>
      <c r="D963">
        <v>1.7000000000000001E-2</v>
      </c>
      <c r="E963">
        <v>4.2950615169518698E-20</v>
      </c>
      <c r="F963">
        <v>2</v>
      </c>
      <c r="G963" t="s">
        <v>2757</v>
      </c>
      <c r="H963" t="s">
        <v>2758</v>
      </c>
      <c r="I963" t="str">
        <f>HYPERLINK("https://zfin.org/ZDB-GENE-050208-336")</f>
        <v>https://zfin.org/ZDB-GENE-050208-336</v>
      </c>
      <c r="J963" t="s">
        <v>2759</v>
      </c>
    </row>
    <row r="964" spans="1:10" x14ac:dyDescent="0.2">
      <c r="A964">
        <v>5.6699945384631603E-24</v>
      </c>
      <c r="B964">
        <v>-0.99456502817493297</v>
      </c>
      <c r="C964">
        <v>0.255</v>
      </c>
      <c r="D964">
        <v>0.55100000000000005</v>
      </c>
      <c r="E964">
        <v>7.8801584095560896E-20</v>
      </c>
      <c r="F964">
        <v>2</v>
      </c>
      <c r="G964" t="s">
        <v>699</v>
      </c>
      <c r="H964" t="s">
        <v>700</v>
      </c>
      <c r="I964" t="str">
        <f>HYPERLINK("https://zfin.org/ZDB-GENE-030131-2830")</f>
        <v>https://zfin.org/ZDB-GENE-030131-2830</v>
      </c>
      <c r="J964" t="s">
        <v>701</v>
      </c>
    </row>
    <row r="965" spans="1:10" x14ac:dyDescent="0.2">
      <c r="A965">
        <v>6.7415022978712398E-24</v>
      </c>
      <c r="B965">
        <v>0.478474296904634</v>
      </c>
      <c r="C965">
        <v>0.874</v>
      </c>
      <c r="D965">
        <v>0.82599999999999996</v>
      </c>
      <c r="E965">
        <v>9.3693398935814502E-20</v>
      </c>
      <c r="F965">
        <v>2</v>
      </c>
      <c r="G965" t="s">
        <v>1552</v>
      </c>
      <c r="H965" t="s">
        <v>1553</v>
      </c>
      <c r="I965" t="str">
        <f>HYPERLINK("https://zfin.org/ZDB-GENE-010328-8")</f>
        <v>https://zfin.org/ZDB-GENE-010328-8</v>
      </c>
      <c r="J965" t="s">
        <v>1554</v>
      </c>
    </row>
    <row r="966" spans="1:10" x14ac:dyDescent="0.2">
      <c r="A966">
        <v>1.35226683601516E-23</v>
      </c>
      <c r="B966">
        <v>0.72013456343302196</v>
      </c>
      <c r="C966">
        <v>0.46300000000000002</v>
      </c>
      <c r="D966">
        <v>0.26500000000000001</v>
      </c>
      <c r="E966">
        <v>1.87938044869387E-19</v>
      </c>
      <c r="F966">
        <v>2</v>
      </c>
      <c r="G966" t="s">
        <v>2760</v>
      </c>
      <c r="H966" t="s">
        <v>2761</v>
      </c>
      <c r="I966" t="str">
        <f>HYPERLINK("https://zfin.org/ZDB-GENE-041114-44")</f>
        <v>https://zfin.org/ZDB-GENE-041114-44</v>
      </c>
      <c r="J966" t="s">
        <v>2762</v>
      </c>
    </row>
    <row r="967" spans="1:10" x14ac:dyDescent="0.2">
      <c r="A967">
        <v>1.49223759847178E-23</v>
      </c>
      <c r="B967">
        <v>-0.98925609468632203</v>
      </c>
      <c r="C967">
        <v>4.1000000000000002E-2</v>
      </c>
      <c r="D967">
        <v>0.29399999999999998</v>
      </c>
      <c r="E967">
        <v>2.07391181435608E-19</v>
      </c>
      <c r="F967">
        <v>2</v>
      </c>
      <c r="G967" t="s">
        <v>2763</v>
      </c>
      <c r="H967" t="s">
        <v>2764</v>
      </c>
      <c r="I967" t="str">
        <f>HYPERLINK("https://zfin.org/")</f>
        <v>https://zfin.org/</v>
      </c>
    </row>
    <row r="968" spans="1:10" x14ac:dyDescent="0.2">
      <c r="A968">
        <v>2.3304832882081201E-23</v>
      </c>
      <c r="B968">
        <v>-0.70662262567183998</v>
      </c>
      <c r="C968">
        <v>0.123</v>
      </c>
      <c r="D968">
        <v>0.41499999999999998</v>
      </c>
      <c r="E968">
        <v>3.2389056739516498E-19</v>
      </c>
      <c r="F968">
        <v>2</v>
      </c>
      <c r="G968" t="s">
        <v>2765</v>
      </c>
      <c r="H968" t="s">
        <v>2766</v>
      </c>
      <c r="I968" t="str">
        <f>HYPERLINK("https://zfin.org/ZDB-GENE-050320-111")</f>
        <v>https://zfin.org/ZDB-GENE-050320-111</v>
      </c>
      <c r="J968" t="s">
        <v>2767</v>
      </c>
    </row>
    <row r="969" spans="1:10" x14ac:dyDescent="0.2">
      <c r="A969">
        <v>3.7502034720495301E-23</v>
      </c>
      <c r="B969">
        <v>-0.60225546777288597</v>
      </c>
      <c r="C969">
        <v>0.246</v>
      </c>
      <c r="D969">
        <v>0.56799999999999995</v>
      </c>
      <c r="E969">
        <v>5.2120327854544398E-19</v>
      </c>
      <c r="F969">
        <v>2</v>
      </c>
      <c r="G969" t="s">
        <v>2768</v>
      </c>
      <c r="H969" t="s">
        <v>2769</v>
      </c>
      <c r="I969" t="str">
        <f>HYPERLINK("https://zfin.org/ZDB-GENE-070410-36")</f>
        <v>https://zfin.org/ZDB-GENE-070410-36</v>
      </c>
      <c r="J969" t="s">
        <v>2770</v>
      </c>
    </row>
    <row r="970" spans="1:10" x14ac:dyDescent="0.2">
      <c r="A970">
        <v>6.3363688548346105E-23</v>
      </c>
      <c r="B970">
        <v>0.55764722525949995</v>
      </c>
      <c r="C970">
        <v>0.123</v>
      </c>
      <c r="D970">
        <v>2.3E-2</v>
      </c>
      <c r="E970">
        <v>8.8062854344491305E-19</v>
      </c>
      <c r="F970">
        <v>2</v>
      </c>
      <c r="G970" t="s">
        <v>2771</v>
      </c>
      <c r="H970" t="s">
        <v>2772</v>
      </c>
      <c r="I970" t="str">
        <f>HYPERLINK("https://zfin.org/ZDB-GENE-030131-9542")</f>
        <v>https://zfin.org/ZDB-GENE-030131-9542</v>
      </c>
      <c r="J970" t="s">
        <v>2773</v>
      </c>
    </row>
    <row r="971" spans="1:10" x14ac:dyDescent="0.2">
      <c r="A971">
        <v>7.4516989085728605E-23</v>
      </c>
      <c r="B971">
        <v>0.62353125624387296</v>
      </c>
      <c r="C971">
        <v>0.64200000000000002</v>
      </c>
      <c r="D971">
        <v>0.45900000000000002</v>
      </c>
      <c r="E971">
        <v>1.0356371143134601E-18</v>
      </c>
      <c r="F971">
        <v>2</v>
      </c>
      <c r="G971" t="s">
        <v>2319</v>
      </c>
      <c r="H971" t="s">
        <v>2320</v>
      </c>
      <c r="I971" t="str">
        <f>HYPERLINK("https://zfin.org/ZDB-GENE-041121-18")</f>
        <v>https://zfin.org/ZDB-GENE-041121-18</v>
      </c>
      <c r="J971" t="s">
        <v>2321</v>
      </c>
    </row>
    <row r="972" spans="1:10" x14ac:dyDescent="0.2">
      <c r="A972">
        <v>1.6690557858298799E-22</v>
      </c>
      <c r="B972">
        <v>-1.09645623081536</v>
      </c>
      <c r="C972">
        <v>0.22900000000000001</v>
      </c>
      <c r="D972">
        <v>0.51300000000000001</v>
      </c>
      <c r="E972">
        <v>2.3196537311463699E-18</v>
      </c>
      <c r="F972">
        <v>2</v>
      </c>
      <c r="G972" t="s">
        <v>900</v>
      </c>
      <c r="H972" t="s">
        <v>901</v>
      </c>
      <c r="I972" t="str">
        <f>HYPERLINK("https://zfin.org/ZDB-GENE-040426-2879")</f>
        <v>https://zfin.org/ZDB-GENE-040426-2879</v>
      </c>
      <c r="J972" t="s">
        <v>902</v>
      </c>
    </row>
    <row r="973" spans="1:10" x14ac:dyDescent="0.2">
      <c r="A973">
        <v>1.73821640848041E-22</v>
      </c>
      <c r="B973">
        <v>0.62023987217958398</v>
      </c>
      <c r="C973">
        <v>0.15</v>
      </c>
      <c r="D973">
        <v>3.4000000000000002E-2</v>
      </c>
      <c r="E973">
        <v>2.4157731645060699E-18</v>
      </c>
      <c r="F973">
        <v>2</v>
      </c>
      <c r="G973" t="s">
        <v>2774</v>
      </c>
      <c r="H973" t="s">
        <v>2775</v>
      </c>
      <c r="I973" t="str">
        <f>HYPERLINK("https://zfin.org/ZDB-GENE-030131-4282")</f>
        <v>https://zfin.org/ZDB-GENE-030131-4282</v>
      </c>
      <c r="J973" t="s">
        <v>2776</v>
      </c>
    </row>
    <row r="974" spans="1:10" x14ac:dyDescent="0.2">
      <c r="A974">
        <v>2.1606827682405099E-22</v>
      </c>
      <c r="B974">
        <v>-0.67448222278747405</v>
      </c>
      <c r="C974">
        <v>0.32600000000000001</v>
      </c>
      <c r="D974">
        <v>0.623</v>
      </c>
      <c r="E974">
        <v>3.0029169113006599E-18</v>
      </c>
      <c r="F974">
        <v>2</v>
      </c>
      <c r="G974" t="s">
        <v>807</v>
      </c>
      <c r="H974" t="s">
        <v>808</v>
      </c>
      <c r="I974" t="str">
        <f>HYPERLINK("https://zfin.org/ZDB-GENE-020913-1")</f>
        <v>https://zfin.org/ZDB-GENE-020913-1</v>
      </c>
      <c r="J974" t="s">
        <v>809</v>
      </c>
    </row>
    <row r="975" spans="1:10" x14ac:dyDescent="0.2">
      <c r="A975">
        <v>2.49919711367837E-22</v>
      </c>
      <c r="B975">
        <v>-0.288174755634931</v>
      </c>
      <c r="C975">
        <v>0.97399999999999998</v>
      </c>
      <c r="D975">
        <v>0.997</v>
      </c>
      <c r="E975">
        <v>3.4733841485902003E-18</v>
      </c>
      <c r="F975">
        <v>2</v>
      </c>
      <c r="G975" t="s">
        <v>1617</v>
      </c>
      <c r="H975" t="s">
        <v>1618</v>
      </c>
      <c r="I975" t="str">
        <f>HYPERLINK("https://zfin.org/ZDB-GENE-040426-2117")</f>
        <v>https://zfin.org/ZDB-GENE-040426-2117</v>
      </c>
      <c r="J975" t="s">
        <v>1619</v>
      </c>
    </row>
    <row r="976" spans="1:10" x14ac:dyDescent="0.2">
      <c r="A976">
        <v>2.7756149468821399E-22</v>
      </c>
      <c r="B976">
        <v>-0.70236975489388498</v>
      </c>
      <c r="C976">
        <v>0.308</v>
      </c>
      <c r="D976">
        <v>0.60199999999999998</v>
      </c>
      <c r="E976">
        <v>3.8575496531767999E-18</v>
      </c>
      <c r="F976">
        <v>2</v>
      </c>
      <c r="G976" t="s">
        <v>2777</v>
      </c>
      <c r="H976" t="s">
        <v>2778</v>
      </c>
      <c r="I976" t="str">
        <f>HYPERLINK("https://zfin.org/ZDB-GENE-030428-2")</f>
        <v>https://zfin.org/ZDB-GENE-030428-2</v>
      </c>
      <c r="J976" t="s">
        <v>2779</v>
      </c>
    </row>
    <row r="977" spans="1:10" x14ac:dyDescent="0.2">
      <c r="A977">
        <v>4.8495546679397898E-22</v>
      </c>
      <c r="B977">
        <v>0.32914411068560401</v>
      </c>
      <c r="C977">
        <v>0.97899999999999998</v>
      </c>
      <c r="D977">
        <v>0.96599999999999997</v>
      </c>
      <c r="E977">
        <v>6.7399110775027203E-18</v>
      </c>
      <c r="F977">
        <v>2</v>
      </c>
      <c r="G977" t="s">
        <v>957</v>
      </c>
      <c r="H977" t="s">
        <v>958</v>
      </c>
      <c r="I977" t="str">
        <f>HYPERLINK("https://zfin.org/ZDB-GENE-010328-2")</f>
        <v>https://zfin.org/ZDB-GENE-010328-2</v>
      </c>
      <c r="J977" t="s">
        <v>959</v>
      </c>
    </row>
    <row r="978" spans="1:10" x14ac:dyDescent="0.2">
      <c r="A978">
        <v>5.0298921640792897E-22</v>
      </c>
      <c r="B978">
        <v>-0.65056286069531699</v>
      </c>
      <c r="C978">
        <v>0.155</v>
      </c>
      <c r="D978">
        <v>0.44400000000000001</v>
      </c>
      <c r="E978">
        <v>6.9905441296373906E-18</v>
      </c>
      <c r="F978">
        <v>2</v>
      </c>
      <c r="G978" t="s">
        <v>2780</v>
      </c>
      <c r="H978" t="s">
        <v>2781</v>
      </c>
      <c r="I978" t="str">
        <f>HYPERLINK("https://zfin.org/ZDB-GENE-030131-5283")</f>
        <v>https://zfin.org/ZDB-GENE-030131-5283</v>
      </c>
      <c r="J978" t="s">
        <v>2782</v>
      </c>
    </row>
    <row r="979" spans="1:10" x14ac:dyDescent="0.2">
      <c r="A979">
        <v>1.18760834708796E-21</v>
      </c>
      <c r="B979">
        <v>-0.31098498973782901</v>
      </c>
      <c r="C979">
        <v>0.97099999999999997</v>
      </c>
      <c r="D979">
        <v>0.98899999999999999</v>
      </c>
      <c r="E979">
        <v>1.6505380807828501E-17</v>
      </c>
      <c r="F979">
        <v>2</v>
      </c>
      <c r="G979" t="s">
        <v>1910</v>
      </c>
      <c r="H979" t="s">
        <v>1911</v>
      </c>
      <c r="I979" t="str">
        <f>HYPERLINK("https://zfin.org/ZDB-GENE-030131-8951")</f>
        <v>https://zfin.org/ZDB-GENE-030131-8951</v>
      </c>
      <c r="J979" t="s">
        <v>1912</v>
      </c>
    </row>
    <row r="980" spans="1:10" x14ac:dyDescent="0.2">
      <c r="A980">
        <v>1.7798196485526599E-21</v>
      </c>
      <c r="B980">
        <v>-0.96104708007784201</v>
      </c>
      <c r="C980">
        <v>6.2E-2</v>
      </c>
      <c r="D980">
        <v>0.309</v>
      </c>
      <c r="E980">
        <v>2.4735933475584899E-17</v>
      </c>
      <c r="F980">
        <v>2</v>
      </c>
      <c r="G980" t="s">
        <v>2783</v>
      </c>
      <c r="H980" t="s">
        <v>2784</v>
      </c>
      <c r="I980" t="str">
        <f>HYPERLINK("https://zfin.org/ZDB-GENE-070720-11")</f>
        <v>https://zfin.org/ZDB-GENE-070720-11</v>
      </c>
      <c r="J980" t="s">
        <v>2785</v>
      </c>
    </row>
    <row r="981" spans="1:10" x14ac:dyDescent="0.2">
      <c r="A981">
        <v>4.9639720564347101E-21</v>
      </c>
      <c r="B981">
        <v>-0.54232123823312095</v>
      </c>
      <c r="C981">
        <v>0.49</v>
      </c>
      <c r="D981">
        <v>0.76800000000000002</v>
      </c>
      <c r="E981">
        <v>6.8989283640329605E-17</v>
      </c>
      <c r="F981">
        <v>2</v>
      </c>
      <c r="G981" t="s">
        <v>2786</v>
      </c>
      <c r="H981" t="s">
        <v>2787</v>
      </c>
      <c r="I981" t="str">
        <f>HYPERLINK("https://zfin.org/ZDB-GENE-050417-329")</f>
        <v>https://zfin.org/ZDB-GENE-050417-329</v>
      </c>
      <c r="J981" t="s">
        <v>2788</v>
      </c>
    </row>
    <row r="982" spans="1:10" x14ac:dyDescent="0.2">
      <c r="A982">
        <v>6.40075810791217E-21</v>
      </c>
      <c r="B982">
        <v>-0.61233078046135403</v>
      </c>
      <c r="C982">
        <v>0.40799999999999997</v>
      </c>
      <c r="D982">
        <v>0.67400000000000004</v>
      </c>
      <c r="E982">
        <v>8.8957736183763302E-17</v>
      </c>
      <c r="F982">
        <v>2</v>
      </c>
      <c r="G982" t="s">
        <v>996</v>
      </c>
      <c r="H982" t="s">
        <v>997</v>
      </c>
      <c r="I982" t="str">
        <f>HYPERLINK("https://zfin.org/ZDB-GENE-030131-5590")</f>
        <v>https://zfin.org/ZDB-GENE-030131-5590</v>
      </c>
      <c r="J982" t="s">
        <v>998</v>
      </c>
    </row>
    <row r="983" spans="1:10" x14ac:dyDescent="0.2">
      <c r="A983">
        <v>9.3529303999947296E-21</v>
      </c>
      <c r="B983">
        <v>-0.29456669164767701</v>
      </c>
      <c r="C983">
        <v>0.99099999999999999</v>
      </c>
      <c r="D983">
        <v>1</v>
      </c>
      <c r="E983">
        <v>1.29987026699127E-16</v>
      </c>
      <c r="F983">
        <v>2</v>
      </c>
      <c r="G983" t="s">
        <v>1498</v>
      </c>
      <c r="H983" t="s">
        <v>1499</v>
      </c>
      <c r="I983" t="str">
        <f>HYPERLINK("https://zfin.org/ZDB-GENE-030131-2022")</f>
        <v>https://zfin.org/ZDB-GENE-030131-2022</v>
      </c>
      <c r="J983" t="s">
        <v>1500</v>
      </c>
    </row>
    <row r="984" spans="1:10" x14ac:dyDescent="0.2">
      <c r="A984">
        <v>1.21133738587351E-20</v>
      </c>
      <c r="B984">
        <v>-0.81258936836721096</v>
      </c>
      <c r="C984">
        <v>2.5999999999999999E-2</v>
      </c>
      <c r="D984">
        <v>0.251</v>
      </c>
      <c r="E984">
        <v>1.6835166988869999E-16</v>
      </c>
      <c r="F984">
        <v>2</v>
      </c>
      <c r="G984" t="s">
        <v>2789</v>
      </c>
      <c r="H984" t="s">
        <v>2790</v>
      </c>
      <c r="I984" t="str">
        <f>HYPERLINK("https://zfin.org/ZDB-GENE-070705-193")</f>
        <v>https://zfin.org/ZDB-GENE-070705-193</v>
      </c>
      <c r="J984" t="s">
        <v>2791</v>
      </c>
    </row>
    <row r="985" spans="1:10" x14ac:dyDescent="0.2">
      <c r="A985">
        <v>1.8775872364146101E-20</v>
      </c>
      <c r="B985">
        <v>0.55004039040533104</v>
      </c>
      <c r="C985">
        <v>0.68600000000000005</v>
      </c>
      <c r="D985">
        <v>0.59299999999999997</v>
      </c>
      <c r="E985">
        <v>2.6094707411690198E-16</v>
      </c>
      <c r="F985">
        <v>2</v>
      </c>
      <c r="G985" t="s">
        <v>2099</v>
      </c>
      <c r="H985" t="s">
        <v>2100</v>
      </c>
      <c r="I985" t="str">
        <f>HYPERLINK("https://zfin.org/ZDB-GENE-030131-8554")</f>
        <v>https://zfin.org/ZDB-GENE-030131-8554</v>
      </c>
      <c r="J985" t="s">
        <v>2101</v>
      </c>
    </row>
    <row r="986" spans="1:10" x14ac:dyDescent="0.2">
      <c r="A986">
        <v>5.0519065777319202E-20</v>
      </c>
      <c r="B986">
        <v>-0.71897036809108505</v>
      </c>
      <c r="C986">
        <v>1.2E-2</v>
      </c>
      <c r="D986">
        <v>0.224</v>
      </c>
      <c r="E986">
        <v>7.0211397617318197E-16</v>
      </c>
      <c r="F986">
        <v>2</v>
      </c>
      <c r="G986" t="s">
        <v>2792</v>
      </c>
      <c r="H986" t="s">
        <v>2793</v>
      </c>
      <c r="I986" t="str">
        <f>HYPERLINK("https://zfin.org/ZDB-GENE-030131-9149")</f>
        <v>https://zfin.org/ZDB-GENE-030131-9149</v>
      </c>
      <c r="J986" t="s">
        <v>2794</v>
      </c>
    </row>
    <row r="987" spans="1:10" x14ac:dyDescent="0.2">
      <c r="A987">
        <v>8.6413049039389299E-20</v>
      </c>
      <c r="B987">
        <v>0.52745328580538997</v>
      </c>
      <c r="C987">
        <v>0.16700000000000001</v>
      </c>
      <c r="D987">
        <v>4.7E-2</v>
      </c>
      <c r="E987">
        <v>1.2009685555494299E-15</v>
      </c>
      <c r="F987">
        <v>2</v>
      </c>
      <c r="G987" t="s">
        <v>2795</v>
      </c>
      <c r="H987" t="s">
        <v>2796</v>
      </c>
      <c r="I987" t="str">
        <f>HYPERLINK("https://zfin.org/ZDB-GENE-040724-194")</f>
        <v>https://zfin.org/ZDB-GENE-040724-194</v>
      </c>
      <c r="J987" t="s">
        <v>2797</v>
      </c>
    </row>
    <row r="988" spans="1:10" x14ac:dyDescent="0.2">
      <c r="A988">
        <v>1.13943259371799E-19</v>
      </c>
      <c r="B988">
        <v>0.59266508411230601</v>
      </c>
      <c r="C988">
        <v>0.182</v>
      </c>
      <c r="D988">
        <v>5.5E-2</v>
      </c>
      <c r="E988">
        <v>1.5835834187492701E-15</v>
      </c>
      <c r="F988">
        <v>2</v>
      </c>
      <c r="G988" t="s">
        <v>2798</v>
      </c>
      <c r="H988" t="s">
        <v>2799</v>
      </c>
      <c r="I988" t="str">
        <f>HYPERLINK("https://zfin.org/ZDB-GENE-060825-309")</f>
        <v>https://zfin.org/ZDB-GENE-060825-309</v>
      </c>
      <c r="J988" t="s">
        <v>2800</v>
      </c>
    </row>
    <row r="989" spans="1:10" x14ac:dyDescent="0.2">
      <c r="A989">
        <v>1.36278865671595E-19</v>
      </c>
      <c r="B989">
        <v>-0.83616476826868102</v>
      </c>
      <c r="C989">
        <v>3.7999999999999999E-2</v>
      </c>
      <c r="D989">
        <v>0.26400000000000001</v>
      </c>
      <c r="E989">
        <v>1.89400367510383E-15</v>
      </c>
      <c r="F989">
        <v>2</v>
      </c>
      <c r="G989" t="s">
        <v>2801</v>
      </c>
      <c r="H989" t="s">
        <v>2802</v>
      </c>
      <c r="I989" t="str">
        <f>HYPERLINK("https://zfin.org/ZDB-GENE-980526-112")</f>
        <v>https://zfin.org/ZDB-GENE-980526-112</v>
      </c>
      <c r="J989" t="s">
        <v>2803</v>
      </c>
    </row>
    <row r="990" spans="1:10" x14ac:dyDescent="0.2">
      <c r="A990">
        <v>2.0130332427771001E-19</v>
      </c>
      <c r="B990">
        <v>-0.260848108445424</v>
      </c>
      <c r="C990">
        <v>0.997</v>
      </c>
      <c r="D990">
        <v>1</v>
      </c>
      <c r="E990">
        <v>2.7977136008116101E-15</v>
      </c>
      <c r="F990">
        <v>2</v>
      </c>
      <c r="G990" t="s">
        <v>1284</v>
      </c>
      <c r="H990" t="s">
        <v>1285</v>
      </c>
      <c r="I990" t="str">
        <f>HYPERLINK("https://zfin.org/ZDB-GENE-030131-8663")</f>
        <v>https://zfin.org/ZDB-GENE-030131-8663</v>
      </c>
      <c r="J990" t="s">
        <v>1286</v>
      </c>
    </row>
    <row r="991" spans="1:10" x14ac:dyDescent="0.2">
      <c r="A991">
        <v>3.32980472491834E-19</v>
      </c>
      <c r="B991">
        <v>-0.55147981053640105</v>
      </c>
      <c r="C991">
        <v>0.20799999999999999</v>
      </c>
      <c r="D991">
        <v>0.48099999999999998</v>
      </c>
      <c r="E991">
        <v>4.6277626066915099E-15</v>
      </c>
      <c r="F991">
        <v>2</v>
      </c>
      <c r="G991" t="s">
        <v>2322</v>
      </c>
      <c r="H991" t="s">
        <v>2323</v>
      </c>
      <c r="I991" t="str">
        <f>HYPERLINK("https://zfin.org/ZDB-GENE-040426-1362")</f>
        <v>https://zfin.org/ZDB-GENE-040426-1362</v>
      </c>
      <c r="J991" t="s">
        <v>2324</v>
      </c>
    </row>
    <row r="992" spans="1:10" x14ac:dyDescent="0.2">
      <c r="A992">
        <v>8.46838455593421E-19</v>
      </c>
      <c r="B992">
        <v>0.86146989213583802</v>
      </c>
      <c r="C992">
        <v>0.51</v>
      </c>
      <c r="D992">
        <v>0.35399999999999998</v>
      </c>
      <c r="E992">
        <v>1.17693608558374E-14</v>
      </c>
      <c r="F992">
        <v>2</v>
      </c>
      <c r="G992" t="s">
        <v>2580</v>
      </c>
      <c r="H992" t="s">
        <v>2581</v>
      </c>
      <c r="I992" t="str">
        <f>HYPERLINK("https://zfin.org/ZDB-GENE-030131-9790")</f>
        <v>https://zfin.org/ZDB-GENE-030131-9790</v>
      </c>
      <c r="J992" t="s">
        <v>2582</v>
      </c>
    </row>
    <row r="993" spans="1:10" x14ac:dyDescent="0.2">
      <c r="A993">
        <v>9.6560221099899894E-19</v>
      </c>
      <c r="B993">
        <v>0.65020668102292201</v>
      </c>
      <c r="C993">
        <v>0.46300000000000002</v>
      </c>
      <c r="D993">
        <v>0.28899999999999998</v>
      </c>
      <c r="E993">
        <v>1.34199395284641E-14</v>
      </c>
      <c r="F993">
        <v>2</v>
      </c>
      <c r="G993" t="s">
        <v>2804</v>
      </c>
      <c r="H993" t="s">
        <v>2805</v>
      </c>
      <c r="I993" t="str">
        <f>HYPERLINK("https://zfin.org/ZDB-GENE-000406-5")</f>
        <v>https://zfin.org/ZDB-GENE-000406-5</v>
      </c>
      <c r="J993" t="s">
        <v>2806</v>
      </c>
    </row>
    <row r="994" spans="1:10" x14ac:dyDescent="0.2">
      <c r="A994">
        <v>9.85719554785939E-19</v>
      </c>
      <c r="B994">
        <v>-0.47137861601566899</v>
      </c>
      <c r="C994">
        <v>0.60399999999999998</v>
      </c>
      <c r="D994">
        <v>0.80500000000000005</v>
      </c>
      <c r="E994">
        <v>1.3699530372415E-14</v>
      </c>
      <c r="F994">
        <v>2</v>
      </c>
      <c r="G994" t="s">
        <v>1405</v>
      </c>
      <c r="H994" t="s">
        <v>1406</v>
      </c>
      <c r="I994" t="str">
        <f>HYPERLINK("https://zfin.org/ZDB-GENE-031002-9")</f>
        <v>https://zfin.org/ZDB-GENE-031002-9</v>
      </c>
      <c r="J994" t="s">
        <v>1407</v>
      </c>
    </row>
    <row r="995" spans="1:10" x14ac:dyDescent="0.2">
      <c r="A995">
        <v>1.04146061601809E-18</v>
      </c>
      <c r="B995">
        <v>-0.77872502783069797</v>
      </c>
      <c r="C995">
        <v>2.9000000000000001E-2</v>
      </c>
      <c r="D995">
        <v>0.24</v>
      </c>
      <c r="E995">
        <v>1.44742196414195E-14</v>
      </c>
      <c r="F995">
        <v>2</v>
      </c>
      <c r="G995" t="s">
        <v>2807</v>
      </c>
      <c r="H995" t="s">
        <v>2808</v>
      </c>
      <c r="I995" t="str">
        <f>HYPERLINK("https://zfin.org/ZDB-GENE-070112-292")</f>
        <v>https://zfin.org/ZDB-GENE-070112-292</v>
      </c>
      <c r="J995" t="s">
        <v>2809</v>
      </c>
    </row>
    <row r="996" spans="1:10" x14ac:dyDescent="0.2">
      <c r="A996">
        <v>1.0562583170787799E-18</v>
      </c>
      <c r="B996">
        <v>0.46926412133325801</v>
      </c>
      <c r="C996">
        <v>0.13500000000000001</v>
      </c>
      <c r="D996">
        <v>3.3000000000000002E-2</v>
      </c>
      <c r="E996">
        <v>1.4679878090760899E-14</v>
      </c>
      <c r="F996">
        <v>2</v>
      </c>
      <c r="G996" t="s">
        <v>2810</v>
      </c>
      <c r="H996" t="s">
        <v>2811</v>
      </c>
      <c r="I996" t="str">
        <f>HYPERLINK("https://zfin.org/ZDB-GENE-050601-2")</f>
        <v>https://zfin.org/ZDB-GENE-050601-2</v>
      </c>
      <c r="J996" t="s">
        <v>2812</v>
      </c>
    </row>
    <row r="997" spans="1:10" x14ac:dyDescent="0.2">
      <c r="A997">
        <v>1.57271474745272E-18</v>
      </c>
      <c r="B997">
        <v>-0.55303975611678602</v>
      </c>
      <c r="C997">
        <v>0.33100000000000002</v>
      </c>
      <c r="D997">
        <v>0.60499999999999998</v>
      </c>
      <c r="E997">
        <v>2.18575895600979E-14</v>
      </c>
      <c r="F997">
        <v>2</v>
      </c>
      <c r="G997" t="s">
        <v>2813</v>
      </c>
      <c r="H997" t="s">
        <v>2814</v>
      </c>
      <c r="I997" t="str">
        <f>HYPERLINK("https://zfin.org/ZDB-GENE-040426-1112")</f>
        <v>https://zfin.org/ZDB-GENE-040426-1112</v>
      </c>
      <c r="J997" t="s">
        <v>2815</v>
      </c>
    </row>
    <row r="998" spans="1:10" x14ac:dyDescent="0.2">
      <c r="A998">
        <v>2.4798269581027699E-18</v>
      </c>
      <c r="B998">
        <v>-0.49033302530673301</v>
      </c>
      <c r="C998">
        <v>0.314</v>
      </c>
      <c r="D998">
        <v>0.6</v>
      </c>
      <c r="E998">
        <v>3.4464635063712298E-14</v>
      </c>
      <c r="F998">
        <v>2</v>
      </c>
      <c r="G998" t="s">
        <v>2816</v>
      </c>
      <c r="H998" t="s">
        <v>2817</v>
      </c>
      <c r="I998" t="str">
        <f>HYPERLINK("https://zfin.org/ZDB-GENE-060804-3")</f>
        <v>https://zfin.org/ZDB-GENE-060804-3</v>
      </c>
      <c r="J998" t="s">
        <v>2818</v>
      </c>
    </row>
    <row r="999" spans="1:10" x14ac:dyDescent="0.2">
      <c r="A999">
        <v>2.6620312119515001E-18</v>
      </c>
      <c r="B999">
        <v>-0.48173924968176901</v>
      </c>
      <c r="C999">
        <v>0.38400000000000001</v>
      </c>
      <c r="D999">
        <v>0.65800000000000003</v>
      </c>
      <c r="E999">
        <v>3.6996909783702002E-14</v>
      </c>
      <c r="F999">
        <v>2</v>
      </c>
      <c r="G999" t="s">
        <v>2819</v>
      </c>
      <c r="H999" t="s">
        <v>2820</v>
      </c>
      <c r="I999" t="str">
        <f>HYPERLINK("https://zfin.org/ZDB-GENE-031113-14")</f>
        <v>https://zfin.org/ZDB-GENE-031113-14</v>
      </c>
      <c r="J999" t="s">
        <v>2821</v>
      </c>
    </row>
    <row r="1000" spans="1:10" x14ac:dyDescent="0.2">
      <c r="A1000">
        <v>3.5912655540561198E-18</v>
      </c>
      <c r="B1000">
        <v>-0.44367793139344103</v>
      </c>
      <c r="C1000">
        <v>1</v>
      </c>
      <c r="D1000">
        <v>1</v>
      </c>
      <c r="E1000">
        <v>4.9911408670271898E-14</v>
      </c>
      <c r="F1000">
        <v>2</v>
      </c>
      <c r="G1000" t="s">
        <v>1023</v>
      </c>
      <c r="H1000" t="s">
        <v>1024</v>
      </c>
      <c r="I1000" t="str">
        <f>HYPERLINK("https://zfin.org/ZDB-GENE-130603-61")</f>
        <v>https://zfin.org/ZDB-GENE-130603-61</v>
      </c>
      <c r="J1000" t="s">
        <v>1025</v>
      </c>
    </row>
    <row r="1001" spans="1:10" x14ac:dyDescent="0.2">
      <c r="A1001">
        <v>4.3756439086942199E-18</v>
      </c>
      <c r="B1001">
        <v>0.55026192243856098</v>
      </c>
      <c r="C1001">
        <v>0.66900000000000004</v>
      </c>
      <c r="D1001">
        <v>0.53</v>
      </c>
      <c r="E1001">
        <v>6.0812699043032206E-14</v>
      </c>
      <c r="F1001">
        <v>2</v>
      </c>
      <c r="G1001" t="s">
        <v>2205</v>
      </c>
      <c r="H1001" t="s">
        <v>2206</v>
      </c>
      <c r="I1001" t="str">
        <f>HYPERLINK("https://zfin.org/ZDB-GENE-120215-258")</f>
        <v>https://zfin.org/ZDB-GENE-120215-258</v>
      </c>
      <c r="J1001" t="s">
        <v>2207</v>
      </c>
    </row>
    <row r="1002" spans="1:10" x14ac:dyDescent="0.2">
      <c r="A1002">
        <v>4.9559385371290401E-18</v>
      </c>
      <c r="B1002">
        <v>-0.33540937307438601</v>
      </c>
      <c r="C1002">
        <v>0.84499999999999997</v>
      </c>
      <c r="D1002">
        <v>0.93700000000000006</v>
      </c>
      <c r="E1002">
        <v>6.8877633789019406E-14</v>
      </c>
      <c r="F1002">
        <v>2</v>
      </c>
      <c r="G1002" t="s">
        <v>2529</v>
      </c>
      <c r="H1002" t="s">
        <v>2530</v>
      </c>
      <c r="I1002" t="str">
        <f>HYPERLINK("https://zfin.org/ZDB-GENE-020419-12")</f>
        <v>https://zfin.org/ZDB-GENE-020419-12</v>
      </c>
      <c r="J1002" t="s">
        <v>2531</v>
      </c>
    </row>
    <row r="1003" spans="1:10" x14ac:dyDescent="0.2">
      <c r="A1003">
        <v>5.1817886405875803E-18</v>
      </c>
      <c r="B1003">
        <v>-0.62091844075467295</v>
      </c>
      <c r="C1003">
        <v>3.5000000000000003E-2</v>
      </c>
      <c r="D1003">
        <v>0.24399999999999999</v>
      </c>
      <c r="E1003">
        <v>7.2016498526886198E-14</v>
      </c>
      <c r="F1003">
        <v>2</v>
      </c>
      <c r="G1003" t="s">
        <v>2822</v>
      </c>
      <c r="H1003" t="s">
        <v>2823</v>
      </c>
      <c r="I1003" t="str">
        <f>HYPERLINK("https://zfin.org/ZDB-GENE-031118-20")</f>
        <v>https://zfin.org/ZDB-GENE-031118-20</v>
      </c>
      <c r="J1003" t="s">
        <v>2824</v>
      </c>
    </row>
    <row r="1004" spans="1:10" x14ac:dyDescent="0.2">
      <c r="A1004">
        <v>5.7676069501693604E-18</v>
      </c>
      <c r="B1004">
        <v>0.51253510018562898</v>
      </c>
      <c r="C1004">
        <v>0.71299999999999997</v>
      </c>
      <c r="D1004">
        <v>0.58699999999999997</v>
      </c>
      <c r="E1004">
        <v>8.0158201393453803E-14</v>
      </c>
      <c r="F1004">
        <v>2</v>
      </c>
      <c r="G1004" t="s">
        <v>2039</v>
      </c>
      <c r="H1004" t="s">
        <v>2040</v>
      </c>
      <c r="I1004" t="str">
        <f>HYPERLINK("https://zfin.org/ZDB-GENE-050308-1")</f>
        <v>https://zfin.org/ZDB-GENE-050308-1</v>
      </c>
      <c r="J1004" t="s">
        <v>2041</v>
      </c>
    </row>
    <row r="1005" spans="1:10" x14ac:dyDescent="0.2">
      <c r="A1005">
        <v>9.2283718928260206E-18</v>
      </c>
      <c r="B1005">
        <v>-0.60194616661885103</v>
      </c>
      <c r="C1005">
        <v>0.17899999999999999</v>
      </c>
      <c r="D1005">
        <v>0.439</v>
      </c>
      <c r="E1005">
        <v>1.2825591256649599E-13</v>
      </c>
      <c r="F1005">
        <v>2</v>
      </c>
      <c r="G1005" t="s">
        <v>2825</v>
      </c>
      <c r="H1005" t="s">
        <v>2826</v>
      </c>
      <c r="I1005" t="str">
        <f>HYPERLINK("https://zfin.org/ZDB-GENE-030829-65")</f>
        <v>https://zfin.org/ZDB-GENE-030829-65</v>
      </c>
      <c r="J1005" t="s">
        <v>2827</v>
      </c>
    </row>
    <row r="1006" spans="1:10" x14ac:dyDescent="0.2">
      <c r="A1006">
        <v>9.8963722343794594E-18</v>
      </c>
      <c r="B1006">
        <v>-0.73390038210381103</v>
      </c>
      <c r="C1006">
        <v>0.23799999999999999</v>
      </c>
      <c r="D1006">
        <v>0.48599999999999999</v>
      </c>
      <c r="E1006">
        <v>1.37539781313406E-13</v>
      </c>
      <c r="F1006">
        <v>2</v>
      </c>
      <c r="G1006" t="s">
        <v>2508</v>
      </c>
      <c r="H1006" t="s">
        <v>2509</v>
      </c>
      <c r="I1006" t="str">
        <f>HYPERLINK("https://zfin.org/ZDB-GENE-050320-109")</f>
        <v>https://zfin.org/ZDB-GENE-050320-109</v>
      </c>
      <c r="J1006" t="s">
        <v>2510</v>
      </c>
    </row>
    <row r="1007" spans="1:10" x14ac:dyDescent="0.2">
      <c r="A1007">
        <v>1.29668596509597E-17</v>
      </c>
      <c r="B1007">
        <v>-0.47638441269155901</v>
      </c>
      <c r="C1007">
        <v>0.26700000000000002</v>
      </c>
      <c r="D1007">
        <v>0.55500000000000005</v>
      </c>
      <c r="E1007">
        <v>1.8021341542903799E-13</v>
      </c>
      <c r="F1007">
        <v>2</v>
      </c>
      <c r="G1007" t="s">
        <v>2828</v>
      </c>
      <c r="H1007" t="s">
        <v>2829</v>
      </c>
      <c r="I1007" t="str">
        <f>HYPERLINK("https://zfin.org/ZDB-GENE-030131-8567")</f>
        <v>https://zfin.org/ZDB-GENE-030131-8567</v>
      </c>
      <c r="J1007" t="s">
        <v>2830</v>
      </c>
    </row>
    <row r="1008" spans="1:10" x14ac:dyDescent="0.2">
      <c r="A1008">
        <v>1.5440994279669701E-17</v>
      </c>
      <c r="B1008">
        <v>-0.27192699918751601</v>
      </c>
      <c r="C1008">
        <v>0.97899999999999998</v>
      </c>
      <c r="D1008">
        <v>0.98899999999999999</v>
      </c>
      <c r="E1008">
        <v>2.1459893849885001E-13</v>
      </c>
      <c r="F1008">
        <v>2</v>
      </c>
      <c r="G1008" t="s">
        <v>1898</v>
      </c>
      <c r="H1008" t="s">
        <v>1899</v>
      </c>
      <c r="I1008" t="str">
        <f>HYPERLINK("https://zfin.org/ZDB-GENE-031001-9")</f>
        <v>https://zfin.org/ZDB-GENE-031001-9</v>
      </c>
      <c r="J1008" t="s">
        <v>1900</v>
      </c>
    </row>
    <row r="1009" spans="1:10" x14ac:dyDescent="0.2">
      <c r="A1009">
        <v>2.2626061405087001E-17</v>
      </c>
      <c r="B1009">
        <v>-0.31481689173000499</v>
      </c>
      <c r="C1009">
        <v>0.83599999999999997</v>
      </c>
      <c r="D1009">
        <v>0.93500000000000005</v>
      </c>
      <c r="E1009">
        <v>3.1445700140789901E-13</v>
      </c>
      <c r="F1009">
        <v>2</v>
      </c>
      <c r="G1009" t="s">
        <v>2831</v>
      </c>
      <c r="H1009" t="s">
        <v>2832</v>
      </c>
      <c r="I1009" t="str">
        <f>HYPERLINK("https://zfin.org/ZDB-GENE-000629-3")</f>
        <v>https://zfin.org/ZDB-GENE-000629-3</v>
      </c>
      <c r="J1009" t="s">
        <v>2833</v>
      </c>
    </row>
    <row r="1010" spans="1:10" x14ac:dyDescent="0.2">
      <c r="A1010">
        <v>2.30029055037064E-17</v>
      </c>
      <c r="B1010">
        <v>0.61560525832011403</v>
      </c>
      <c r="C1010">
        <v>0.214</v>
      </c>
      <c r="D1010">
        <v>0.08</v>
      </c>
      <c r="E1010">
        <v>3.1969438069051201E-13</v>
      </c>
      <c r="F1010">
        <v>2</v>
      </c>
      <c r="G1010" t="s">
        <v>2834</v>
      </c>
      <c r="H1010" t="s">
        <v>2835</v>
      </c>
      <c r="I1010" t="str">
        <f>HYPERLINK("https://zfin.org/ZDB-GENE-050417-293")</f>
        <v>https://zfin.org/ZDB-GENE-050417-293</v>
      </c>
      <c r="J1010" t="s">
        <v>2836</v>
      </c>
    </row>
    <row r="1011" spans="1:10" x14ac:dyDescent="0.2">
      <c r="A1011">
        <v>2.5219131507766099E-17</v>
      </c>
      <c r="B1011">
        <v>-0.27677411390684797</v>
      </c>
      <c r="C1011">
        <v>0.91800000000000004</v>
      </c>
      <c r="D1011">
        <v>0.97</v>
      </c>
      <c r="E1011">
        <v>3.5049548969493299E-13</v>
      </c>
      <c r="F1011">
        <v>2</v>
      </c>
      <c r="G1011" t="s">
        <v>2370</v>
      </c>
      <c r="H1011" t="s">
        <v>2371</v>
      </c>
      <c r="I1011" t="str">
        <f>HYPERLINK("https://zfin.org/ZDB-GENE-030131-9092")</f>
        <v>https://zfin.org/ZDB-GENE-030131-9092</v>
      </c>
      <c r="J1011" t="s">
        <v>2372</v>
      </c>
    </row>
    <row r="1012" spans="1:10" x14ac:dyDescent="0.2">
      <c r="A1012">
        <v>2.9756645091346397E-17</v>
      </c>
      <c r="B1012">
        <v>-0.28200869394879802</v>
      </c>
      <c r="C1012">
        <v>0.89700000000000002</v>
      </c>
      <c r="D1012">
        <v>0.96199999999999997</v>
      </c>
      <c r="E1012">
        <v>4.13557853479533E-13</v>
      </c>
      <c r="F1012">
        <v>2</v>
      </c>
      <c r="G1012" t="s">
        <v>2837</v>
      </c>
      <c r="H1012" t="s">
        <v>2838</v>
      </c>
      <c r="I1012" t="str">
        <f>HYPERLINK("https://zfin.org/ZDB-GENE-030131-7459")</f>
        <v>https://zfin.org/ZDB-GENE-030131-7459</v>
      </c>
      <c r="J1012" t="s">
        <v>2839</v>
      </c>
    </row>
    <row r="1013" spans="1:10" x14ac:dyDescent="0.2">
      <c r="A1013">
        <v>3.1214909599661901E-17</v>
      </c>
      <c r="B1013">
        <v>-0.447216999108209</v>
      </c>
      <c r="C1013">
        <v>0.49299999999999999</v>
      </c>
      <c r="D1013">
        <v>0.71599999999999997</v>
      </c>
      <c r="E1013">
        <v>4.3382481361610102E-13</v>
      </c>
      <c r="F1013">
        <v>2</v>
      </c>
      <c r="G1013" t="s">
        <v>1623</v>
      </c>
      <c r="H1013" t="s">
        <v>1624</v>
      </c>
      <c r="I1013" t="str">
        <f>HYPERLINK("https://zfin.org/ZDB-GENE-030131-124")</f>
        <v>https://zfin.org/ZDB-GENE-030131-124</v>
      </c>
      <c r="J1013" t="s">
        <v>1625</v>
      </c>
    </row>
    <row r="1014" spans="1:10" x14ac:dyDescent="0.2">
      <c r="A1014">
        <v>7.7666977215168806E-17</v>
      </c>
      <c r="B1014">
        <v>0.59790827334408503</v>
      </c>
      <c r="C1014">
        <v>0.35799999999999998</v>
      </c>
      <c r="D1014">
        <v>0.191</v>
      </c>
      <c r="E1014">
        <v>1.07941564933642E-12</v>
      </c>
      <c r="F1014">
        <v>2</v>
      </c>
      <c r="G1014" t="s">
        <v>2840</v>
      </c>
      <c r="H1014" t="s">
        <v>2841</v>
      </c>
      <c r="I1014" t="str">
        <f>HYPERLINK("https://zfin.org/ZDB-GENE-030131-8719")</f>
        <v>https://zfin.org/ZDB-GENE-030131-8719</v>
      </c>
      <c r="J1014" t="s">
        <v>2842</v>
      </c>
    </row>
    <row r="1015" spans="1:10" x14ac:dyDescent="0.2">
      <c r="A1015">
        <v>9.7601645535399894E-17</v>
      </c>
      <c r="B1015">
        <v>-0.392312286938446</v>
      </c>
      <c r="C1015">
        <v>0.70099999999999996</v>
      </c>
      <c r="D1015">
        <v>0.88</v>
      </c>
      <c r="E1015">
        <v>1.35646766965099E-12</v>
      </c>
      <c r="F1015">
        <v>2</v>
      </c>
      <c r="G1015" t="s">
        <v>1644</v>
      </c>
      <c r="H1015" t="s">
        <v>1645</v>
      </c>
      <c r="I1015" t="str">
        <f>HYPERLINK("https://zfin.org/ZDB-GENE-040426-1955")</f>
        <v>https://zfin.org/ZDB-GENE-040426-1955</v>
      </c>
      <c r="J1015" t="s">
        <v>1646</v>
      </c>
    </row>
    <row r="1016" spans="1:10" x14ac:dyDescent="0.2">
      <c r="A1016">
        <v>1.02899870705066E-16</v>
      </c>
      <c r="B1016">
        <v>-0.71814305200996598</v>
      </c>
      <c r="C1016">
        <v>0.106</v>
      </c>
      <c r="D1016">
        <v>0.32800000000000001</v>
      </c>
      <c r="E1016">
        <v>1.430102403059E-12</v>
      </c>
      <c r="F1016">
        <v>2</v>
      </c>
      <c r="G1016" t="s">
        <v>942</v>
      </c>
      <c r="H1016" t="s">
        <v>943</v>
      </c>
      <c r="I1016" t="str">
        <f>HYPERLINK("https://zfin.org/ZDB-GENE-040801-218")</f>
        <v>https://zfin.org/ZDB-GENE-040801-218</v>
      </c>
      <c r="J1016" t="s">
        <v>944</v>
      </c>
    </row>
    <row r="1017" spans="1:10" x14ac:dyDescent="0.2">
      <c r="A1017">
        <v>1.4194286714338401E-16</v>
      </c>
      <c r="B1017">
        <v>-0.26491894812418998</v>
      </c>
      <c r="C1017">
        <v>0.95899999999999996</v>
      </c>
      <c r="D1017">
        <v>0.99199999999999999</v>
      </c>
      <c r="E1017">
        <v>1.9727219675587499E-12</v>
      </c>
      <c r="F1017">
        <v>2</v>
      </c>
      <c r="G1017" t="s">
        <v>2126</v>
      </c>
      <c r="H1017" t="s">
        <v>2127</v>
      </c>
      <c r="I1017" t="str">
        <f>HYPERLINK("https://zfin.org/ZDB-GENE-040426-2454")</f>
        <v>https://zfin.org/ZDB-GENE-040426-2454</v>
      </c>
      <c r="J1017" t="s">
        <v>2128</v>
      </c>
    </row>
    <row r="1018" spans="1:10" x14ac:dyDescent="0.2">
      <c r="A1018">
        <v>1.82101289215395E-16</v>
      </c>
      <c r="B1018">
        <v>0.485490053485018</v>
      </c>
      <c r="C1018">
        <v>0.15</v>
      </c>
      <c r="D1018">
        <v>4.4999999999999998E-2</v>
      </c>
      <c r="E1018">
        <v>2.5308437175155501E-12</v>
      </c>
      <c r="F1018">
        <v>2</v>
      </c>
      <c r="G1018" t="s">
        <v>2843</v>
      </c>
      <c r="H1018" t="s">
        <v>2844</v>
      </c>
      <c r="I1018" t="str">
        <f>HYPERLINK("https://zfin.org/ZDB-GENE-050522-530")</f>
        <v>https://zfin.org/ZDB-GENE-050522-530</v>
      </c>
      <c r="J1018" t="s">
        <v>2845</v>
      </c>
    </row>
    <row r="1019" spans="1:10" x14ac:dyDescent="0.2">
      <c r="A1019">
        <v>1.98309583687882E-16</v>
      </c>
      <c r="B1019">
        <v>0.58573608779488495</v>
      </c>
      <c r="C1019">
        <v>0.161</v>
      </c>
      <c r="D1019">
        <v>0.05</v>
      </c>
      <c r="E1019">
        <v>2.7561065940941801E-12</v>
      </c>
      <c r="F1019">
        <v>2</v>
      </c>
      <c r="G1019" t="s">
        <v>2846</v>
      </c>
      <c r="H1019" t="s">
        <v>2847</v>
      </c>
      <c r="I1019" t="str">
        <f>HYPERLINK("https://zfin.org/ZDB-GENE-000210-21")</f>
        <v>https://zfin.org/ZDB-GENE-000210-21</v>
      </c>
      <c r="J1019" t="s">
        <v>2848</v>
      </c>
    </row>
    <row r="1020" spans="1:10" x14ac:dyDescent="0.2">
      <c r="A1020">
        <v>2.4122479846782601E-16</v>
      </c>
      <c r="B1020">
        <v>-0.60992836847420995</v>
      </c>
      <c r="C1020">
        <v>1.7999999999999999E-2</v>
      </c>
      <c r="D1020">
        <v>0.2</v>
      </c>
      <c r="E1020">
        <v>3.3525422491058398E-12</v>
      </c>
      <c r="F1020">
        <v>2</v>
      </c>
      <c r="G1020" t="s">
        <v>2849</v>
      </c>
      <c r="H1020" t="s">
        <v>2850</v>
      </c>
      <c r="I1020" t="str">
        <f>HYPERLINK("https://zfin.org/ZDB-GENE-001212-5")</f>
        <v>https://zfin.org/ZDB-GENE-001212-5</v>
      </c>
      <c r="J1020" t="s">
        <v>2851</v>
      </c>
    </row>
    <row r="1021" spans="1:10" x14ac:dyDescent="0.2">
      <c r="A1021">
        <v>2.9909082511473902E-16</v>
      </c>
      <c r="B1021">
        <v>-0.55985680152908401</v>
      </c>
      <c r="C1021">
        <v>4.7E-2</v>
      </c>
      <c r="D1021">
        <v>0.246</v>
      </c>
      <c r="E1021">
        <v>4.1567642874446397E-12</v>
      </c>
      <c r="F1021">
        <v>2</v>
      </c>
      <c r="G1021" t="s">
        <v>2852</v>
      </c>
      <c r="H1021" t="s">
        <v>2853</v>
      </c>
      <c r="I1021" t="str">
        <f>HYPERLINK("https://zfin.org/ZDB-GENE-041130-1")</f>
        <v>https://zfin.org/ZDB-GENE-041130-1</v>
      </c>
      <c r="J1021" t="s">
        <v>2854</v>
      </c>
    </row>
    <row r="1022" spans="1:10" x14ac:dyDescent="0.2">
      <c r="A1022">
        <v>3.2900473312834399E-16</v>
      </c>
      <c r="B1022">
        <v>-0.26595239837360601</v>
      </c>
      <c r="C1022">
        <v>0.95899999999999996</v>
      </c>
      <c r="D1022">
        <v>0.98899999999999999</v>
      </c>
      <c r="E1022">
        <v>4.5725077810177303E-12</v>
      </c>
      <c r="F1022">
        <v>2</v>
      </c>
      <c r="G1022" t="s">
        <v>2193</v>
      </c>
      <c r="H1022" t="s">
        <v>2194</v>
      </c>
      <c r="I1022" t="str">
        <f>HYPERLINK("https://zfin.org/ZDB-GENE-040426-1718")</f>
        <v>https://zfin.org/ZDB-GENE-040426-1718</v>
      </c>
      <c r="J1022" t="s">
        <v>2195</v>
      </c>
    </row>
    <row r="1023" spans="1:10" x14ac:dyDescent="0.2">
      <c r="A1023">
        <v>3.9377230876979298E-16</v>
      </c>
      <c r="B1023">
        <v>-0.46757774063618601</v>
      </c>
      <c r="C1023">
        <v>0.43099999999999999</v>
      </c>
      <c r="D1023">
        <v>0.68300000000000005</v>
      </c>
      <c r="E1023">
        <v>5.4726475472825896E-12</v>
      </c>
      <c r="F1023">
        <v>2</v>
      </c>
      <c r="G1023" t="s">
        <v>2855</v>
      </c>
      <c r="H1023" t="s">
        <v>2856</v>
      </c>
      <c r="I1023" t="str">
        <f>HYPERLINK("https://zfin.org/ZDB-GENE-061027-176")</f>
        <v>https://zfin.org/ZDB-GENE-061027-176</v>
      </c>
      <c r="J1023" t="s">
        <v>2857</v>
      </c>
    </row>
    <row r="1024" spans="1:10" x14ac:dyDescent="0.2">
      <c r="A1024">
        <v>4.14159439070783E-16</v>
      </c>
      <c r="B1024">
        <v>-0.25957491168133601</v>
      </c>
      <c r="C1024">
        <v>0.95599999999999996</v>
      </c>
      <c r="D1024">
        <v>0.99099999999999999</v>
      </c>
      <c r="E1024">
        <v>5.7559878842057403E-12</v>
      </c>
      <c r="F1024">
        <v>2</v>
      </c>
      <c r="G1024" t="s">
        <v>1875</v>
      </c>
      <c r="H1024" t="s">
        <v>1876</v>
      </c>
      <c r="I1024" t="str">
        <f>HYPERLINK("https://zfin.org/ZDB-GENE-030131-8626")</f>
        <v>https://zfin.org/ZDB-GENE-030131-8626</v>
      </c>
      <c r="J1024" t="s">
        <v>1877</v>
      </c>
    </row>
    <row r="1025" spans="1:10" x14ac:dyDescent="0.2">
      <c r="A1025">
        <v>4.3728964498556598E-16</v>
      </c>
      <c r="B1025">
        <v>-0.410653846689357</v>
      </c>
      <c r="C1025">
        <v>0.56599999999999995</v>
      </c>
      <c r="D1025">
        <v>0.79300000000000004</v>
      </c>
      <c r="E1025">
        <v>6.07745148600939E-12</v>
      </c>
      <c r="F1025">
        <v>2</v>
      </c>
      <c r="G1025" t="s">
        <v>2858</v>
      </c>
      <c r="H1025" t="s">
        <v>2859</v>
      </c>
      <c r="I1025" t="str">
        <f>HYPERLINK("https://zfin.org/ZDB-GENE-991110-23")</f>
        <v>https://zfin.org/ZDB-GENE-991110-23</v>
      </c>
      <c r="J1025" t="s">
        <v>2860</v>
      </c>
    </row>
    <row r="1026" spans="1:10" x14ac:dyDescent="0.2">
      <c r="A1026">
        <v>5.5035658574934199E-16</v>
      </c>
      <c r="B1026">
        <v>-0.52972733255954696</v>
      </c>
      <c r="C1026">
        <v>0.20499999999999999</v>
      </c>
      <c r="D1026">
        <v>0.45900000000000002</v>
      </c>
      <c r="E1026">
        <v>7.6488558287443593E-12</v>
      </c>
      <c r="F1026">
        <v>2</v>
      </c>
      <c r="G1026" t="s">
        <v>2861</v>
      </c>
      <c r="H1026" t="s">
        <v>2862</v>
      </c>
      <c r="I1026" t="str">
        <f>HYPERLINK("https://zfin.org/ZDB-GENE-030131-879")</f>
        <v>https://zfin.org/ZDB-GENE-030131-879</v>
      </c>
      <c r="J1026" t="s">
        <v>2863</v>
      </c>
    </row>
    <row r="1027" spans="1:10" x14ac:dyDescent="0.2">
      <c r="A1027">
        <v>6.0561966410615298E-16</v>
      </c>
      <c r="B1027">
        <v>-0.53304647893488799</v>
      </c>
      <c r="C1027">
        <v>0.40799999999999997</v>
      </c>
      <c r="D1027">
        <v>0.64100000000000001</v>
      </c>
      <c r="E1027">
        <v>8.4169020917473097E-12</v>
      </c>
      <c r="F1027">
        <v>2</v>
      </c>
      <c r="G1027" t="s">
        <v>1997</v>
      </c>
      <c r="H1027" t="s">
        <v>1998</v>
      </c>
      <c r="I1027" t="str">
        <f>HYPERLINK("https://zfin.org/ZDB-GENE-030131-9")</f>
        <v>https://zfin.org/ZDB-GENE-030131-9</v>
      </c>
      <c r="J1027" t="s">
        <v>1999</v>
      </c>
    </row>
    <row r="1028" spans="1:10" x14ac:dyDescent="0.2">
      <c r="A1028">
        <v>7.0590335748574595E-16</v>
      </c>
      <c r="B1028">
        <v>-0.86029699174906105</v>
      </c>
      <c r="C1028">
        <v>5.6000000000000001E-2</v>
      </c>
      <c r="D1028">
        <v>0.252</v>
      </c>
      <c r="E1028">
        <v>9.8106448623368999E-12</v>
      </c>
      <c r="F1028">
        <v>2</v>
      </c>
      <c r="G1028" t="s">
        <v>1011</v>
      </c>
      <c r="H1028" t="s">
        <v>1012</v>
      </c>
      <c r="I1028" t="str">
        <f>HYPERLINK("https://zfin.org/ZDB-GENE-990415-17")</f>
        <v>https://zfin.org/ZDB-GENE-990415-17</v>
      </c>
      <c r="J1028" t="s">
        <v>1013</v>
      </c>
    </row>
    <row r="1029" spans="1:10" x14ac:dyDescent="0.2">
      <c r="A1029">
        <v>1.1147219151961301E-15</v>
      </c>
      <c r="B1029">
        <v>-0.874713616861992</v>
      </c>
      <c r="C1029">
        <v>9.7000000000000003E-2</v>
      </c>
      <c r="D1029">
        <v>0.30099999999999999</v>
      </c>
      <c r="E1029">
        <v>1.5492405177395899E-11</v>
      </c>
      <c r="F1029">
        <v>2</v>
      </c>
      <c r="G1029" t="s">
        <v>2864</v>
      </c>
      <c r="H1029" t="s">
        <v>2865</v>
      </c>
      <c r="I1029" t="str">
        <f>HYPERLINK("https://zfin.org/ZDB-GENE-110411-139")</f>
        <v>https://zfin.org/ZDB-GENE-110411-139</v>
      </c>
      <c r="J1029" t="s">
        <v>2866</v>
      </c>
    </row>
    <row r="1030" spans="1:10" x14ac:dyDescent="0.2">
      <c r="A1030">
        <v>1.1541532449876601E-15</v>
      </c>
      <c r="B1030">
        <v>-1.0733209069819101</v>
      </c>
      <c r="C1030">
        <v>0.13500000000000001</v>
      </c>
      <c r="D1030">
        <v>0.34399999999999997</v>
      </c>
      <c r="E1030">
        <v>1.6040421798838501E-11</v>
      </c>
      <c r="F1030">
        <v>2</v>
      </c>
      <c r="G1030" t="s">
        <v>2867</v>
      </c>
      <c r="H1030" t="s">
        <v>2868</v>
      </c>
      <c r="I1030" t="str">
        <f>HYPERLINK("https://zfin.org/ZDB-GENE-110411-258")</f>
        <v>https://zfin.org/ZDB-GENE-110411-258</v>
      </c>
      <c r="J1030" t="s">
        <v>2869</v>
      </c>
    </row>
    <row r="1031" spans="1:10" x14ac:dyDescent="0.2">
      <c r="A1031">
        <v>1.2008310217927001E-15</v>
      </c>
      <c r="B1031">
        <v>0.595880370843481</v>
      </c>
      <c r="C1031">
        <v>0.38100000000000001</v>
      </c>
      <c r="D1031">
        <v>0.217</v>
      </c>
      <c r="E1031">
        <v>1.66891495408749E-11</v>
      </c>
      <c r="F1031">
        <v>2</v>
      </c>
      <c r="G1031" t="s">
        <v>2870</v>
      </c>
      <c r="H1031" t="s">
        <v>2871</v>
      </c>
      <c r="I1031" t="str">
        <f>HYPERLINK("https://zfin.org/ZDB-GENE-030131-7145")</f>
        <v>https://zfin.org/ZDB-GENE-030131-7145</v>
      </c>
      <c r="J1031" t="s">
        <v>2872</v>
      </c>
    </row>
    <row r="1032" spans="1:10" x14ac:dyDescent="0.2">
      <c r="A1032">
        <v>1.56235496815711E-15</v>
      </c>
      <c r="B1032">
        <v>-0.308136599711963</v>
      </c>
      <c r="C1032">
        <v>0.78600000000000003</v>
      </c>
      <c r="D1032">
        <v>0.92</v>
      </c>
      <c r="E1032">
        <v>2.1713609347447501E-11</v>
      </c>
      <c r="F1032">
        <v>2</v>
      </c>
      <c r="G1032" t="s">
        <v>1447</v>
      </c>
      <c r="H1032" t="s">
        <v>1448</v>
      </c>
      <c r="I1032" t="str">
        <f>HYPERLINK("https://zfin.org/ZDB-GENE-030131-8556")</f>
        <v>https://zfin.org/ZDB-GENE-030131-8556</v>
      </c>
      <c r="J1032" t="s">
        <v>1449</v>
      </c>
    </row>
    <row r="1033" spans="1:10" x14ac:dyDescent="0.2">
      <c r="A1033">
        <v>2.1643553486578999E-15</v>
      </c>
      <c r="B1033">
        <v>-0.65939597767370906</v>
      </c>
      <c r="C1033">
        <v>0.40799999999999997</v>
      </c>
      <c r="D1033">
        <v>0.63900000000000001</v>
      </c>
      <c r="E1033">
        <v>3.0080210635647497E-11</v>
      </c>
      <c r="F1033">
        <v>2</v>
      </c>
      <c r="G1033" t="s">
        <v>2873</v>
      </c>
      <c r="H1033" t="s">
        <v>2874</v>
      </c>
      <c r="I1033" t="str">
        <f>HYPERLINK("https://zfin.org/ZDB-GENE-050506-24")</f>
        <v>https://zfin.org/ZDB-GENE-050506-24</v>
      </c>
      <c r="J1033" t="s">
        <v>2875</v>
      </c>
    </row>
    <row r="1034" spans="1:10" x14ac:dyDescent="0.2">
      <c r="A1034">
        <v>2.4600229148813399E-15</v>
      </c>
      <c r="B1034">
        <v>-0.42514280000055799</v>
      </c>
      <c r="C1034">
        <v>0.38400000000000001</v>
      </c>
      <c r="D1034">
        <v>0.64100000000000001</v>
      </c>
      <c r="E1034">
        <v>3.4189398471020799E-11</v>
      </c>
      <c r="F1034">
        <v>2</v>
      </c>
      <c r="G1034" t="s">
        <v>1964</v>
      </c>
      <c r="H1034" t="s">
        <v>1965</v>
      </c>
      <c r="I1034" t="str">
        <f>HYPERLINK("https://zfin.org/ZDB-GENE-040426-2534")</f>
        <v>https://zfin.org/ZDB-GENE-040426-2534</v>
      </c>
      <c r="J1034" t="s">
        <v>1966</v>
      </c>
    </row>
    <row r="1035" spans="1:10" x14ac:dyDescent="0.2">
      <c r="A1035">
        <v>2.8074836004545398E-15</v>
      </c>
      <c r="B1035">
        <v>-0.57269845134943298</v>
      </c>
      <c r="C1035">
        <v>0.52200000000000002</v>
      </c>
      <c r="D1035">
        <v>0.73499999999999999</v>
      </c>
      <c r="E1035">
        <v>3.9018407079117198E-11</v>
      </c>
      <c r="F1035">
        <v>2</v>
      </c>
      <c r="G1035" t="s">
        <v>2876</v>
      </c>
      <c r="H1035" t="s">
        <v>2877</v>
      </c>
      <c r="I1035" t="str">
        <f>HYPERLINK("https://zfin.org/ZDB-GENE-030131-8330")</f>
        <v>https://zfin.org/ZDB-GENE-030131-8330</v>
      </c>
      <c r="J1035" t="s">
        <v>2878</v>
      </c>
    </row>
    <row r="1036" spans="1:10" x14ac:dyDescent="0.2">
      <c r="A1036">
        <v>2.88614636913782E-15</v>
      </c>
      <c r="B1036">
        <v>-0.59632591525246503</v>
      </c>
      <c r="C1036">
        <v>6.2E-2</v>
      </c>
      <c r="D1036">
        <v>0.25600000000000001</v>
      </c>
      <c r="E1036">
        <v>4.0111662238277402E-11</v>
      </c>
      <c r="F1036">
        <v>2</v>
      </c>
      <c r="G1036" t="s">
        <v>2879</v>
      </c>
      <c r="H1036" t="s">
        <v>2880</v>
      </c>
      <c r="I1036" t="str">
        <f>HYPERLINK("https://zfin.org/ZDB-GENE-011213-1")</f>
        <v>https://zfin.org/ZDB-GENE-011213-1</v>
      </c>
      <c r="J1036" t="s">
        <v>2881</v>
      </c>
    </row>
    <row r="1037" spans="1:10" x14ac:dyDescent="0.2">
      <c r="A1037">
        <v>4.2178891891420401E-15</v>
      </c>
      <c r="B1037">
        <v>-0.371461981990166</v>
      </c>
      <c r="C1037">
        <v>0.748</v>
      </c>
      <c r="D1037">
        <v>0.91200000000000003</v>
      </c>
      <c r="E1037">
        <v>5.8620223950696003E-11</v>
      </c>
      <c r="F1037">
        <v>2</v>
      </c>
      <c r="G1037" t="s">
        <v>1707</v>
      </c>
      <c r="H1037" t="s">
        <v>1708</v>
      </c>
      <c r="I1037" t="str">
        <f>HYPERLINK("https://zfin.org/ZDB-GENE-030131-7647")</f>
        <v>https://zfin.org/ZDB-GENE-030131-7647</v>
      </c>
      <c r="J1037" t="s">
        <v>1709</v>
      </c>
    </row>
    <row r="1038" spans="1:10" x14ac:dyDescent="0.2">
      <c r="A1038">
        <v>4.7137558469259797E-15</v>
      </c>
      <c r="B1038">
        <v>-0.39914943283397503</v>
      </c>
      <c r="C1038">
        <v>0.16700000000000001</v>
      </c>
      <c r="D1038">
        <v>0.41699999999999998</v>
      </c>
      <c r="E1038">
        <v>6.5511778760577303E-11</v>
      </c>
      <c r="F1038">
        <v>2</v>
      </c>
      <c r="G1038" t="s">
        <v>2882</v>
      </c>
      <c r="H1038" t="s">
        <v>2883</v>
      </c>
      <c r="I1038" t="str">
        <f>HYPERLINK("https://zfin.org/ZDB-GENE-021219-3")</f>
        <v>https://zfin.org/ZDB-GENE-021219-3</v>
      </c>
      <c r="J1038" t="s">
        <v>2884</v>
      </c>
    </row>
    <row r="1039" spans="1:10" x14ac:dyDescent="0.2">
      <c r="A1039">
        <v>5.2461545796298801E-15</v>
      </c>
      <c r="B1039">
        <v>-0.26764570453557401</v>
      </c>
      <c r="C1039">
        <v>0.92700000000000005</v>
      </c>
      <c r="D1039">
        <v>0.96899999999999997</v>
      </c>
      <c r="E1039">
        <v>7.2911056347696103E-11</v>
      </c>
      <c r="F1039">
        <v>2</v>
      </c>
      <c r="G1039" t="s">
        <v>2885</v>
      </c>
      <c r="H1039" t="s">
        <v>2886</v>
      </c>
      <c r="I1039" t="str">
        <f>HYPERLINK("https://zfin.org/ZDB-GENE-000629-1")</f>
        <v>https://zfin.org/ZDB-GENE-000629-1</v>
      </c>
      <c r="J1039" t="s">
        <v>2887</v>
      </c>
    </row>
    <row r="1040" spans="1:10" x14ac:dyDescent="0.2">
      <c r="A1040">
        <v>5.2822248348668403E-15</v>
      </c>
      <c r="B1040">
        <v>0.51345417095056001</v>
      </c>
      <c r="C1040">
        <v>0.24</v>
      </c>
      <c r="D1040">
        <v>0.106</v>
      </c>
      <c r="E1040">
        <v>7.34123607549793E-11</v>
      </c>
      <c r="F1040">
        <v>2</v>
      </c>
      <c r="G1040" t="s">
        <v>2888</v>
      </c>
      <c r="H1040" t="s">
        <v>2889</v>
      </c>
      <c r="I1040" t="str">
        <f>HYPERLINK("https://zfin.org/ZDB-GENE-040718-36")</f>
        <v>https://zfin.org/ZDB-GENE-040718-36</v>
      </c>
      <c r="J1040" t="s">
        <v>2890</v>
      </c>
    </row>
    <row r="1041" spans="1:10" x14ac:dyDescent="0.2">
      <c r="A1041">
        <v>5.4964210225200802E-15</v>
      </c>
      <c r="B1041">
        <v>-0.50545217056777203</v>
      </c>
      <c r="C1041">
        <v>9.7000000000000003E-2</v>
      </c>
      <c r="D1041">
        <v>0.311</v>
      </c>
      <c r="E1041">
        <v>7.6389259370984003E-11</v>
      </c>
      <c r="F1041">
        <v>2</v>
      </c>
      <c r="G1041" t="s">
        <v>2891</v>
      </c>
      <c r="H1041" t="s">
        <v>2892</v>
      </c>
      <c r="I1041" t="str">
        <f>HYPERLINK("https://zfin.org/ZDB-GENE-000328-3")</f>
        <v>https://zfin.org/ZDB-GENE-000328-3</v>
      </c>
      <c r="J1041" t="s">
        <v>2893</v>
      </c>
    </row>
    <row r="1042" spans="1:10" x14ac:dyDescent="0.2">
      <c r="A1042">
        <v>5.5330268675389201E-15</v>
      </c>
      <c r="B1042">
        <v>0.55316962957103299</v>
      </c>
      <c r="C1042">
        <v>0.21099999999999999</v>
      </c>
      <c r="D1042">
        <v>8.5000000000000006E-2</v>
      </c>
      <c r="E1042">
        <v>7.6898007405055903E-11</v>
      </c>
      <c r="F1042">
        <v>2</v>
      </c>
      <c r="G1042" t="s">
        <v>2894</v>
      </c>
      <c r="H1042" t="s">
        <v>2895</v>
      </c>
      <c r="I1042" t="str">
        <f>HYPERLINK("https://zfin.org/ZDB-GENE-030131-1459")</f>
        <v>https://zfin.org/ZDB-GENE-030131-1459</v>
      </c>
      <c r="J1042" t="s">
        <v>2896</v>
      </c>
    </row>
    <row r="1043" spans="1:10" x14ac:dyDescent="0.2">
      <c r="A1043">
        <v>6.2317367868694603E-15</v>
      </c>
      <c r="B1043">
        <v>-0.47787469839920299</v>
      </c>
      <c r="C1043">
        <v>0.13800000000000001</v>
      </c>
      <c r="D1043">
        <v>0.36699999999999999</v>
      </c>
      <c r="E1043">
        <v>8.6608677863911701E-11</v>
      </c>
      <c r="F1043">
        <v>2</v>
      </c>
      <c r="G1043" t="s">
        <v>2897</v>
      </c>
      <c r="H1043" t="s">
        <v>2898</v>
      </c>
      <c r="I1043" t="str">
        <f>HYPERLINK("https://zfin.org/ZDB-GENE-000906-2")</f>
        <v>https://zfin.org/ZDB-GENE-000906-2</v>
      </c>
      <c r="J1043" t="s">
        <v>2899</v>
      </c>
    </row>
    <row r="1044" spans="1:10" x14ac:dyDescent="0.2">
      <c r="A1044">
        <v>6.9972453793180099E-15</v>
      </c>
      <c r="B1044">
        <v>0.63666120378953595</v>
      </c>
      <c r="C1044">
        <v>0.317</v>
      </c>
      <c r="D1044">
        <v>0.16500000000000001</v>
      </c>
      <c r="E1044">
        <v>9.7247716281761705E-11</v>
      </c>
      <c r="F1044">
        <v>2</v>
      </c>
      <c r="G1044" t="s">
        <v>2900</v>
      </c>
      <c r="H1044" t="s">
        <v>2901</v>
      </c>
      <c r="I1044" t="str">
        <f>HYPERLINK("https://zfin.org/ZDB-GENE-070912-648")</f>
        <v>https://zfin.org/ZDB-GENE-070912-648</v>
      </c>
      <c r="J1044" t="s">
        <v>2902</v>
      </c>
    </row>
    <row r="1045" spans="1:10" x14ac:dyDescent="0.2">
      <c r="A1045">
        <v>7.0800481075736799E-15</v>
      </c>
      <c r="B1045">
        <v>-0.51704701471534797</v>
      </c>
      <c r="C1045">
        <v>8.7999999999999995E-2</v>
      </c>
      <c r="D1045">
        <v>0.29599999999999999</v>
      </c>
      <c r="E1045">
        <v>9.8398508599058994E-11</v>
      </c>
      <c r="F1045">
        <v>2</v>
      </c>
      <c r="G1045" t="s">
        <v>2903</v>
      </c>
      <c r="H1045" t="s">
        <v>2904</v>
      </c>
      <c r="I1045" t="str">
        <f>HYPERLINK("https://zfin.org/ZDB-GENE-041210-181")</f>
        <v>https://zfin.org/ZDB-GENE-041210-181</v>
      </c>
      <c r="J1045" t="s">
        <v>2905</v>
      </c>
    </row>
    <row r="1046" spans="1:10" x14ac:dyDescent="0.2">
      <c r="A1046">
        <v>8.45427757953448E-15</v>
      </c>
      <c r="B1046">
        <v>-0.26014678719469803</v>
      </c>
      <c r="C1046">
        <v>0.90300000000000002</v>
      </c>
      <c r="D1046">
        <v>0.97</v>
      </c>
      <c r="E1046">
        <v>1.1749754980036999E-10</v>
      </c>
      <c r="F1046">
        <v>2</v>
      </c>
      <c r="G1046" t="s">
        <v>1800</v>
      </c>
      <c r="H1046" t="s">
        <v>1801</v>
      </c>
      <c r="I1046" t="str">
        <f>HYPERLINK("https://zfin.org/ZDB-GENE-020423-1")</f>
        <v>https://zfin.org/ZDB-GENE-020423-1</v>
      </c>
      <c r="J1046" t="s">
        <v>1802</v>
      </c>
    </row>
    <row r="1047" spans="1:10" x14ac:dyDescent="0.2">
      <c r="A1047">
        <v>1.16916451702098E-14</v>
      </c>
      <c r="B1047">
        <v>0.77194586223234096</v>
      </c>
      <c r="C1047">
        <v>0.14699999999999999</v>
      </c>
      <c r="D1047">
        <v>4.8000000000000001E-2</v>
      </c>
      <c r="E1047">
        <v>1.6249048457557599E-10</v>
      </c>
      <c r="F1047">
        <v>2</v>
      </c>
      <c r="G1047" t="s">
        <v>2906</v>
      </c>
      <c r="H1047" t="s">
        <v>2907</v>
      </c>
      <c r="I1047" t="str">
        <f>HYPERLINK("https://zfin.org/ZDB-GENE-980526-249")</f>
        <v>https://zfin.org/ZDB-GENE-980526-249</v>
      </c>
      <c r="J1047" t="s">
        <v>2908</v>
      </c>
    </row>
    <row r="1048" spans="1:10" x14ac:dyDescent="0.2">
      <c r="A1048">
        <v>1.1824786736181599E-14</v>
      </c>
      <c r="B1048">
        <v>-0.46286978728045203</v>
      </c>
      <c r="C1048">
        <v>0.47799999999999998</v>
      </c>
      <c r="D1048">
        <v>0.68799999999999994</v>
      </c>
      <c r="E1048">
        <v>1.6434088605945299E-10</v>
      </c>
      <c r="F1048">
        <v>2</v>
      </c>
      <c r="G1048" t="s">
        <v>2909</v>
      </c>
      <c r="H1048" t="s">
        <v>2910</v>
      </c>
      <c r="I1048" t="str">
        <f>HYPERLINK("https://zfin.org/ZDB-GENE-040426-2516")</f>
        <v>https://zfin.org/ZDB-GENE-040426-2516</v>
      </c>
      <c r="J1048" t="s">
        <v>2911</v>
      </c>
    </row>
    <row r="1049" spans="1:10" x14ac:dyDescent="0.2">
      <c r="A1049">
        <v>1.6729341324355901E-14</v>
      </c>
      <c r="B1049">
        <v>0.589617150304235</v>
      </c>
      <c r="C1049">
        <v>0.22</v>
      </c>
      <c r="D1049">
        <v>9.1999999999999998E-2</v>
      </c>
      <c r="E1049">
        <v>2.32504385725898E-10</v>
      </c>
      <c r="F1049">
        <v>2</v>
      </c>
      <c r="G1049" t="s">
        <v>2912</v>
      </c>
      <c r="H1049" t="s">
        <v>2913</v>
      </c>
      <c r="I1049" t="str">
        <f>HYPERLINK("https://zfin.org/ZDB-GENE-030131-5416")</f>
        <v>https://zfin.org/ZDB-GENE-030131-5416</v>
      </c>
      <c r="J1049" t="s">
        <v>2914</v>
      </c>
    </row>
    <row r="1050" spans="1:10" x14ac:dyDescent="0.2">
      <c r="A1050">
        <v>1.7972897513643599E-14</v>
      </c>
      <c r="B1050">
        <v>0.499991517354546</v>
      </c>
      <c r="C1050">
        <v>0.14699999999999999</v>
      </c>
      <c r="D1050">
        <v>4.8000000000000001E-2</v>
      </c>
      <c r="E1050">
        <v>2.4978732964461898E-10</v>
      </c>
      <c r="F1050">
        <v>2</v>
      </c>
      <c r="G1050" t="s">
        <v>2915</v>
      </c>
      <c r="H1050" t="s">
        <v>2916</v>
      </c>
      <c r="I1050" t="str">
        <f>HYPERLINK("https://zfin.org/ZDB-GENE-050506-146")</f>
        <v>https://zfin.org/ZDB-GENE-050506-146</v>
      </c>
      <c r="J1050" t="s">
        <v>2917</v>
      </c>
    </row>
    <row r="1051" spans="1:10" x14ac:dyDescent="0.2">
      <c r="A1051">
        <v>1.95874829119905E-14</v>
      </c>
      <c r="B1051">
        <v>-0.33880682998093098</v>
      </c>
      <c r="C1051">
        <v>0.60399999999999998</v>
      </c>
      <c r="D1051">
        <v>0.80300000000000005</v>
      </c>
      <c r="E1051">
        <v>2.7222683751084302E-10</v>
      </c>
      <c r="F1051">
        <v>2</v>
      </c>
      <c r="G1051" t="s">
        <v>1737</v>
      </c>
      <c r="H1051" t="s">
        <v>1738</v>
      </c>
      <c r="I1051" t="str">
        <f>HYPERLINK("https://zfin.org/ZDB-GENE-030131-6602")</f>
        <v>https://zfin.org/ZDB-GENE-030131-6602</v>
      </c>
      <c r="J1051" t="s">
        <v>1739</v>
      </c>
    </row>
    <row r="1052" spans="1:10" x14ac:dyDescent="0.2">
      <c r="A1052">
        <v>2.5378627525943299E-14</v>
      </c>
      <c r="B1052">
        <v>-0.45892139535238202</v>
      </c>
      <c r="C1052">
        <v>0.58399999999999996</v>
      </c>
      <c r="D1052">
        <v>0.77300000000000002</v>
      </c>
      <c r="E1052">
        <v>3.5271216535556099E-10</v>
      </c>
      <c r="F1052">
        <v>2</v>
      </c>
      <c r="G1052" t="s">
        <v>909</v>
      </c>
      <c r="H1052" t="s">
        <v>910</v>
      </c>
      <c r="I1052" t="str">
        <f>HYPERLINK("https://zfin.org/ZDB-GENE-030326-2")</f>
        <v>https://zfin.org/ZDB-GENE-030326-2</v>
      </c>
      <c r="J1052" t="s">
        <v>911</v>
      </c>
    </row>
    <row r="1053" spans="1:10" x14ac:dyDescent="0.2">
      <c r="A1053">
        <v>2.9406663139339202E-14</v>
      </c>
      <c r="B1053">
        <v>-0.437337216592182</v>
      </c>
      <c r="C1053">
        <v>0.34</v>
      </c>
      <c r="D1053">
        <v>0.57699999999999996</v>
      </c>
      <c r="E1053">
        <v>4.0869380431053602E-10</v>
      </c>
      <c r="F1053">
        <v>2</v>
      </c>
      <c r="G1053" t="s">
        <v>1155</v>
      </c>
      <c r="H1053" t="s">
        <v>1156</v>
      </c>
      <c r="I1053" t="str">
        <f>HYPERLINK("https://zfin.org/ZDB-GENE-040426-1966")</f>
        <v>https://zfin.org/ZDB-GENE-040426-1966</v>
      </c>
      <c r="J1053" t="s">
        <v>1157</v>
      </c>
    </row>
    <row r="1054" spans="1:10" x14ac:dyDescent="0.2">
      <c r="A1054">
        <v>3.0333221142905601E-14</v>
      </c>
      <c r="B1054">
        <v>-0.26815172236247697</v>
      </c>
      <c r="C1054">
        <v>0.91200000000000003</v>
      </c>
      <c r="D1054">
        <v>0.96399999999999997</v>
      </c>
      <c r="E1054">
        <v>4.2157110744410202E-10</v>
      </c>
      <c r="F1054">
        <v>2</v>
      </c>
      <c r="G1054" t="s">
        <v>2009</v>
      </c>
      <c r="H1054" t="s">
        <v>2010</v>
      </c>
      <c r="I1054" t="str">
        <f>HYPERLINK("https://zfin.org/ZDB-GENE-030131-4343")</f>
        <v>https://zfin.org/ZDB-GENE-030131-4343</v>
      </c>
      <c r="J1054" t="s">
        <v>2011</v>
      </c>
    </row>
    <row r="1055" spans="1:10" x14ac:dyDescent="0.2">
      <c r="A1055">
        <v>3.32312370207603E-14</v>
      </c>
      <c r="B1055">
        <v>-0.61594535956249297</v>
      </c>
      <c r="C1055">
        <v>0.38400000000000001</v>
      </c>
      <c r="D1055">
        <v>0.61299999999999999</v>
      </c>
      <c r="E1055">
        <v>4.61847732114527E-10</v>
      </c>
      <c r="F1055">
        <v>2</v>
      </c>
      <c r="G1055" t="s">
        <v>861</v>
      </c>
      <c r="H1055" t="s">
        <v>862</v>
      </c>
      <c r="I1055" t="str">
        <f>HYPERLINK("https://zfin.org/ZDB-GENE-030131-1226")</f>
        <v>https://zfin.org/ZDB-GENE-030131-1226</v>
      </c>
      <c r="J1055" t="s">
        <v>863</v>
      </c>
    </row>
    <row r="1056" spans="1:10" x14ac:dyDescent="0.2">
      <c r="A1056">
        <v>3.6981479950393002E-14</v>
      </c>
      <c r="B1056">
        <v>-0.60382264853588397</v>
      </c>
      <c r="C1056">
        <v>5.6000000000000001E-2</v>
      </c>
      <c r="D1056">
        <v>0.23599999999999999</v>
      </c>
      <c r="E1056">
        <v>5.1396860835056199E-10</v>
      </c>
      <c r="F1056">
        <v>2</v>
      </c>
      <c r="G1056" t="s">
        <v>2918</v>
      </c>
      <c r="H1056" t="s">
        <v>2919</v>
      </c>
      <c r="I1056" t="str">
        <f>HYPERLINK("https://zfin.org/ZDB-GENE-040718-440")</f>
        <v>https://zfin.org/ZDB-GENE-040718-440</v>
      </c>
      <c r="J1056" t="s">
        <v>2920</v>
      </c>
    </row>
    <row r="1057" spans="1:10" x14ac:dyDescent="0.2">
      <c r="A1057">
        <v>3.89808461258956E-14</v>
      </c>
      <c r="B1057">
        <v>-0.25765558949917899</v>
      </c>
      <c r="C1057">
        <v>0.93300000000000005</v>
      </c>
      <c r="D1057">
        <v>0.97899999999999998</v>
      </c>
      <c r="E1057">
        <v>5.4175579945769698E-10</v>
      </c>
      <c r="F1057">
        <v>2</v>
      </c>
      <c r="G1057" t="s">
        <v>1985</v>
      </c>
      <c r="H1057" t="s">
        <v>1986</v>
      </c>
      <c r="I1057" t="str">
        <f>HYPERLINK("https://zfin.org/ZDB-GENE-010724-15")</f>
        <v>https://zfin.org/ZDB-GENE-010724-15</v>
      </c>
      <c r="J1057" t="s">
        <v>1987</v>
      </c>
    </row>
    <row r="1058" spans="1:10" x14ac:dyDescent="0.2">
      <c r="A1058">
        <v>3.9175107511807099E-14</v>
      </c>
      <c r="B1058">
        <v>0.35163956348900399</v>
      </c>
      <c r="C1058">
        <v>0.88</v>
      </c>
      <c r="D1058">
        <v>0.81499999999999995</v>
      </c>
      <c r="E1058">
        <v>5.4445564419909502E-10</v>
      </c>
      <c r="F1058">
        <v>2</v>
      </c>
      <c r="G1058" t="s">
        <v>1519</v>
      </c>
      <c r="H1058" t="s">
        <v>1520</v>
      </c>
      <c r="I1058" t="str">
        <f>HYPERLINK("https://zfin.org/ZDB-GENE-990715-6")</f>
        <v>https://zfin.org/ZDB-GENE-990715-6</v>
      </c>
      <c r="J1058" t="s">
        <v>1521</v>
      </c>
    </row>
    <row r="1059" spans="1:10" x14ac:dyDescent="0.2">
      <c r="A1059">
        <v>4.0299315087784201E-14</v>
      </c>
      <c r="B1059">
        <v>-0.380758534488291</v>
      </c>
      <c r="C1059">
        <v>0.314</v>
      </c>
      <c r="D1059">
        <v>0.57499999999999996</v>
      </c>
      <c r="E1059">
        <v>5.6007988109002395E-10</v>
      </c>
      <c r="F1059">
        <v>2</v>
      </c>
      <c r="G1059" t="s">
        <v>1767</v>
      </c>
      <c r="H1059" t="s">
        <v>1768</v>
      </c>
      <c r="I1059" t="str">
        <f>HYPERLINK("https://zfin.org/ZDB-GENE-040426-1658")</f>
        <v>https://zfin.org/ZDB-GENE-040426-1658</v>
      </c>
      <c r="J1059" t="s">
        <v>1769</v>
      </c>
    </row>
    <row r="1060" spans="1:10" x14ac:dyDescent="0.2">
      <c r="A1060">
        <v>4.3908644342842803E-14</v>
      </c>
      <c r="B1060">
        <v>-0.72855441143685995</v>
      </c>
      <c r="C1060">
        <v>7.5999999999999998E-2</v>
      </c>
      <c r="D1060">
        <v>0.26500000000000001</v>
      </c>
      <c r="E1060">
        <v>6.1024233907682904E-10</v>
      </c>
      <c r="F1060">
        <v>2</v>
      </c>
      <c r="G1060" t="s">
        <v>2921</v>
      </c>
      <c r="H1060" t="s">
        <v>2922</v>
      </c>
      <c r="I1060" t="str">
        <f>HYPERLINK("https://zfin.org/ZDB-GENE-061103-355")</f>
        <v>https://zfin.org/ZDB-GENE-061103-355</v>
      </c>
      <c r="J1060" t="s">
        <v>2923</v>
      </c>
    </row>
    <row r="1061" spans="1:10" x14ac:dyDescent="0.2">
      <c r="A1061">
        <v>4.8284088099803002E-14</v>
      </c>
      <c r="B1061">
        <v>-0.26214191482332799</v>
      </c>
      <c r="C1061">
        <v>0.89100000000000001</v>
      </c>
      <c r="D1061">
        <v>0.96099999999999997</v>
      </c>
      <c r="E1061">
        <v>6.7105225641106196E-10</v>
      </c>
      <c r="F1061">
        <v>2</v>
      </c>
      <c r="G1061" t="s">
        <v>2331</v>
      </c>
      <c r="H1061" t="s">
        <v>2332</v>
      </c>
      <c r="I1061" t="str">
        <f>HYPERLINK("https://zfin.org/ZDB-GENE-040426-1700")</f>
        <v>https://zfin.org/ZDB-GENE-040426-1700</v>
      </c>
      <c r="J1061" t="s">
        <v>2333</v>
      </c>
    </row>
    <row r="1062" spans="1:10" x14ac:dyDescent="0.2">
      <c r="A1062">
        <v>4.8334133286988602E-14</v>
      </c>
      <c r="B1062">
        <v>-0.278618452388879</v>
      </c>
      <c r="C1062">
        <v>0.78</v>
      </c>
      <c r="D1062">
        <v>0.93300000000000005</v>
      </c>
      <c r="E1062">
        <v>6.71747784422568E-10</v>
      </c>
      <c r="F1062">
        <v>2</v>
      </c>
      <c r="G1062" t="s">
        <v>2196</v>
      </c>
      <c r="H1062" t="s">
        <v>2197</v>
      </c>
      <c r="I1062" t="str">
        <f>HYPERLINK("https://zfin.org/ZDB-GENE-030131-8606")</f>
        <v>https://zfin.org/ZDB-GENE-030131-8606</v>
      </c>
      <c r="J1062" t="s">
        <v>2198</v>
      </c>
    </row>
    <row r="1063" spans="1:10" x14ac:dyDescent="0.2">
      <c r="A1063">
        <v>6.1807876894931705E-14</v>
      </c>
      <c r="B1063">
        <v>-0.41520056913465297</v>
      </c>
      <c r="C1063">
        <v>0.11700000000000001</v>
      </c>
      <c r="D1063">
        <v>0.33100000000000002</v>
      </c>
      <c r="E1063">
        <v>8.59005873085761E-10</v>
      </c>
      <c r="F1063">
        <v>2</v>
      </c>
      <c r="G1063" t="s">
        <v>2924</v>
      </c>
      <c r="H1063" t="s">
        <v>2925</v>
      </c>
      <c r="I1063" t="str">
        <f>HYPERLINK("https://zfin.org/ZDB-GENE-040426-2147")</f>
        <v>https://zfin.org/ZDB-GENE-040426-2147</v>
      </c>
      <c r="J1063" t="s">
        <v>2926</v>
      </c>
    </row>
    <row r="1064" spans="1:10" x14ac:dyDescent="0.2">
      <c r="A1064">
        <v>7.6865668747267806E-14</v>
      </c>
      <c r="B1064">
        <v>-0.41793030025325301</v>
      </c>
      <c r="C1064">
        <v>0.223</v>
      </c>
      <c r="D1064">
        <v>0.47</v>
      </c>
      <c r="E1064">
        <v>1.0682790642495301E-9</v>
      </c>
      <c r="F1064">
        <v>2</v>
      </c>
      <c r="G1064" t="s">
        <v>2927</v>
      </c>
      <c r="H1064" t="s">
        <v>2928</v>
      </c>
      <c r="I1064" t="str">
        <f>HYPERLINK("https://zfin.org/ZDB-GENE-050522-174")</f>
        <v>https://zfin.org/ZDB-GENE-050522-174</v>
      </c>
      <c r="J1064" t="s">
        <v>2929</v>
      </c>
    </row>
    <row r="1065" spans="1:10" x14ac:dyDescent="0.2">
      <c r="A1065">
        <v>8.5442184974055896E-14</v>
      </c>
      <c r="B1065">
        <v>-0.47307615036530898</v>
      </c>
      <c r="C1065">
        <v>4.1000000000000002E-2</v>
      </c>
      <c r="D1065">
        <v>0.216</v>
      </c>
      <c r="E1065">
        <v>1.1874754867694301E-9</v>
      </c>
      <c r="F1065">
        <v>2</v>
      </c>
      <c r="G1065" t="s">
        <v>2930</v>
      </c>
      <c r="H1065" t="s">
        <v>2931</v>
      </c>
      <c r="I1065" t="str">
        <f>HYPERLINK("https://zfin.org/ZDB-GENE-030131-3742")</f>
        <v>https://zfin.org/ZDB-GENE-030131-3742</v>
      </c>
      <c r="J1065" t="s">
        <v>2932</v>
      </c>
    </row>
    <row r="1066" spans="1:10" x14ac:dyDescent="0.2">
      <c r="A1066">
        <v>1.0159852798446599E-13</v>
      </c>
      <c r="B1066">
        <v>0.50982149699705903</v>
      </c>
      <c r="C1066">
        <v>0.42799999999999999</v>
      </c>
      <c r="D1066">
        <v>0.28000000000000003</v>
      </c>
      <c r="E1066">
        <v>1.4120163419281099E-9</v>
      </c>
      <c r="F1066">
        <v>2</v>
      </c>
      <c r="G1066" t="s">
        <v>2933</v>
      </c>
      <c r="H1066" t="s">
        <v>2934</v>
      </c>
      <c r="I1066" t="str">
        <f>HYPERLINK("https://zfin.org/ZDB-GENE-030616-268")</f>
        <v>https://zfin.org/ZDB-GENE-030616-268</v>
      </c>
      <c r="J1066" t="s">
        <v>2935</v>
      </c>
    </row>
    <row r="1067" spans="1:10" x14ac:dyDescent="0.2">
      <c r="A1067">
        <v>1.12522140757861E-13</v>
      </c>
      <c r="B1067">
        <v>-0.87187705004073701</v>
      </c>
      <c r="C1067">
        <v>0.129</v>
      </c>
      <c r="D1067">
        <v>0.33100000000000002</v>
      </c>
      <c r="E1067">
        <v>1.5638327122527601E-9</v>
      </c>
      <c r="F1067">
        <v>2</v>
      </c>
      <c r="G1067" t="s">
        <v>2936</v>
      </c>
      <c r="H1067" t="s">
        <v>2937</v>
      </c>
      <c r="I1067" t="str">
        <f>HYPERLINK("https://zfin.org/ZDB-GENE-131127-95")</f>
        <v>https://zfin.org/ZDB-GENE-131127-95</v>
      </c>
      <c r="J1067" t="s">
        <v>2938</v>
      </c>
    </row>
    <row r="1068" spans="1:10" x14ac:dyDescent="0.2">
      <c r="A1068">
        <v>1.1796921558895401E-13</v>
      </c>
      <c r="B1068">
        <v>-0.30477929615765398</v>
      </c>
      <c r="C1068">
        <v>0.69199999999999995</v>
      </c>
      <c r="D1068">
        <v>0.85</v>
      </c>
      <c r="E1068">
        <v>1.63953615825528E-9</v>
      </c>
      <c r="F1068">
        <v>2</v>
      </c>
      <c r="G1068" t="s">
        <v>2244</v>
      </c>
      <c r="H1068" t="s">
        <v>2245</v>
      </c>
      <c r="I1068" t="str">
        <f>HYPERLINK("https://zfin.org/ZDB-GENE-020814-1")</f>
        <v>https://zfin.org/ZDB-GENE-020814-1</v>
      </c>
      <c r="J1068" t="s">
        <v>2246</v>
      </c>
    </row>
    <row r="1069" spans="1:10" x14ac:dyDescent="0.2">
      <c r="A1069">
        <v>1.1916784833414799E-13</v>
      </c>
      <c r="B1069">
        <v>-0.37268220784252798</v>
      </c>
      <c r="C1069">
        <v>0.16400000000000001</v>
      </c>
      <c r="D1069">
        <v>0.4</v>
      </c>
      <c r="E1069">
        <v>1.65619475614799E-9</v>
      </c>
      <c r="F1069">
        <v>2</v>
      </c>
      <c r="G1069" t="s">
        <v>2939</v>
      </c>
      <c r="H1069" t="s">
        <v>2940</v>
      </c>
      <c r="I1069" t="str">
        <f>HYPERLINK("https://zfin.org/ZDB-GENE-070822-23")</f>
        <v>https://zfin.org/ZDB-GENE-070822-23</v>
      </c>
      <c r="J1069" t="s">
        <v>2941</v>
      </c>
    </row>
    <row r="1070" spans="1:10" x14ac:dyDescent="0.2">
      <c r="A1070">
        <v>1.2538589923348801E-13</v>
      </c>
      <c r="B1070">
        <v>-0.40893954134359101</v>
      </c>
      <c r="C1070">
        <v>0.39</v>
      </c>
      <c r="D1070">
        <v>0.63500000000000001</v>
      </c>
      <c r="E1070">
        <v>1.7426132275470099E-9</v>
      </c>
      <c r="F1070">
        <v>2</v>
      </c>
      <c r="G1070" t="s">
        <v>2942</v>
      </c>
      <c r="H1070" t="s">
        <v>2943</v>
      </c>
      <c r="I1070" t="str">
        <f>HYPERLINK("https://zfin.org/ZDB-GENE-030131-6154")</f>
        <v>https://zfin.org/ZDB-GENE-030131-6154</v>
      </c>
      <c r="J1070" t="s">
        <v>2944</v>
      </c>
    </row>
    <row r="1071" spans="1:10" x14ac:dyDescent="0.2">
      <c r="A1071">
        <v>1.25886442491336E-13</v>
      </c>
      <c r="B1071">
        <v>-0.38372982049033999</v>
      </c>
      <c r="C1071">
        <v>0.70099999999999996</v>
      </c>
      <c r="D1071">
        <v>0.85399999999999998</v>
      </c>
      <c r="E1071">
        <v>1.7495697777445899E-9</v>
      </c>
      <c r="F1071">
        <v>2</v>
      </c>
      <c r="G1071" t="s">
        <v>1275</v>
      </c>
      <c r="H1071" t="s">
        <v>1276</v>
      </c>
      <c r="I1071" t="str">
        <f>HYPERLINK("https://zfin.org/ZDB-GENE-050522-73")</f>
        <v>https://zfin.org/ZDB-GENE-050522-73</v>
      </c>
      <c r="J1071" t="s">
        <v>1277</v>
      </c>
    </row>
    <row r="1072" spans="1:10" x14ac:dyDescent="0.2">
      <c r="A1072">
        <v>1.3007367175624699E-13</v>
      </c>
      <c r="B1072">
        <v>0.509190998974975</v>
      </c>
      <c r="C1072">
        <v>0.155</v>
      </c>
      <c r="D1072">
        <v>5.5E-2</v>
      </c>
      <c r="E1072">
        <v>1.80776389006833E-9</v>
      </c>
      <c r="F1072">
        <v>2</v>
      </c>
      <c r="G1072" t="s">
        <v>2945</v>
      </c>
      <c r="H1072" t="s">
        <v>2946</v>
      </c>
      <c r="I1072" t="str">
        <f>HYPERLINK("https://zfin.org/ZDB-GENE-030131-2614")</f>
        <v>https://zfin.org/ZDB-GENE-030131-2614</v>
      </c>
      <c r="J1072" t="s">
        <v>2947</v>
      </c>
    </row>
    <row r="1073" spans="1:10" x14ac:dyDescent="0.2">
      <c r="A1073">
        <v>1.3748948848343201E-13</v>
      </c>
      <c r="B1073">
        <v>-1.04528629053997</v>
      </c>
      <c r="C1073">
        <v>9.7000000000000003E-2</v>
      </c>
      <c r="D1073">
        <v>0.28399999999999997</v>
      </c>
      <c r="E1073">
        <v>1.9108289109427398E-9</v>
      </c>
      <c r="F1073">
        <v>2</v>
      </c>
      <c r="G1073" t="s">
        <v>2948</v>
      </c>
      <c r="H1073" t="s">
        <v>2949</v>
      </c>
      <c r="I1073" t="str">
        <f>HYPERLINK("https://zfin.org/ZDB-GENE-031006-14")</f>
        <v>https://zfin.org/ZDB-GENE-031006-14</v>
      </c>
      <c r="J1073" t="s">
        <v>2950</v>
      </c>
    </row>
    <row r="1074" spans="1:10" x14ac:dyDescent="0.2">
      <c r="A1074">
        <v>1.5675987191588701E-13</v>
      </c>
      <c r="B1074">
        <v>0.50842002015627996</v>
      </c>
      <c r="C1074">
        <v>0.44600000000000001</v>
      </c>
      <c r="D1074">
        <v>0.30199999999999999</v>
      </c>
      <c r="E1074">
        <v>2.1786486998869998E-9</v>
      </c>
      <c r="F1074">
        <v>2</v>
      </c>
      <c r="G1074" t="s">
        <v>2951</v>
      </c>
      <c r="H1074" t="s">
        <v>2952</v>
      </c>
      <c r="I1074" t="str">
        <f>HYPERLINK("https://zfin.org/ZDB-GENE-040426-2114")</f>
        <v>https://zfin.org/ZDB-GENE-040426-2114</v>
      </c>
      <c r="J1074" t="s">
        <v>2953</v>
      </c>
    </row>
    <row r="1075" spans="1:10" x14ac:dyDescent="0.2">
      <c r="A1075">
        <v>1.57489656387112E-13</v>
      </c>
      <c r="B1075">
        <v>-0.33503472158446601</v>
      </c>
      <c r="C1075">
        <v>0.64500000000000002</v>
      </c>
      <c r="D1075">
        <v>0.81599999999999995</v>
      </c>
      <c r="E1075">
        <v>2.1887912444680802E-9</v>
      </c>
      <c r="F1075">
        <v>2</v>
      </c>
      <c r="G1075" t="s">
        <v>2592</v>
      </c>
      <c r="H1075" t="s">
        <v>2593</v>
      </c>
      <c r="I1075" t="str">
        <f>HYPERLINK("https://zfin.org/ZDB-GENE-030131-8581")</f>
        <v>https://zfin.org/ZDB-GENE-030131-8581</v>
      </c>
      <c r="J1075" t="s">
        <v>2594</v>
      </c>
    </row>
    <row r="1076" spans="1:10" x14ac:dyDescent="0.2">
      <c r="A1076">
        <v>2.0808860482156599E-13</v>
      </c>
      <c r="B1076">
        <v>0.54078754100554605</v>
      </c>
      <c r="C1076">
        <v>0.46899999999999997</v>
      </c>
      <c r="D1076">
        <v>0.32800000000000001</v>
      </c>
      <c r="E1076">
        <v>2.8920154298101201E-9</v>
      </c>
      <c r="F1076">
        <v>2</v>
      </c>
      <c r="G1076" t="s">
        <v>2954</v>
      </c>
      <c r="H1076" t="s">
        <v>2955</v>
      </c>
      <c r="I1076" t="str">
        <f>HYPERLINK("https://zfin.org/ZDB-GENE-990415-81")</f>
        <v>https://zfin.org/ZDB-GENE-990415-81</v>
      </c>
      <c r="J1076" t="s">
        <v>2956</v>
      </c>
    </row>
    <row r="1077" spans="1:10" x14ac:dyDescent="0.2">
      <c r="A1077">
        <v>2.8039676571637099E-13</v>
      </c>
      <c r="B1077">
        <v>-0.53890683553921803</v>
      </c>
      <c r="C1077">
        <v>3.7999999999999999E-2</v>
      </c>
      <c r="D1077">
        <v>0.20399999999999999</v>
      </c>
      <c r="E1077">
        <v>3.8969542499261199E-9</v>
      </c>
      <c r="F1077">
        <v>2</v>
      </c>
      <c r="G1077" t="s">
        <v>2957</v>
      </c>
      <c r="H1077" t="s">
        <v>2958</v>
      </c>
      <c r="I1077" t="str">
        <f>HYPERLINK("https://zfin.org/ZDB-GENE-141212-376")</f>
        <v>https://zfin.org/ZDB-GENE-141212-376</v>
      </c>
      <c r="J1077" t="s">
        <v>2959</v>
      </c>
    </row>
    <row r="1078" spans="1:10" x14ac:dyDescent="0.2">
      <c r="A1078">
        <v>3.2223391377291799E-13</v>
      </c>
      <c r="B1078">
        <v>-0.49037292015332101</v>
      </c>
      <c r="C1078">
        <v>6.7000000000000004E-2</v>
      </c>
      <c r="D1078">
        <v>0.247</v>
      </c>
      <c r="E1078">
        <v>4.4784069336160199E-9</v>
      </c>
      <c r="F1078">
        <v>2</v>
      </c>
      <c r="G1078" t="s">
        <v>2960</v>
      </c>
      <c r="H1078" t="s">
        <v>2961</v>
      </c>
      <c r="I1078" t="str">
        <f>HYPERLINK("https://zfin.org/ZDB-GENE-050417-174")</f>
        <v>https://zfin.org/ZDB-GENE-050417-174</v>
      </c>
      <c r="J1078" t="s">
        <v>2962</v>
      </c>
    </row>
    <row r="1079" spans="1:10" x14ac:dyDescent="0.2">
      <c r="A1079">
        <v>3.29245098390559E-13</v>
      </c>
      <c r="B1079">
        <v>0.30558468855082399</v>
      </c>
      <c r="C1079">
        <v>0.84199999999999997</v>
      </c>
      <c r="D1079">
        <v>0.80400000000000005</v>
      </c>
      <c r="E1079">
        <v>4.5758483774319796E-9</v>
      </c>
      <c r="F1079">
        <v>2</v>
      </c>
      <c r="G1079" t="s">
        <v>1341</v>
      </c>
      <c r="H1079" t="s">
        <v>1342</v>
      </c>
      <c r="I1079" t="str">
        <f>HYPERLINK("https://zfin.org/ZDB-GENE-011210-2")</f>
        <v>https://zfin.org/ZDB-GENE-011210-2</v>
      </c>
      <c r="J1079" t="s">
        <v>1343</v>
      </c>
    </row>
    <row r="1080" spans="1:10" x14ac:dyDescent="0.2">
      <c r="A1080">
        <v>4.0540979057333198E-13</v>
      </c>
      <c r="B1080">
        <v>-0.71661323166985402</v>
      </c>
      <c r="C1080">
        <v>0.123</v>
      </c>
      <c r="D1080">
        <v>0.32500000000000001</v>
      </c>
      <c r="E1080">
        <v>5.6343852693881703E-9</v>
      </c>
      <c r="F1080">
        <v>2</v>
      </c>
      <c r="G1080" t="s">
        <v>2963</v>
      </c>
      <c r="H1080" t="s">
        <v>2964</v>
      </c>
      <c r="I1080" t="str">
        <f>HYPERLINK("https://zfin.org/ZDB-GENE-980526-521")</f>
        <v>https://zfin.org/ZDB-GENE-980526-521</v>
      </c>
      <c r="J1080" t="s">
        <v>2965</v>
      </c>
    </row>
    <row r="1081" spans="1:10" x14ac:dyDescent="0.2">
      <c r="A1081">
        <v>4.5077551365655199E-13</v>
      </c>
      <c r="B1081">
        <v>-0.531324484696721</v>
      </c>
      <c r="C1081">
        <v>0.05</v>
      </c>
      <c r="D1081">
        <v>0.218</v>
      </c>
      <c r="E1081">
        <v>6.2648780887987604E-9</v>
      </c>
      <c r="F1081">
        <v>2</v>
      </c>
      <c r="G1081" t="s">
        <v>2966</v>
      </c>
      <c r="H1081" t="s">
        <v>2967</v>
      </c>
      <c r="I1081" t="str">
        <f>HYPERLINK("https://zfin.org/ZDB-GENE-040718-449")</f>
        <v>https://zfin.org/ZDB-GENE-040718-449</v>
      </c>
      <c r="J1081" t="s">
        <v>2968</v>
      </c>
    </row>
    <row r="1082" spans="1:10" x14ac:dyDescent="0.2">
      <c r="A1082">
        <v>5.97114784086991E-13</v>
      </c>
      <c r="B1082">
        <v>-0.37189243383440601</v>
      </c>
      <c r="C1082">
        <v>0.64200000000000002</v>
      </c>
      <c r="D1082">
        <v>0.84299999999999997</v>
      </c>
      <c r="E1082">
        <v>8.2987012692410005E-9</v>
      </c>
      <c r="F1082">
        <v>2</v>
      </c>
      <c r="G1082" t="s">
        <v>2969</v>
      </c>
      <c r="H1082" t="s">
        <v>2970</v>
      </c>
      <c r="I1082" t="str">
        <f>HYPERLINK("https://zfin.org/ZDB-GENE-030410-5")</f>
        <v>https://zfin.org/ZDB-GENE-030410-5</v>
      </c>
      <c r="J1082" t="s">
        <v>2971</v>
      </c>
    </row>
    <row r="1083" spans="1:10" x14ac:dyDescent="0.2">
      <c r="A1083">
        <v>6.8309714429546397E-13</v>
      </c>
      <c r="B1083">
        <v>-0.33913208000901501</v>
      </c>
      <c r="C1083">
        <v>0.38700000000000001</v>
      </c>
      <c r="D1083">
        <v>0.64400000000000002</v>
      </c>
      <c r="E1083">
        <v>9.4936841114183605E-9</v>
      </c>
      <c r="F1083">
        <v>2</v>
      </c>
      <c r="G1083" t="s">
        <v>1869</v>
      </c>
      <c r="H1083" t="s">
        <v>1870</v>
      </c>
      <c r="I1083" t="str">
        <f>HYPERLINK("https://zfin.org/ZDB-GENE-030131-9136")</f>
        <v>https://zfin.org/ZDB-GENE-030131-9136</v>
      </c>
      <c r="J1083" t="s">
        <v>1871</v>
      </c>
    </row>
    <row r="1084" spans="1:10" x14ac:dyDescent="0.2">
      <c r="A1084">
        <v>9.4890723525479702E-13</v>
      </c>
      <c r="B1084">
        <v>-0.54207150214991096</v>
      </c>
      <c r="C1084">
        <v>3.7999999999999999E-2</v>
      </c>
      <c r="D1084">
        <v>0.19800000000000001</v>
      </c>
      <c r="E1084">
        <v>1.31879127555712E-8</v>
      </c>
      <c r="F1084">
        <v>2</v>
      </c>
      <c r="G1084" t="s">
        <v>2972</v>
      </c>
      <c r="H1084" t="s">
        <v>2973</v>
      </c>
      <c r="I1084" t="str">
        <f>HYPERLINK("https://zfin.org/ZDB-GENE-980526-29")</f>
        <v>https://zfin.org/ZDB-GENE-980526-29</v>
      </c>
      <c r="J1084" t="s">
        <v>2974</v>
      </c>
    </row>
    <row r="1085" spans="1:10" x14ac:dyDescent="0.2">
      <c r="A1085">
        <v>1.04490756688336E-12</v>
      </c>
      <c r="B1085">
        <v>-0.45565969958899999</v>
      </c>
      <c r="C1085">
        <v>0.223</v>
      </c>
      <c r="D1085">
        <v>0.45400000000000001</v>
      </c>
      <c r="E1085">
        <v>1.4522125364544899E-8</v>
      </c>
      <c r="F1085">
        <v>2</v>
      </c>
      <c r="G1085" t="s">
        <v>2975</v>
      </c>
      <c r="H1085" t="s">
        <v>2976</v>
      </c>
      <c r="I1085" t="str">
        <f>HYPERLINK("https://zfin.org/ZDB-GENE-050428-1")</f>
        <v>https://zfin.org/ZDB-GENE-050428-1</v>
      </c>
      <c r="J1085" t="s">
        <v>2977</v>
      </c>
    </row>
    <row r="1086" spans="1:10" x14ac:dyDescent="0.2">
      <c r="A1086">
        <v>1.2042845659697399E-12</v>
      </c>
      <c r="B1086">
        <v>-0.40795298020418802</v>
      </c>
      <c r="C1086">
        <v>0.15</v>
      </c>
      <c r="D1086">
        <v>0.35599999999999998</v>
      </c>
      <c r="E1086">
        <v>1.6737146897847499E-8</v>
      </c>
      <c r="F1086">
        <v>2</v>
      </c>
      <c r="G1086" t="s">
        <v>2978</v>
      </c>
      <c r="H1086" t="s">
        <v>2979</v>
      </c>
      <c r="I1086" t="str">
        <f>HYPERLINK("https://zfin.org/ZDB-GENE-040426-1413")</f>
        <v>https://zfin.org/ZDB-GENE-040426-1413</v>
      </c>
      <c r="J1086" t="s">
        <v>2980</v>
      </c>
    </row>
    <row r="1087" spans="1:10" x14ac:dyDescent="0.2">
      <c r="A1087">
        <v>1.4362619264170299E-12</v>
      </c>
      <c r="B1087">
        <v>-0.55381308924670003</v>
      </c>
      <c r="C1087">
        <v>7.2999999999999995E-2</v>
      </c>
      <c r="D1087">
        <v>0.246</v>
      </c>
      <c r="E1087">
        <v>1.9961168253343902E-8</v>
      </c>
      <c r="F1087">
        <v>2</v>
      </c>
      <c r="G1087" t="s">
        <v>2981</v>
      </c>
      <c r="H1087" t="s">
        <v>2982</v>
      </c>
      <c r="I1087" t="str">
        <f>HYPERLINK("https://zfin.org/ZDB-GENE-131121-141")</f>
        <v>https://zfin.org/ZDB-GENE-131121-141</v>
      </c>
      <c r="J1087" t="s">
        <v>2983</v>
      </c>
    </row>
    <row r="1088" spans="1:10" x14ac:dyDescent="0.2">
      <c r="A1088">
        <v>1.54634992778567E-12</v>
      </c>
      <c r="B1088">
        <v>-0.357389382911732</v>
      </c>
      <c r="C1088">
        <v>0.51600000000000001</v>
      </c>
      <c r="D1088">
        <v>0.73699999999999999</v>
      </c>
      <c r="E1088">
        <v>2.1491171296365299E-8</v>
      </c>
      <c r="F1088">
        <v>2</v>
      </c>
      <c r="G1088" t="s">
        <v>1695</v>
      </c>
      <c r="H1088" t="s">
        <v>1696</v>
      </c>
      <c r="I1088" t="str">
        <f>HYPERLINK("https://zfin.org/ZDB-GENE-040426-2770")</f>
        <v>https://zfin.org/ZDB-GENE-040426-2770</v>
      </c>
      <c r="J1088" t="s">
        <v>1697</v>
      </c>
    </row>
    <row r="1089" spans="1:10" x14ac:dyDescent="0.2">
      <c r="A1089">
        <v>1.5760241806348399E-12</v>
      </c>
      <c r="B1089">
        <v>-0.35468343755423398</v>
      </c>
      <c r="C1089">
        <v>0.47199999999999998</v>
      </c>
      <c r="D1089">
        <v>0.71</v>
      </c>
      <c r="E1089">
        <v>2.1903584062463001E-8</v>
      </c>
      <c r="F1089">
        <v>2</v>
      </c>
      <c r="G1089" t="s">
        <v>2984</v>
      </c>
      <c r="H1089" t="s">
        <v>2985</v>
      </c>
      <c r="I1089" t="str">
        <f>HYPERLINK("https://zfin.org/ZDB-GENE-060503-233")</f>
        <v>https://zfin.org/ZDB-GENE-060503-233</v>
      </c>
      <c r="J1089" t="s">
        <v>2986</v>
      </c>
    </row>
    <row r="1090" spans="1:10" x14ac:dyDescent="0.2">
      <c r="A1090">
        <v>1.6819049353322201E-12</v>
      </c>
      <c r="B1090">
        <v>-0.419999479532145</v>
      </c>
      <c r="C1090">
        <v>0.22</v>
      </c>
      <c r="D1090">
        <v>0.438</v>
      </c>
      <c r="E1090">
        <v>2.3375114791247201E-8</v>
      </c>
      <c r="F1090">
        <v>2</v>
      </c>
      <c r="G1090" t="s">
        <v>2987</v>
      </c>
      <c r="H1090" t="s">
        <v>2988</v>
      </c>
      <c r="I1090" t="str">
        <f>HYPERLINK("https://zfin.org/ZDB-GENE-020318-2")</f>
        <v>https://zfin.org/ZDB-GENE-020318-2</v>
      </c>
      <c r="J1090" t="s">
        <v>2989</v>
      </c>
    </row>
    <row r="1091" spans="1:10" x14ac:dyDescent="0.2">
      <c r="A1091">
        <v>1.80410094553801E-12</v>
      </c>
      <c r="B1091">
        <v>-0.319932729926725</v>
      </c>
      <c r="C1091">
        <v>0.61899999999999999</v>
      </c>
      <c r="D1091">
        <v>0.81499999999999995</v>
      </c>
      <c r="E1091">
        <v>2.5073394941087299E-8</v>
      </c>
      <c r="F1091">
        <v>2</v>
      </c>
      <c r="G1091" t="s">
        <v>1680</v>
      </c>
      <c r="H1091" t="s">
        <v>1681</v>
      </c>
      <c r="I1091" t="str">
        <f>HYPERLINK("https://zfin.org/ZDB-GENE-110411-22")</f>
        <v>https://zfin.org/ZDB-GENE-110411-22</v>
      </c>
      <c r="J1091" t="s">
        <v>1682</v>
      </c>
    </row>
    <row r="1092" spans="1:10" x14ac:dyDescent="0.2">
      <c r="A1092">
        <v>2.0010467490336301E-12</v>
      </c>
      <c r="B1092">
        <v>0.38962889925073801</v>
      </c>
      <c r="C1092">
        <v>0.106</v>
      </c>
      <c r="D1092">
        <v>0.03</v>
      </c>
      <c r="E1092">
        <v>2.78105477180694E-8</v>
      </c>
      <c r="F1092">
        <v>2</v>
      </c>
      <c r="G1092" t="s">
        <v>2990</v>
      </c>
      <c r="H1092" t="s">
        <v>2991</v>
      </c>
      <c r="I1092" t="str">
        <f>HYPERLINK("https://zfin.org/ZDB-GENE-080407-1")</f>
        <v>https://zfin.org/ZDB-GENE-080407-1</v>
      </c>
      <c r="J1092" t="s">
        <v>2992</v>
      </c>
    </row>
    <row r="1093" spans="1:10" x14ac:dyDescent="0.2">
      <c r="A1093">
        <v>2.2634499270188999E-12</v>
      </c>
      <c r="B1093">
        <v>0.39066086607595202</v>
      </c>
      <c r="C1093">
        <v>0.109</v>
      </c>
      <c r="D1093">
        <v>3.1E-2</v>
      </c>
      <c r="E1093">
        <v>3.1457427085708699E-8</v>
      </c>
      <c r="F1093">
        <v>2</v>
      </c>
      <c r="G1093" t="s">
        <v>2993</v>
      </c>
      <c r="H1093" t="s">
        <v>2994</v>
      </c>
      <c r="I1093" t="str">
        <f>HYPERLINK("https://zfin.org/ZDB-GENE-080425-5")</f>
        <v>https://zfin.org/ZDB-GENE-080425-5</v>
      </c>
      <c r="J1093" t="s">
        <v>2995</v>
      </c>
    </row>
    <row r="1094" spans="1:10" x14ac:dyDescent="0.2">
      <c r="A1094">
        <v>2.37056173845621E-12</v>
      </c>
      <c r="B1094">
        <v>0.302189447761471</v>
      </c>
      <c r="C1094">
        <v>0.90600000000000003</v>
      </c>
      <c r="D1094">
        <v>0.89900000000000002</v>
      </c>
      <c r="E1094">
        <v>3.2946067041064502E-8</v>
      </c>
      <c r="F1094">
        <v>2</v>
      </c>
      <c r="G1094" t="s">
        <v>2096</v>
      </c>
      <c r="H1094" t="s">
        <v>2097</v>
      </c>
      <c r="I1094" t="str">
        <f>HYPERLINK("https://zfin.org/ZDB-GENE-030131-8417")</f>
        <v>https://zfin.org/ZDB-GENE-030131-8417</v>
      </c>
      <c r="J1094" t="s">
        <v>2098</v>
      </c>
    </row>
    <row r="1095" spans="1:10" x14ac:dyDescent="0.2">
      <c r="A1095">
        <v>3.8478075490411904E-12</v>
      </c>
      <c r="B1095">
        <v>-0.57576229741240104</v>
      </c>
      <c r="C1095">
        <v>8.5000000000000006E-2</v>
      </c>
      <c r="D1095">
        <v>0.25800000000000001</v>
      </c>
      <c r="E1095">
        <v>5.3476829316574499E-8</v>
      </c>
      <c r="F1095">
        <v>2</v>
      </c>
      <c r="G1095" t="s">
        <v>576</v>
      </c>
      <c r="H1095" t="s">
        <v>577</v>
      </c>
      <c r="I1095" t="str">
        <f>HYPERLINK("https://zfin.org/ZDB-GENE-081028-55")</f>
        <v>https://zfin.org/ZDB-GENE-081028-55</v>
      </c>
      <c r="J1095" t="s">
        <v>578</v>
      </c>
    </row>
    <row r="1096" spans="1:10" x14ac:dyDescent="0.2">
      <c r="A1096">
        <v>3.8737225255074103E-12</v>
      </c>
      <c r="B1096">
        <v>-0.40796788581038201</v>
      </c>
      <c r="C1096">
        <v>8.7999999999999995E-2</v>
      </c>
      <c r="D1096">
        <v>0.26500000000000001</v>
      </c>
      <c r="E1096">
        <v>5.3836995659501999E-8</v>
      </c>
      <c r="F1096">
        <v>2</v>
      </c>
      <c r="G1096" t="s">
        <v>2996</v>
      </c>
      <c r="H1096" t="s">
        <v>2997</v>
      </c>
      <c r="I1096" t="str">
        <f>HYPERLINK("https://zfin.org/ZDB-GENE-070719-5")</f>
        <v>https://zfin.org/ZDB-GENE-070719-5</v>
      </c>
      <c r="J1096" t="s">
        <v>2998</v>
      </c>
    </row>
    <row r="1097" spans="1:10" x14ac:dyDescent="0.2">
      <c r="A1097">
        <v>4.3851981339113897E-12</v>
      </c>
      <c r="B1097">
        <v>0.49521008560501401</v>
      </c>
      <c r="C1097">
        <v>0.26700000000000002</v>
      </c>
      <c r="D1097">
        <v>0.13900000000000001</v>
      </c>
      <c r="E1097">
        <v>6.09454836651005E-8</v>
      </c>
      <c r="F1097">
        <v>2</v>
      </c>
      <c r="G1097" t="s">
        <v>2999</v>
      </c>
      <c r="H1097" t="s">
        <v>3000</v>
      </c>
      <c r="I1097" t="str">
        <f>HYPERLINK("https://zfin.org/ZDB-GENE-041212-15")</f>
        <v>https://zfin.org/ZDB-GENE-041212-15</v>
      </c>
      <c r="J1097" t="s">
        <v>3001</v>
      </c>
    </row>
    <row r="1098" spans="1:10" x14ac:dyDescent="0.2">
      <c r="A1098">
        <v>5.0563363901874203E-12</v>
      </c>
      <c r="B1098">
        <v>0.424609724520979</v>
      </c>
      <c r="C1098">
        <v>0.114</v>
      </c>
      <c r="D1098">
        <v>3.5000000000000003E-2</v>
      </c>
      <c r="E1098">
        <v>7.0272963150824799E-8</v>
      </c>
      <c r="F1098">
        <v>2</v>
      </c>
      <c r="G1098" t="s">
        <v>3002</v>
      </c>
      <c r="H1098" t="s">
        <v>3003</v>
      </c>
      <c r="I1098" t="str">
        <f>HYPERLINK("https://zfin.org/ZDB-GENE-060503-653")</f>
        <v>https://zfin.org/ZDB-GENE-060503-653</v>
      </c>
      <c r="J1098" t="s">
        <v>3004</v>
      </c>
    </row>
    <row r="1099" spans="1:10" x14ac:dyDescent="0.2">
      <c r="A1099">
        <v>5.59252220189933E-12</v>
      </c>
      <c r="B1099">
        <v>0.46035706252015401</v>
      </c>
      <c r="C1099">
        <v>0.14699999999999999</v>
      </c>
      <c r="D1099">
        <v>5.3999999999999999E-2</v>
      </c>
      <c r="E1099">
        <v>7.7724873561996797E-8</v>
      </c>
      <c r="F1099">
        <v>2</v>
      </c>
      <c r="G1099" t="s">
        <v>3005</v>
      </c>
      <c r="H1099" t="s">
        <v>3006</v>
      </c>
      <c r="I1099" t="str">
        <f>HYPERLINK("https://zfin.org/ZDB-GENE-030131-1033")</f>
        <v>https://zfin.org/ZDB-GENE-030131-1033</v>
      </c>
      <c r="J1099" t="s">
        <v>3007</v>
      </c>
    </row>
    <row r="1100" spans="1:10" x14ac:dyDescent="0.2">
      <c r="A1100">
        <v>5.8241276267482103E-12</v>
      </c>
      <c r="B1100">
        <v>-0.25418519703191</v>
      </c>
      <c r="C1100">
        <v>0.877</v>
      </c>
      <c r="D1100">
        <v>0.95</v>
      </c>
      <c r="E1100">
        <v>8.0943725756546702E-8</v>
      </c>
      <c r="F1100">
        <v>2</v>
      </c>
      <c r="G1100" t="s">
        <v>2316</v>
      </c>
      <c r="H1100" t="s">
        <v>2317</v>
      </c>
      <c r="I1100" t="str">
        <f>HYPERLINK("https://zfin.org/ZDB-GENE-030131-10018")</f>
        <v>https://zfin.org/ZDB-GENE-030131-10018</v>
      </c>
      <c r="J1100" t="s">
        <v>2318</v>
      </c>
    </row>
    <row r="1101" spans="1:10" x14ac:dyDescent="0.2">
      <c r="A1101">
        <v>6.1806213107408998E-12</v>
      </c>
      <c r="B1101">
        <v>0.53001078355256004</v>
      </c>
      <c r="C1101">
        <v>0.20200000000000001</v>
      </c>
      <c r="D1101">
        <v>9.1999999999999998E-2</v>
      </c>
      <c r="E1101">
        <v>8.5898274976676998E-8</v>
      </c>
      <c r="F1101">
        <v>2</v>
      </c>
      <c r="G1101" t="s">
        <v>3008</v>
      </c>
      <c r="H1101" t="s">
        <v>3009</v>
      </c>
      <c r="I1101" t="str">
        <f>HYPERLINK("https://zfin.org/ZDB-GENE-060825-117")</f>
        <v>https://zfin.org/ZDB-GENE-060825-117</v>
      </c>
      <c r="J1101" t="s">
        <v>3010</v>
      </c>
    </row>
    <row r="1102" spans="1:10" x14ac:dyDescent="0.2">
      <c r="A1102">
        <v>6.7562827529617201E-12</v>
      </c>
      <c r="B1102">
        <v>-0.46391773892532701</v>
      </c>
      <c r="C1102">
        <v>0.05</v>
      </c>
      <c r="D1102">
        <v>0.20699999999999999</v>
      </c>
      <c r="E1102">
        <v>9.3898817700661998E-8</v>
      </c>
      <c r="F1102">
        <v>2</v>
      </c>
      <c r="G1102" t="s">
        <v>3011</v>
      </c>
      <c r="H1102" t="s">
        <v>3012</v>
      </c>
      <c r="I1102" t="str">
        <f>HYPERLINK("https://zfin.org/ZDB-GENE-040426-1370")</f>
        <v>https://zfin.org/ZDB-GENE-040426-1370</v>
      </c>
      <c r="J1102" t="s">
        <v>3013</v>
      </c>
    </row>
    <row r="1103" spans="1:10" x14ac:dyDescent="0.2">
      <c r="A1103">
        <v>6.7738943702228103E-12</v>
      </c>
      <c r="B1103">
        <v>0.52804270571955003</v>
      </c>
      <c r="C1103">
        <v>0.39900000000000002</v>
      </c>
      <c r="D1103">
        <v>0.26100000000000001</v>
      </c>
      <c r="E1103">
        <v>9.4143583957356602E-8</v>
      </c>
      <c r="F1103">
        <v>2</v>
      </c>
      <c r="G1103" t="s">
        <v>3014</v>
      </c>
      <c r="H1103" t="s">
        <v>3015</v>
      </c>
      <c r="I1103" t="str">
        <f>HYPERLINK("https://zfin.org/ZDB-GENE-040912-46")</f>
        <v>https://zfin.org/ZDB-GENE-040912-46</v>
      </c>
      <c r="J1103" t="s">
        <v>3016</v>
      </c>
    </row>
    <row r="1104" spans="1:10" x14ac:dyDescent="0.2">
      <c r="A1104">
        <v>9.0349087379215604E-12</v>
      </c>
      <c r="B1104">
        <v>-0.32871977611693998</v>
      </c>
      <c r="C1104">
        <v>0.27900000000000003</v>
      </c>
      <c r="D1104">
        <v>0.52200000000000002</v>
      </c>
      <c r="E1104">
        <v>1.25567161639634E-7</v>
      </c>
      <c r="F1104">
        <v>2</v>
      </c>
      <c r="G1104" t="s">
        <v>3017</v>
      </c>
      <c r="H1104" t="s">
        <v>3018</v>
      </c>
      <c r="I1104" t="str">
        <f>HYPERLINK("https://zfin.org/ZDB-GENE-040426-1938")</f>
        <v>https://zfin.org/ZDB-GENE-040426-1938</v>
      </c>
      <c r="J1104" t="s">
        <v>3019</v>
      </c>
    </row>
    <row r="1105" spans="1:10" x14ac:dyDescent="0.2">
      <c r="A1105">
        <v>9.1172901923544693E-12</v>
      </c>
      <c r="B1105">
        <v>-0.35889274278544098</v>
      </c>
      <c r="C1105">
        <v>0.111</v>
      </c>
      <c r="D1105">
        <v>0.30299999999999999</v>
      </c>
      <c r="E1105">
        <v>1.2671209909334199E-7</v>
      </c>
      <c r="F1105">
        <v>2</v>
      </c>
      <c r="G1105" t="s">
        <v>3020</v>
      </c>
      <c r="H1105" t="s">
        <v>3021</v>
      </c>
      <c r="I1105" t="str">
        <f>HYPERLINK("https://zfin.org/ZDB-GENE-030131-1827")</f>
        <v>https://zfin.org/ZDB-GENE-030131-1827</v>
      </c>
      <c r="J1105" t="s">
        <v>3022</v>
      </c>
    </row>
    <row r="1106" spans="1:10" x14ac:dyDescent="0.2">
      <c r="A1106">
        <v>1.07862771644031E-11</v>
      </c>
      <c r="B1106">
        <v>0.47635797995233897</v>
      </c>
      <c r="C1106">
        <v>0.22600000000000001</v>
      </c>
      <c r="D1106">
        <v>0.109</v>
      </c>
      <c r="E1106">
        <v>1.4990768003087401E-7</v>
      </c>
      <c r="F1106">
        <v>2</v>
      </c>
      <c r="G1106" t="s">
        <v>3023</v>
      </c>
      <c r="H1106" t="s">
        <v>3024</v>
      </c>
      <c r="I1106" t="str">
        <f>HYPERLINK("https://zfin.org/ZDB-GENE-040426-2500")</f>
        <v>https://zfin.org/ZDB-GENE-040426-2500</v>
      </c>
      <c r="J1106" t="s">
        <v>3025</v>
      </c>
    </row>
    <row r="1107" spans="1:10" x14ac:dyDescent="0.2">
      <c r="A1107">
        <v>1.1171593032644499E-11</v>
      </c>
      <c r="B1107">
        <v>-0.73074880878748905</v>
      </c>
      <c r="C1107">
        <v>6.5000000000000002E-2</v>
      </c>
      <c r="D1107">
        <v>0.224</v>
      </c>
      <c r="E1107">
        <v>1.5526279996769299E-7</v>
      </c>
      <c r="F1107">
        <v>2</v>
      </c>
      <c r="G1107" t="s">
        <v>3026</v>
      </c>
      <c r="H1107" t="s">
        <v>3027</v>
      </c>
      <c r="I1107" t="str">
        <f>HYPERLINK("https://zfin.org/ZDB-GENE-060815-1")</f>
        <v>https://zfin.org/ZDB-GENE-060815-1</v>
      </c>
      <c r="J1107" t="s">
        <v>3028</v>
      </c>
    </row>
    <row r="1108" spans="1:10" x14ac:dyDescent="0.2">
      <c r="A1108">
        <v>1.16694434734694E-11</v>
      </c>
      <c r="B1108">
        <v>-0.55398821363744299</v>
      </c>
      <c r="C1108">
        <v>2.9000000000000001E-2</v>
      </c>
      <c r="D1108">
        <v>0.17100000000000001</v>
      </c>
      <c r="E1108">
        <v>1.6218192539427799E-7</v>
      </c>
      <c r="F1108">
        <v>2</v>
      </c>
      <c r="G1108" t="s">
        <v>3029</v>
      </c>
      <c r="H1108" t="s">
        <v>3030</v>
      </c>
      <c r="I1108" t="str">
        <f>HYPERLINK("https://zfin.org/ZDB-GENE-040704-31")</f>
        <v>https://zfin.org/ZDB-GENE-040704-31</v>
      </c>
      <c r="J1108" t="s">
        <v>3031</v>
      </c>
    </row>
    <row r="1109" spans="1:10" x14ac:dyDescent="0.2">
      <c r="A1109">
        <v>1.20858865732632E-11</v>
      </c>
      <c r="B1109">
        <v>-0.70700743992941795</v>
      </c>
      <c r="C1109">
        <v>9.0999999999999998E-2</v>
      </c>
      <c r="D1109">
        <v>0.255</v>
      </c>
      <c r="E1109">
        <v>1.67969651595212E-7</v>
      </c>
      <c r="F1109">
        <v>2</v>
      </c>
      <c r="G1109" t="s">
        <v>3032</v>
      </c>
      <c r="H1109" t="s">
        <v>3033</v>
      </c>
      <c r="I1109" t="str">
        <f>HYPERLINK("https://zfin.org/ZDB-GENE-041010-89")</f>
        <v>https://zfin.org/ZDB-GENE-041010-89</v>
      </c>
      <c r="J1109" t="s">
        <v>3034</v>
      </c>
    </row>
    <row r="1110" spans="1:10" x14ac:dyDescent="0.2">
      <c r="A1110">
        <v>1.23555190570374E-11</v>
      </c>
      <c r="B1110">
        <v>-0.43076686049388802</v>
      </c>
      <c r="C1110">
        <v>0.375</v>
      </c>
      <c r="D1110">
        <v>0.59499999999999997</v>
      </c>
      <c r="E1110">
        <v>1.7171700385470499E-7</v>
      </c>
      <c r="F1110">
        <v>2</v>
      </c>
      <c r="G1110" t="s">
        <v>2535</v>
      </c>
      <c r="H1110" t="s">
        <v>2536</v>
      </c>
      <c r="I1110" t="str">
        <f>HYPERLINK("https://zfin.org/ZDB-GENE-030131-4042")</f>
        <v>https://zfin.org/ZDB-GENE-030131-4042</v>
      </c>
      <c r="J1110" t="s">
        <v>2537</v>
      </c>
    </row>
    <row r="1111" spans="1:10" x14ac:dyDescent="0.2">
      <c r="A1111">
        <v>1.3581502444559801E-11</v>
      </c>
      <c r="B1111">
        <v>-0.358613152109026</v>
      </c>
      <c r="C1111">
        <v>0.191</v>
      </c>
      <c r="D1111">
        <v>0.40500000000000003</v>
      </c>
      <c r="E1111">
        <v>1.88755720974493E-7</v>
      </c>
      <c r="F1111">
        <v>2</v>
      </c>
      <c r="G1111" t="s">
        <v>2445</v>
      </c>
      <c r="H1111" t="s">
        <v>2446</v>
      </c>
      <c r="I1111" t="str">
        <f>HYPERLINK("https://zfin.org/ZDB-GENE-040204-1")</f>
        <v>https://zfin.org/ZDB-GENE-040204-1</v>
      </c>
      <c r="J1111" t="s">
        <v>2447</v>
      </c>
    </row>
    <row r="1112" spans="1:10" x14ac:dyDescent="0.2">
      <c r="A1112">
        <v>1.61659728615122E-11</v>
      </c>
      <c r="B1112">
        <v>-0.36306431069120898</v>
      </c>
      <c r="C1112">
        <v>0.66600000000000004</v>
      </c>
      <c r="D1112">
        <v>0.83499999999999996</v>
      </c>
      <c r="E1112">
        <v>2.24674690829296E-7</v>
      </c>
      <c r="F1112">
        <v>2</v>
      </c>
      <c r="G1112" t="s">
        <v>2583</v>
      </c>
      <c r="H1112" t="s">
        <v>2584</v>
      </c>
      <c r="I1112" t="str">
        <f>HYPERLINK("https://zfin.org/ZDB-GENE-030131-8625")</f>
        <v>https://zfin.org/ZDB-GENE-030131-8625</v>
      </c>
      <c r="J1112" t="s">
        <v>2585</v>
      </c>
    </row>
    <row r="1113" spans="1:10" x14ac:dyDescent="0.2">
      <c r="A1113">
        <v>1.6223906595950899E-11</v>
      </c>
      <c r="B1113">
        <v>-0.39353248574866301</v>
      </c>
      <c r="C1113">
        <v>0.19600000000000001</v>
      </c>
      <c r="D1113">
        <v>0.40400000000000003</v>
      </c>
      <c r="E1113">
        <v>2.2547985387052599E-7</v>
      </c>
      <c r="F1113">
        <v>2</v>
      </c>
      <c r="G1113" t="s">
        <v>3035</v>
      </c>
      <c r="H1113" t="s">
        <v>3036</v>
      </c>
      <c r="I1113" t="str">
        <f>HYPERLINK("https://zfin.org/ZDB-GENE-040808-46")</f>
        <v>https://zfin.org/ZDB-GENE-040808-46</v>
      </c>
      <c r="J1113" t="s">
        <v>3037</v>
      </c>
    </row>
    <row r="1114" spans="1:10" x14ac:dyDescent="0.2">
      <c r="A1114">
        <v>1.9275121604885899E-11</v>
      </c>
      <c r="B1114">
        <v>0.43402694648183199</v>
      </c>
      <c r="C1114">
        <v>0.13800000000000001</v>
      </c>
      <c r="D1114">
        <v>0.05</v>
      </c>
      <c r="E1114">
        <v>2.6788564006470401E-7</v>
      </c>
      <c r="F1114">
        <v>2</v>
      </c>
      <c r="G1114" t="s">
        <v>3038</v>
      </c>
      <c r="H1114" t="s">
        <v>3039</v>
      </c>
      <c r="I1114" t="str">
        <f>HYPERLINK("https://zfin.org/ZDB-GENE-061207-62")</f>
        <v>https://zfin.org/ZDB-GENE-061207-62</v>
      </c>
      <c r="J1114" t="s">
        <v>3040</v>
      </c>
    </row>
    <row r="1115" spans="1:10" x14ac:dyDescent="0.2">
      <c r="A1115">
        <v>1.9720167733663599E-11</v>
      </c>
      <c r="B1115">
        <v>-0.39606151664205502</v>
      </c>
      <c r="C1115">
        <v>0.129</v>
      </c>
      <c r="D1115">
        <v>0.32200000000000001</v>
      </c>
      <c r="E1115">
        <v>2.7407089116245702E-7</v>
      </c>
      <c r="F1115">
        <v>2</v>
      </c>
      <c r="G1115" t="s">
        <v>3041</v>
      </c>
      <c r="H1115" t="s">
        <v>3042</v>
      </c>
      <c r="I1115" t="str">
        <f>HYPERLINK("https://zfin.org/ZDB-GENE-040426-2140")</f>
        <v>https://zfin.org/ZDB-GENE-040426-2140</v>
      </c>
      <c r="J1115" t="s">
        <v>3043</v>
      </c>
    </row>
    <row r="1116" spans="1:10" x14ac:dyDescent="0.2">
      <c r="A1116">
        <v>2.09773655505157E-11</v>
      </c>
      <c r="B1116">
        <v>-0.41667778599078498</v>
      </c>
      <c r="C1116">
        <v>0.20200000000000001</v>
      </c>
      <c r="D1116">
        <v>0.41199999999999998</v>
      </c>
      <c r="E1116">
        <v>2.9154342642106698E-7</v>
      </c>
      <c r="F1116">
        <v>2</v>
      </c>
      <c r="G1116" t="s">
        <v>740</v>
      </c>
      <c r="H1116" t="s">
        <v>741</v>
      </c>
      <c r="I1116" t="str">
        <f>HYPERLINK("https://zfin.org/ZDB-GENE-040426-1986")</f>
        <v>https://zfin.org/ZDB-GENE-040426-1986</v>
      </c>
      <c r="J1116" t="s">
        <v>742</v>
      </c>
    </row>
    <row r="1117" spans="1:10" x14ac:dyDescent="0.2">
      <c r="A1117">
        <v>2.2349421142865499E-11</v>
      </c>
      <c r="B1117">
        <v>-0.26571649370178102</v>
      </c>
      <c r="C1117">
        <v>0.79200000000000004</v>
      </c>
      <c r="D1117">
        <v>0.89800000000000002</v>
      </c>
      <c r="E1117">
        <v>3.1061225504354499E-7</v>
      </c>
      <c r="F1117">
        <v>2</v>
      </c>
      <c r="G1117" t="s">
        <v>1233</v>
      </c>
      <c r="H1117" t="s">
        <v>1234</v>
      </c>
      <c r="I1117" t="str">
        <f>HYPERLINK("https://zfin.org/ZDB-GENE-030131-8062")</f>
        <v>https://zfin.org/ZDB-GENE-030131-8062</v>
      </c>
      <c r="J1117" t="s">
        <v>1235</v>
      </c>
    </row>
    <row r="1118" spans="1:10" x14ac:dyDescent="0.2">
      <c r="A1118">
        <v>2.4262050657640902E-11</v>
      </c>
      <c r="B1118">
        <v>-0.30843490270444002</v>
      </c>
      <c r="C1118">
        <v>0.27900000000000003</v>
      </c>
      <c r="D1118">
        <v>0.52800000000000002</v>
      </c>
      <c r="E1118">
        <v>3.3719398003989298E-7</v>
      </c>
      <c r="F1118">
        <v>2</v>
      </c>
      <c r="G1118" t="s">
        <v>2199</v>
      </c>
      <c r="H1118" t="s">
        <v>2200</v>
      </c>
      <c r="I1118" t="str">
        <f>HYPERLINK("https://zfin.org/ZDB-GENE-051030-93")</f>
        <v>https://zfin.org/ZDB-GENE-051030-93</v>
      </c>
      <c r="J1118" t="s">
        <v>2201</v>
      </c>
    </row>
    <row r="1119" spans="1:10" x14ac:dyDescent="0.2">
      <c r="A1119">
        <v>2.4492306124220899E-11</v>
      </c>
      <c r="B1119">
        <v>-0.36100720270858699</v>
      </c>
      <c r="C1119">
        <v>0.27900000000000003</v>
      </c>
      <c r="D1119">
        <v>0.503</v>
      </c>
      <c r="E1119">
        <v>3.4039407051442199E-7</v>
      </c>
      <c r="F1119">
        <v>2</v>
      </c>
      <c r="G1119" t="s">
        <v>3044</v>
      </c>
      <c r="H1119" t="s">
        <v>3045</v>
      </c>
      <c r="I1119" t="str">
        <f>HYPERLINK("https://zfin.org/ZDB-GENE-040426-1819")</f>
        <v>https://zfin.org/ZDB-GENE-040426-1819</v>
      </c>
      <c r="J1119" t="s">
        <v>3046</v>
      </c>
    </row>
    <row r="1120" spans="1:10" x14ac:dyDescent="0.2">
      <c r="A1120">
        <v>2.4561653857496102E-11</v>
      </c>
      <c r="B1120">
        <v>-0.76341376090083701</v>
      </c>
      <c r="C1120">
        <v>7.0000000000000007E-2</v>
      </c>
      <c r="D1120">
        <v>0.22700000000000001</v>
      </c>
      <c r="E1120">
        <v>3.4135786531148098E-7</v>
      </c>
      <c r="F1120">
        <v>2</v>
      </c>
      <c r="G1120" t="s">
        <v>3047</v>
      </c>
      <c r="H1120" t="s">
        <v>3048</v>
      </c>
      <c r="I1120" t="str">
        <f>HYPERLINK("https://zfin.org/ZDB-GENE-030131-688")</f>
        <v>https://zfin.org/ZDB-GENE-030131-688</v>
      </c>
      <c r="J1120" t="s">
        <v>3049</v>
      </c>
    </row>
    <row r="1121" spans="1:10" x14ac:dyDescent="0.2">
      <c r="A1121">
        <v>2.6981428066050101E-11</v>
      </c>
      <c r="B1121">
        <v>-0.41050317587493201</v>
      </c>
      <c r="C1121">
        <v>2.1000000000000001E-2</v>
      </c>
      <c r="D1121">
        <v>0.154</v>
      </c>
      <c r="E1121">
        <v>3.7498788726196401E-7</v>
      </c>
      <c r="F1121">
        <v>2</v>
      </c>
      <c r="G1121" t="s">
        <v>3050</v>
      </c>
      <c r="H1121" t="s">
        <v>3051</v>
      </c>
      <c r="I1121" t="str">
        <f>HYPERLINK("https://zfin.org/ZDB-GENE-060222-1")</f>
        <v>https://zfin.org/ZDB-GENE-060222-1</v>
      </c>
      <c r="J1121" t="s">
        <v>3052</v>
      </c>
    </row>
    <row r="1122" spans="1:10" x14ac:dyDescent="0.2">
      <c r="A1122">
        <v>2.7846751794774101E-11</v>
      </c>
      <c r="B1122">
        <v>-0.371257854746254</v>
      </c>
      <c r="C1122">
        <v>0.29899999999999999</v>
      </c>
      <c r="D1122">
        <v>0.51700000000000002</v>
      </c>
      <c r="E1122">
        <v>3.87014156443771E-7</v>
      </c>
      <c r="F1122">
        <v>2</v>
      </c>
      <c r="G1122" t="s">
        <v>3053</v>
      </c>
      <c r="H1122" t="s">
        <v>3054</v>
      </c>
      <c r="I1122" t="str">
        <f>HYPERLINK("https://zfin.org/ZDB-GENE-040914-10")</f>
        <v>https://zfin.org/ZDB-GENE-040914-10</v>
      </c>
      <c r="J1122" t="s">
        <v>3055</v>
      </c>
    </row>
    <row r="1123" spans="1:10" x14ac:dyDescent="0.2">
      <c r="A1123">
        <v>2.9313187936503198E-11</v>
      </c>
      <c r="B1123">
        <v>-0.368972590127434</v>
      </c>
      <c r="C1123">
        <v>0.34300000000000003</v>
      </c>
      <c r="D1123">
        <v>0.56599999999999995</v>
      </c>
      <c r="E1123">
        <v>4.0739468594152201E-7</v>
      </c>
      <c r="F1123">
        <v>2</v>
      </c>
      <c r="G1123" t="s">
        <v>1931</v>
      </c>
      <c r="H1123" t="s">
        <v>1932</v>
      </c>
      <c r="I1123" t="str">
        <f>HYPERLINK("https://zfin.org/ZDB-GENE-050522-151")</f>
        <v>https://zfin.org/ZDB-GENE-050522-151</v>
      </c>
      <c r="J1123" t="s">
        <v>1933</v>
      </c>
    </row>
    <row r="1124" spans="1:10" x14ac:dyDescent="0.2">
      <c r="A1124">
        <v>3.0294714135560201E-11</v>
      </c>
      <c r="B1124">
        <v>-0.47410601192794499</v>
      </c>
      <c r="C1124">
        <v>9.0999999999999998E-2</v>
      </c>
      <c r="D1124">
        <v>0.255</v>
      </c>
      <c r="E1124">
        <v>4.2103593705601598E-7</v>
      </c>
      <c r="F1124">
        <v>2</v>
      </c>
      <c r="G1124" t="s">
        <v>3056</v>
      </c>
      <c r="H1124" t="s">
        <v>3057</v>
      </c>
      <c r="I1124" t="str">
        <f>HYPERLINK("https://zfin.org/ZDB-GENE-021028-1")</f>
        <v>https://zfin.org/ZDB-GENE-021028-1</v>
      </c>
      <c r="J1124" t="s">
        <v>3058</v>
      </c>
    </row>
    <row r="1125" spans="1:10" x14ac:dyDescent="0.2">
      <c r="A1125">
        <v>3.1943034574602003E-11</v>
      </c>
      <c r="B1125">
        <v>-0.39230387672330302</v>
      </c>
      <c r="C1125">
        <v>0.246</v>
      </c>
      <c r="D1125">
        <v>0.46600000000000003</v>
      </c>
      <c r="E1125">
        <v>4.4394429451781898E-7</v>
      </c>
      <c r="F1125">
        <v>2</v>
      </c>
      <c r="G1125" t="s">
        <v>3059</v>
      </c>
      <c r="H1125" t="s">
        <v>3060</v>
      </c>
      <c r="I1125" t="str">
        <f>HYPERLINK("https://zfin.org/ZDB-GENE-040930-9")</f>
        <v>https://zfin.org/ZDB-GENE-040930-9</v>
      </c>
      <c r="J1125" t="s">
        <v>3061</v>
      </c>
    </row>
    <row r="1126" spans="1:10" x14ac:dyDescent="0.2">
      <c r="A1126">
        <v>3.1944901393694099E-11</v>
      </c>
      <c r="B1126">
        <v>-0.68635449194366505</v>
      </c>
      <c r="C1126">
        <v>0.63</v>
      </c>
      <c r="D1126">
        <v>0.77100000000000002</v>
      </c>
      <c r="E1126">
        <v>4.4397023956956099E-7</v>
      </c>
      <c r="F1126">
        <v>2</v>
      </c>
      <c r="G1126" t="s">
        <v>2565</v>
      </c>
      <c r="H1126" t="s">
        <v>2566</v>
      </c>
      <c r="I1126" t="str">
        <f>HYPERLINK("https://zfin.org/ZDB-GENE-040912-122")</f>
        <v>https://zfin.org/ZDB-GENE-040912-122</v>
      </c>
      <c r="J1126" t="s">
        <v>2567</v>
      </c>
    </row>
    <row r="1127" spans="1:10" x14ac:dyDescent="0.2">
      <c r="A1127">
        <v>3.2622031037873901E-11</v>
      </c>
      <c r="B1127">
        <v>-0.63524232652766599</v>
      </c>
      <c r="C1127">
        <v>0.34300000000000003</v>
      </c>
      <c r="D1127">
        <v>0.55400000000000005</v>
      </c>
      <c r="E1127">
        <v>4.53380987364371E-7</v>
      </c>
      <c r="F1127">
        <v>2</v>
      </c>
      <c r="G1127" t="s">
        <v>3062</v>
      </c>
      <c r="H1127" t="s">
        <v>3063</v>
      </c>
      <c r="I1127" t="str">
        <f>HYPERLINK("https://zfin.org/ZDB-GENE-010502-1")</f>
        <v>https://zfin.org/ZDB-GENE-010502-1</v>
      </c>
      <c r="J1127" t="s">
        <v>3064</v>
      </c>
    </row>
    <row r="1128" spans="1:10" x14ac:dyDescent="0.2">
      <c r="A1128">
        <v>3.4942775375183403E-11</v>
      </c>
      <c r="B1128">
        <v>-0.35228412801688203</v>
      </c>
      <c r="C1128">
        <v>0.29599999999999999</v>
      </c>
      <c r="D1128">
        <v>0.53100000000000003</v>
      </c>
      <c r="E1128">
        <v>4.8563469216429804E-7</v>
      </c>
      <c r="F1128">
        <v>2</v>
      </c>
      <c r="G1128" t="s">
        <v>1569</v>
      </c>
      <c r="H1128" t="s">
        <v>1570</v>
      </c>
      <c r="I1128" t="str">
        <f>HYPERLINK("https://zfin.org/ZDB-GENE-030131-8901")</f>
        <v>https://zfin.org/ZDB-GENE-030131-8901</v>
      </c>
      <c r="J1128" t="s">
        <v>1571</v>
      </c>
    </row>
    <row r="1129" spans="1:10" x14ac:dyDescent="0.2">
      <c r="A1129">
        <v>3.5505306218683503E-11</v>
      </c>
      <c r="B1129">
        <v>-0.33722847153895702</v>
      </c>
      <c r="C1129">
        <v>0.40200000000000002</v>
      </c>
      <c r="D1129">
        <v>0.63100000000000001</v>
      </c>
      <c r="E1129">
        <v>4.9345274582726301E-7</v>
      </c>
      <c r="F1129">
        <v>2</v>
      </c>
      <c r="G1129" t="s">
        <v>3065</v>
      </c>
      <c r="H1129" t="s">
        <v>3066</v>
      </c>
      <c r="I1129" t="str">
        <f>HYPERLINK("https://zfin.org/ZDB-GENE-030131-215")</f>
        <v>https://zfin.org/ZDB-GENE-030131-215</v>
      </c>
      <c r="J1129" t="s">
        <v>3067</v>
      </c>
    </row>
    <row r="1130" spans="1:10" x14ac:dyDescent="0.2">
      <c r="A1130">
        <v>3.6118235267909999E-11</v>
      </c>
      <c r="B1130">
        <v>-0.38944976558753702</v>
      </c>
      <c r="C1130">
        <v>0.19600000000000001</v>
      </c>
      <c r="D1130">
        <v>0.40400000000000003</v>
      </c>
      <c r="E1130">
        <v>5.01971233753413E-7</v>
      </c>
      <c r="F1130">
        <v>2</v>
      </c>
      <c r="G1130" t="s">
        <v>1347</v>
      </c>
      <c r="H1130" t="s">
        <v>1348</v>
      </c>
      <c r="I1130" t="str">
        <f>HYPERLINK("https://zfin.org/ZDB-GENE-040912-91")</f>
        <v>https://zfin.org/ZDB-GENE-040912-91</v>
      </c>
      <c r="J1130" t="s">
        <v>1349</v>
      </c>
    </row>
    <row r="1131" spans="1:10" x14ac:dyDescent="0.2">
      <c r="A1131">
        <v>3.9404353085322801E-11</v>
      </c>
      <c r="B1131">
        <v>-0.640494704822831</v>
      </c>
      <c r="C1131">
        <v>2.1000000000000001E-2</v>
      </c>
      <c r="D1131">
        <v>0.152</v>
      </c>
      <c r="E1131">
        <v>5.4764169917981601E-7</v>
      </c>
      <c r="F1131">
        <v>2</v>
      </c>
      <c r="G1131" t="s">
        <v>3068</v>
      </c>
      <c r="H1131" t="s">
        <v>3069</v>
      </c>
      <c r="I1131" t="str">
        <f>HYPERLINK("https://zfin.org/ZDB-GENE-060815-1")</f>
        <v>https://zfin.org/ZDB-GENE-060815-1</v>
      </c>
      <c r="J1131" t="s">
        <v>3028</v>
      </c>
    </row>
    <row r="1132" spans="1:10" x14ac:dyDescent="0.2">
      <c r="A1132">
        <v>3.9998355684499399E-11</v>
      </c>
      <c r="B1132">
        <v>-0.36619090093372397</v>
      </c>
      <c r="C1132">
        <v>0.28699999999999998</v>
      </c>
      <c r="D1132">
        <v>0.502</v>
      </c>
      <c r="E1132">
        <v>5.5589714730317201E-7</v>
      </c>
      <c r="F1132">
        <v>2</v>
      </c>
      <c r="G1132" t="s">
        <v>1137</v>
      </c>
      <c r="H1132" t="s">
        <v>1138</v>
      </c>
      <c r="I1132" t="str">
        <f>HYPERLINK("https://zfin.org/ZDB-GENE-040718-199")</f>
        <v>https://zfin.org/ZDB-GENE-040718-199</v>
      </c>
      <c r="J1132" t="s">
        <v>1139</v>
      </c>
    </row>
    <row r="1133" spans="1:10" x14ac:dyDescent="0.2">
      <c r="A1133">
        <v>4.1860438255404498E-11</v>
      </c>
      <c r="B1133">
        <v>-0.361383986824932</v>
      </c>
      <c r="C1133">
        <v>0.46899999999999997</v>
      </c>
      <c r="D1133">
        <v>0.68200000000000005</v>
      </c>
      <c r="E1133">
        <v>5.8177637087361202E-7</v>
      </c>
      <c r="F1133">
        <v>2</v>
      </c>
      <c r="G1133" t="s">
        <v>1958</v>
      </c>
      <c r="H1133" t="s">
        <v>1959</v>
      </c>
      <c r="I1133" t="str">
        <f>HYPERLINK("https://zfin.org/ZDB-GENE-050309-87")</f>
        <v>https://zfin.org/ZDB-GENE-050309-87</v>
      </c>
      <c r="J1133" t="s">
        <v>1960</v>
      </c>
    </row>
    <row r="1134" spans="1:10" x14ac:dyDescent="0.2">
      <c r="A1134">
        <v>6.8592439895804199E-11</v>
      </c>
      <c r="B1134">
        <v>-0.360356460698248</v>
      </c>
      <c r="C1134">
        <v>0.20200000000000001</v>
      </c>
      <c r="D1134">
        <v>0.41</v>
      </c>
      <c r="E1134">
        <v>9.5329772967188598E-7</v>
      </c>
      <c r="F1134">
        <v>2</v>
      </c>
      <c r="G1134" t="s">
        <v>1263</v>
      </c>
      <c r="H1134" t="s">
        <v>1264</v>
      </c>
      <c r="I1134" t="str">
        <f>HYPERLINK("https://zfin.org/ZDB-GENE-110914-234")</f>
        <v>https://zfin.org/ZDB-GENE-110914-234</v>
      </c>
      <c r="J1134" t="s">
        <v>1265</v>
      </c>
    </row>
    <row r="1135" spans="1:10" x14ac:dyDescent="0.2">
      <c r="A1135">
        <v>7.40208178520729E-11</v>
      </c>
      <c r="B1135">
        <v>-0.29955075362609301</v>
      </c>
      <c r="C1135">
        <v>0.22600000000000001</v>
      </c>
      <c r="D1135">
        <v>0.45300000000000001</v>
      </c>
      <c r="E1135">
        <v>1.0287413265081101E-6</v>
      </c>
      <c r="F1135">
        <v>2</v>
      </c>
      <c r="G1135" t="s">
        <v>3070</v>
      </c>
      <c r="H1135" t="s">
        <v>3071</v>
      </c>
      <c r="I1135" t="str">
        <f>HYPERLINK("https://zfin.org/ZDB-GENE-060201-1")</f>
        <v>https://zfin.org/ZDB-GENE-060201-1</v>
      </c>
      <c r="J1135" t="s">
        <v>3072</v>
      </c>
    </row>
    <row r="1136" spans="1:10" x14ac:dyDescent="0.2">
      <c r="A1136">
        <v>7.4128450505780197E-11</v>
      </c>
      <c r="B1136">
        <v>-0.36400985493658999</v>
      </c>
      <c r="C1136">
        <v>0.106</v>
      </c>
      <c r="D1136">
        <v>0.28199999999999997</v>
      </c>
      <c r="E1136">
        <v>1.0302372051293299E-6</v>
      </c>
      <c r="F1136">
        <v>2</v>
      </c>
      <c r="G1136" t="s">
        <v>3073</v>
      </c>
      <c r="H1136" t="s">
        <v>3074</v>
      </c>
      <c r="I1136" t="str">
        <f>HYPERLINK("https://zfin.org/ZDB-GENE-030131-1921")</f>
        <v>https://zfin.org/ZDB-GENE-030131-1921</v>
      </c>
      <c r="J1136" t="s">
        <v>3075</v>
      </c>
    </row>
    <row r="1137" spans="1:10" x14ac:dyDescent="0.2">
      <c r="A1137">
        <v>8.4670882495032502E-11</v>
      </c>
      <c r="B1137">
        <v>-0.36204282376886299</v>
      </c>
      <c r="C1137">
        <v>0.34300000000000003</v>
      </c>
      <c r="D1137">
        <v>0.56399999999999995</v>
      </c>
      <c r="E1137">
        <v>1.1767559249159599E-6</v>
      </c>
      <c r="F1137">
        <v>2</v>
      </c>
      <c r="G1137" t="s">
        <v>3076</v>
      </c>
      <c r="H1137" t="s">
        <v>3077</v>
      </c>
      <c r="I1137" t="str">
        <f>HYPERLINK("https://zfin.org/ZDB-GENE-030131-8284")</f>
        <v>https://zfin.org/ZDB-GENE-030131-8284</v>
      </c>
      <c r="J1137" t="s">
        <v>3078</v>
      </c>
    </row>
    <row r="1138" spans="1:10" x14ac:dyDescent="0.2">
      <c r="A1138">
        <v>1.00377661950823E-10</v>
      </c>
      <c r="B1138">
        <v>-0.34921429697865303</v>
      </c>
      <c r="C1138">
        <v>0.13500000000000001</v>
      </c>
      <c r="D1138">
        <v>0.32200000000000001</v>
      </c>
      <c r="E1138">
        <v>1.39504874579254E-6</v>
      </c>
      <c r="F1138">
        <v>2</v>
      </c>
      <c r="G1138" t="s">
        <v>1164</v>
      </c>
      <c r="H1138" t="s">
        <v>1165</v>
      </c>
      <c r="I1138" t="str">
        <f>HYPERLINK("https://zfin.org/ZDB-GENE-030131-6514")</f>
        <v>https://zfin.org/ZDB-GENE-030131-6514</v>
      </c>
      <c r="J1138" t="s">
        <v>1166</v>
      </c>
    </row>
    <row r="1139" spans="1:10" x14ac:dyDescent="0.2">
      <c r="A1139">
        <v>1.10050894940402E-10</v>
      </c>
      <c r="B1139">
        <v>-0.26472765845526702</v>
      </c>
      <c r="C1139">
        <v>0.34599999999999997</v>
      </c>
      <c r="D1139">
        <v>0.59899999999999998</v>
      </c>
      <c r="E1139">
        <v>1.5294873378817101E-6</v>
      </c>
      <c r="F1139">
        <v>2</v>
      </c>
      <c r="G1139" t="s">
        <v>3079</v>
      </c>
      <c r="H1139" t="s">
        <v>3080</v>
      </c>
      <c r="I1139" t="str">
        <f>HYPERLINK("https://zfin.org/ZDB-GENE-030131-6544")</f>
        <v>https://zfin.org/ZDB-GENE-030131-6544</v>
      </c>
      <c r="J1139" t="s">
        <v>3081</v>
      </c>
    </row>
    <row r="1140" spans="1:10" x14ac:dyDescent="0.2">
      <c r="A1140">
        <v>1.1173929469513E-10</v>
      </c>
      <c r="B1140">
        <v>-0.35205546856171599</v>
      </c>
      <c r="C1140">
        <v>0.182</v>
      </c>
      <c r="D1140">
        <v>0.38</v>
      </c>
      <c r="E1140">
        <v>1.5529527176729199E-6</v>
      </c>
      <c r="F1140">
        <v>2</v>
      </c>
      <c r="G1140" t="s">
        <v>3082</v>
      </c>
      <c r="H1140" t="s">
        <v>3083</v>
      </c>
      <c r="I1140" t="str">
        <f>HYPERLINK("https://zfin.org/ZDB-GENE-040426-1421")</f>
        <v>https://zfin.org/ZDB-GENE-040426-1421</v>
      </c>
      <c r="J1140" t="s">
        <v>3084</v>
      </c>
    </row>
    <row r="1141" spans="1:10" x14ac:dyDescent="0.2">
      <c r="A1141">
        <v>1.12437321704364E-10</v>
      </c>
      <c r="B1141">
        <v>-0.34007954198797702</v>
      </c>
      <c r="C1141">
        <v>0.54</v>
      </c>
      <c r="D1141">
        <v>0.748</v>
      </c>
      <c r="E1141">
        <v>1.5626538970472501E-6</v>
      </c>
      <c r="F1141">
        <v>2</v>
      </c>
      <c r="G1141" t="s">
        <v>3085</v>
      </c>
      <c r="H1141" t="s">
        <v>3086</v>
      </c>
      <c r="I1141" t="str">
        <f>HYPERLINK("https://zfin.org/ZDB-GENE-000329-1")</f>
        <v>https://zfin.org/ZDB-GENE-000329-1</v>
      </c>
      <c r="J1141" t="s">
        <v>3087</v>
      </c>
    </row>
    <row r="1142" spans="1:10" x14ac:dyDescent="0.2">
      <c r="A1142">
        <v>1.14798224048565E-10</v>
      </c>
      <c r="B1142">
        <v>-0.32347323321752097</v>
      </c>
      <c r="C1142">
        <v>0.41299999999999998</v>
      </c>
      <c r="D1142">
        <v>0.64600000000000002</v>
      </c>
      <c r="E1142">
        <v>1.59546571782696E-6</v>
      </c>
      <c r="F1142">
        <v>2</v>
      </c>
      <c r="G1142" t="s">
        <v>2343</v>
      </c>
      <c r="H1142" t="s">
        <v>2344</v>
      </c>
      <c r="I1142" t="str">
        <f>HYPERLINK("https://zfin.org/ZDB-GENE-041010-33")</f>
        <v>https://zfin.org/ZDB-GENE-041010-33</v>
      </c>
      <c r="J1142" t="s">
        <v>2345</v>
      </c>
    </row>
    <row r="1143" spans="1:10" x14ac:dyDescent="0.2">
      <c r="A1143">
        <v>1.14866021145364E-10</v>
      </c>
      <c r="B1143">
        <v>-0.49278136991858201</v>
      </c>
      <c r="C1143">
        <v>0.191</v>
      </c>
      <c r="D1143">
        <v>0.376</v>
      </c>
      <c r="E1143">
        <v>1.5964079618782599E-6</v>
      </c>
      <c r="F1143">
        <v>2</v>
      </c>
      <c r="G1143" t="s">
        <v>3088</v>
      </c>
      <c r="H1143" t="s">
        <v>3089</v>
      </c>
      <c r="I1143" t="str">
        <f>HYPERLINK("https://zfin.org/ZDB-GENE-060503-618")</f>
        <v>https://zfin.org/ZDB-GENE-060503-618</v>
      </c>
      <c r="J1143" t="s">
        <v>3090</v>
      </c>
    </row>
    <row r="1144" spans="1:10" x14ac:dyDescent="0.2">
      <c r="A1144">
        <v>1.1762251742605E-10</v>
      </c>
      <c r="B1144">
        <v>-0.36489572085430899</v>
      </c>
      <c r="C1144">
        <v>0.19600000000000001</v>
      </c>
      <c r="D1144">
        <v>0.40100000000000002</v>
      </c>
      <c r="E1144">
        <v>1.6347177471872501E-6</v>
      </c>
      <c r="F1144">
        <v>2</v>
      </c>
      <c r="G1144" t="s">
        <v>3091</v>
      </c>
      <c r="H1144" t="s">
        <v>3092</v>
      </c>
      <c r="I1144" t="str">
        <f>HYPERLINK("https://zfin.org/ZDB-GENE-020717-1")</f>
        <v>https://zfin.org/ZDB-GENE-020717-1</v>
      </c>
      <c r="J1144" t="s">
        <v>3093</v>
      </c>
    </row>
    <row r="1145" spans="1:10" x14ac:dyDescent="0.2">
      <c r="A1145">
        <v>1.2589806366070599E-10</v>
      </c>
      <c r="B1145">
        <v>0.51500952029071301</v>
      </c>
      <c r="C1145">
        <v>0.33100000000000002</v>
      </c>
      <c r="D1145">
        <v>0.20799999999999999</v>
      </c>
      <c r="E1145">
        <v>1.7497312887564899E-6</v>
      </c>
      <c r="F1145">
        <v>2</v>
      </c>
      <c r="G1145" t="s">
        <v>3094</v>
      </c>
      <c r="H1145" t="s">
        <v>3095</v>
      </c>
      <c r="I1145" t="str">
        <f>HYPERLINK("https://zfin.org/ZDB-GENE-040912-148")</f>
        <v>https://zfin.org/ZDB-GENE-040912-148</v>
      </c>
      <c r="J1145" t="s">
        <v>3096</v>
      </c>
    </row>
    <row r="1146" spans="1:10" x14ac:dyDescent="0.2">
      <c r="A1146">
        <v>1.52328702204939E-10</v>
      </c>
      <c r="B1146">
        <v>-0.28303765735207398</v>
      </c>
      <c r="C1146">
        <v>0.51600000000000001</v>
      </c>
      <c r="D1146">
        <v>0.72599999999999998</v>
      </c>
      <c r="E1146">
        <v>2.1170643032442498E-6</v>
      </c>
      <c r="F1146">
        <v>2</v>
      </c>
      <c r="G1146" t="s">
        <v>3097</v>
      </c>
      <c r="H1146" t="s">
        <v>3098</v>
      </c>
      <c r="I1146" t="str">
        <f>HYPERLINK("https://zfin.org/ZDB-GENE-011205-7")</f>
        <v>https://zfin.org/ZDB-GENE-011205-7</v>
      </c>
      <c r="J1146" t="s">
        <v>3099</v>
      </c>
    </row>
    <row r="1147" spans="1:10" x14ac:dyDescent="0.2">
      <c r="A1147">
        <v>1.64914536082687E-10</v>
      </c>
      <c r="B1147">
        <v>-0.37669391998894602</v>
      </c>
      <c r="C1147">
        <v>0.28699999999999998</v>
      </c>
      <c r="D1147">
        <v>0.50600000000000001</v>
      </c>
      <c r="E1147">
        <v>2.2919822224771899E-6</v>
      </c>
      <c r="F1147">
        <v>2</v>
      </c>
      <c r="G1147" t="s">
        <v>2448</v>
      </c>
      <c r="H1147" t="s">
        <v>2449</v>
      </c>
      <c r="I1147" t="str">
        <f>HYPERLINK("https://zfin.org/ZDB-GENE-031113-9")</f>
        <v>https://zfin.org/ZDB-GENE-031113-9</v>
      </c>
      <c r="J1147" t="s">
        <v>2450</v>
      </c>
    </row>
    <row r="1148" spans="1:10" x14ac:dyDescent="0.2">
      <c r="A1148">
        <v>1.6928897733758801E-10</v>
      </c>
      <c r="B1148">
        <v>-0.30312082191092299</v>
      </c>
      <c r="C1148">
        <v>0.58099999999999996</v>
      </c>
      <c r="D1148">
        <v>0.77700000000000002</v>
      </c>
      <c r="E1148">
        <v>2.3527782070378001E-6</v>
      </c>
      <c r="F1148">
        <v>2</v>
      </c>
      <c r="G1148" t="s">
        <v>3100</v>
      </c>
      <c r="H1148" t="s">
        <v>3101</v>
      </c>
      <c r="I1148" t="str">
        <f>HYPERLINK("https://zfin.org/ZDB-GENE-040426-1852")</f>
        <v>https://zfin.org/ZDB-GENE-040426-1852</v>
      </c>
      <c r="J1148" t="s">
        <v>3102</v>
      </c>
    </row>
    <row r="1149" spans="1:10" x14ac:dyDescent="0.2">
      <c r="A1149">
        <v>1.81557574193754E-10</v>
      </c>
      <c r="B1149">
        <v>-0.36263673126507501</v>
      </c>
      <c r="C1149">
        <v>0.252</v>
      </c>
      <c r="D1149">
        <v>0.46600000000000003</v>
      </c>
      <c r="E1149">
        <v>2.5232871661448002E-6</v>
      </c>
      <c r="F1149">
        <v>2</v>
      </c>
      <c r="G1149" t="s">
        <v>2496</v>
      </c>
      <c r="H1149" t="s">
        <v>2497</v>
      </c>
      <c r="I1149" t="str">
        <f>HYPERLINK("https://zfin.org/ZDB-GENE-031002-1")</f>
        <v>https://zfin.org/ZDB-GENE-031002-1</v>
      </c>
      <c r="J1149" t="s">
        <v>2498</v>
      </c>
    </row>
    <row r="1150" spans="1:10" x14ac:dyDescent="0.2">
      <c r="A1150">
        <v>2.0390493670985401E-10</v>
      </c>
      <c r="B1150">
        <v>-0.91029037250437905</v>
      </c>
      <c r="C1150">
        <v>5.2999999999999999E-2</v>
      </c>
      <c r="D1150">
        <v>0.189</v>
      </c>
      <c r="E1150">
        <v>2.83387081039355E-6</v>
      </c>
      <c r="F1150">
        <v>2</v>
      </c>
      <c r="G1150" t="s">
        <v>438</v>
      </c>
      <c r="H1150" t="s">
        <v>439</v>
      </c>
      <c r="I1150" t="str">
        <f>HYPERLINK("https://zfin.org/ZDB-GENE-040628-1")</f>
        <v>https://zfin.org/ZDB-GENE-040628-1</v>
      </c>
      <c r="J1150" t="s">
        <v>440</v>
      </c>
    </row>
    <row r="1151" spans="1:10" x14ac:dyDescent="0.2">
      <c r="A1151">
        <v>2.1749045774479101E-10</v>
      </c>
      <c r="B1151">
        <v>0.43199359991013198</v>
      </c>
      <c r="C1151">
        <v>0.14699999999999999</v>
      </c>
      <c r="D1151">
        <v>5.8999999999999997E-2</v>
      </c>
      <c r="E1151">
        <v>3.0226823817371002E-6</v>
      </c>
      <c r="F1151">
        <v>2</v>
      </c>
      <c r="G1151" t="s">
        <v>3103</v>
      </c>
      <c r="H1151" t="s">
        <v>3104</v>
      </c>
      <c r="I1151" t="str">
        <f>HYPERLINK("https://zfin.org/ZDB-GENE-051012-1")</f>
        <v>https://zfin.org/ZDB-GENE-051012-1</v>
      </c>
      <c r="J1151" t="s">
        <v>3105</v>
      </c>
    </row>
    <row r="1152" spans="1:10" x14ac:dyDescent="0.2">
      <c r="A1152">
        <v>2.38142395646672E-10</v>
      </c>
      <c r="B1152">
        <v>-0.29241449845819001</v>
      </c>
      <c r="C1152">
        <v>0.20499999999999999</v>
      </c>
      <c r="D1152">
        <v>0.41</v>
      </c>
      <c r="E1152">
        <v>3.3097030146974401E-6</v>
      </c>
      <c r="F1152">
        <v>2</v>
      </c>
      <c r="G1152" t="s">
        <v>3106</v>
      </c>
      <c r="H1152" t="s">
        <v>3107</v>
      </c>
      <c r="I1152" t="str">
        <f>HYPERLINK("https://zfin.org/ZDB-GENE-040426-2548")</f>
        <v>https://zfin.org/ZDB-GENE-040426-2548</v>
      </c>
      <c r="J1152" t="s">
        <v>3108</v>
      </c>
    </row>
    <row r="1153" spans="1:10" x14ac:dyDescent="0.2">
      <c r="A1153">
        <v>2.4155419438837602E-10</v>
      </c>
      <c r="B1153">
        <v>-0.37741058318958998</v>
      </c>
      <c r="C1153">
        <v>0.36399999999999999</v>
      </c>
      <c r="D1153">
        <v>0.57099999999999995</v>
      </c>
      <c r="E1153">
        <v>3.35712019360964E-6</v>
      </c>
      <c r="F1153">
        <v>2</v>
      </c>
      <c r="G1153" t="s">
        <v>2352</v>
      </c>
      <c r="H1153" t="s">
        <v>2353</v>
      </c>
      <c r="I1153" t="str">
        <f>HYPERLINK("https://zfin.org/ZDB-GENE-051023-8")</f>
        <v>https://zfin.org/ZDB-GENE-051023-8</v>
      </c>
      <c r="J1153" t="s">
        <v>2354</v>
      </c>
    </row>
    <row r="1154" spans="1:10" x14ac:dyDescent="0.2">
      <c r="A1154">
        <v>2.6451615480182802E-10</v>
      </c>
      <c r="B1154">
        <v>-0.35192808251131202</v>
      </c>
      <c r="C1154">
        <v>0.14399999999999999</v>
      </c>
      <c r="D1154">
        <v>0.32900000000000001</v>
      </c>
      <c r="E1154">
        <v>3.6762455194357998E-6</v>
      </c>
      <c r="F1154">
        <v>2</v>
      </c>
      <c r="G1154" t="s">
        <v>3109</v>
      </c>
      <c r="H1154" t="s">
        <v>3110</v>
      </c>
      <c r="I1154" t="str">
        <f>HYPERLINK("https://zfin.org/ZDB-GENE-030131-719")</f>
        <v>https://zfin.org/ZDB-GENE-030131-719</v>
      </c>
      <c r="J1154" t="s">
        <v>3111</v>
      </c>
    </row>
    <row r="1155" spans="1:10" x14ac:dyDescent="0.2">
      <c r="A1155">
        <v>2.69698298330492E-10</v>
      </c>
      <c r="B1155">
        <v>-0.333167600368725</v>
      </c>
      <c r="C1155">
        <v>0.88600000000000001</v>
      </c>
      <c r="D1155">
        <v>0.93400000000000005</v>
      </c>
      <c r="E1155">
        <v>3.7482669501971799E-6</v>
      </c>
      <c r="F1155">
        <v>2</v>
      </c>
      <c r="G1155" t="s">
        <v>1305</v>
      </c>
      <c r="H1155" t="s">
        <v>1306</v>
      </c>
      <c r="I1155" t="str">
        <f>HYPERLINK("https://zfin.org/ZDB-GENE-030131-8304")</f>
        <v>https://zfin.org/ZDB-GENE-030131-8304</v>
      </c>
      <c r="J1155" t="s">
        <v>1307</v>
      </c>
    </row>
    <row r="1156" spans="1:10" x14ac:dyDescent="0.2">
      <c r="A1156">
        <v>3.00485396337027E-10</v>
      </c>
      <c r="B1156">
        <v>0.41350592176846002</v>
      </c>
      <c r="C1156">
        <v>0.53400000000000003</v>
      </c>
      <c r="D1156">
        <v>0.41599999999999998</v>
      </c>
      <c r="E1156">
        <v>4.1761460382920003E-6</v>
      </c>
      <c r="F1156">
        <v>2</v>
      </c>
      <c r="G1156" t="s">
        <v>3112</v>
      </c>
      <c r="H1156" t="s">
        <v>3113</v>
      </c>
      <c r="I1156" t="str">
        <f>HYPERLINK("https://zfin.org/ZDB-GENE-030131-9167")</f>
        <v>https://zfin.org/ZDB-GENE-030131-9167</v>
      </c>
      <c r="J1156" t="s">
        <v>3114</v>
      </c>
    </row>
    <row r="1157" spans="1:10" x14ac:dyDescent="0.2">
      <c r="A1157">
        <v>3.0936367439917502E-10</v>
      </c>
      <c r="B1157">
        <v>0.53229791084205402</v>
      </c>
      <c r="C1157">
        <v>0.17</v>
      </c>
      <c r="D1157">
        <v>7.5999999999999998E-2</v>
      </c>
      <c r="E1157">
        <v>4.29953634679973E-6</v>
      </c>
      <c r="F1157">
        <v>2</v>
      </c>
      <c r="G1157" t="s">
        <v>3115</v>
      </c>
      <c r="H1157" t="s">
        <v>3116</v>
      </c>
      <c r="I1157" t="str">
        <f>HYPERLINK("https://zfin.org/ZDB-GENE-041001-156")</f>
        <v>https://zfin.org/ZDB-GENE-041001-156</v>
      </c>
      <c r="J1157" t="s">
        <v>3117</v>
      </c>
    </row>
    <row r="1158" spans="1:10" x14ac:dyDescent="0.2">
      <c r="A1158">
        <v>3.6204660691998601E-10</v>
      </c>
      <c r="B1158">
        <v>-0.40736955701486</v>
      </c>
      <c r="C1158">
        <v>1.2E-2</v>
      </c>
      <c r="D1158">
        <v>0.128</v>
      </c>
      <c r="E1158">
        <v>5.0317237429739697E-6</v>
      </c>
      <c r="F1158">
        <v>2</v>
      </c>
      <c r="G1158" t="s">
        <v>3118</v>
      </c>
      <c r="H1158" t="s">
        <v>3119</v>
      </c>
      <c r="I1158" t="str">
        <f>HYPERLINK("https://zfin.org/ZDB-GENE-100921-8")</f>
        <v>https://zfin.org/ZDB-GENE-100921-8</v>
      </c>
      <c r="J1158" t="s">
        <v>3120</v>
      </c>
    </row>
    <row r="1159" spans="1:10" x14ac:dyDescent="0.2">
      <c r="A1159">
        <v>3.6908743726218901E-10</v>
      </c>
      <c r="B1159">
        <v>-0.41682294987145402</v>
      </c>
      <c r="C1159">
        <v>9.0999999999999998E-2</v>
      </c>
      <c r="D1159">
        <v>0.25</v>
      </c>
      <c r="E1159">
        <v>5.1295772030699001E-6</v>
      </c>
      <c r="F1159">
        <v>2</v>
      </c>
      <c r="G1159" t="s">
        <v>3121</v>
      </c>
      <c r="H1159" t="s">
        <v>3122</v>
      </c>
      <c r="I1159" t="str">
        <f>HYPERLINK("https://zfin.org/ZDB-GENE-081105-74")</f>
        <v>https://zfin.org/ZDB-GENE-081105-74</v>
      </c>
      <c r="J1159" t="s">
        <v>3123</v>
      </c>
    </row>
    <row r="1160" spans="1:10" x14ac:dyDescent="0.2">
      <c r="A1160">
        <v>3.97585298419315E-10</v>
      </c>
      <c r="B1160">
        <v>-0.326700437533818</v>
      </c>
      <c r="C1160">
        <v>0.126</v>
      </c>
      <c r="D1160">
        <v>0.30199999999999999</v>
      </c>
      <c r="E1160">
        <v>5.5256404774316398E-6</v>
      </c>
      <c r="F1160">
        <v>2</v>
      </c>
      <c r="G1160" t="s">
        <v>3124</v>
      </c>
      <c r="H1160" t="s">
        <v>3125</v>
      </c>
      <c r="I1160" t="str">
        <f>HYPERLINK("https://zfin.org/ZDB-GENE-060322-5")</f>
        <v>https://zfin.org/ZDB-GENE-060322-5</v>
      </c>
      <c r="J1160" t="s">
        <v>3126</v>
      </c>
    </row>
    <row r="1161" spans="1:10" x14ac:dyDescent="0.2">
      <c r="A1161">
        <v>4.0167102570065402E-10</v>
      </c>
      <c r="B1161">
        <v>-0.36861499205474002</v>
      </c>
      <c r="C1161">
        <v>6.0000000000000001E-3</v>
      </c>
      <c r="D1161">
        <v>0.115</v>
      </c>
      <c r="E1161">
        <v>5.5824239151876802E-6</v>
      </c>
      <c r="F1161">
        <v>2</v>
      </c>
      <c r="G1161" t="s">
        <v>3127</v>
      </c>
      <c r="H1161" t="s">
        <v>3128</v>
      </c>
      <c r="I1161" t="str">
        <f>HYPERLINK("https://zfin.org/ZDB-GENE-110429-1")</f>
        <v>https://zfin.org/ZDB-GENE-110429-1</v>
      </c>
      <c r="J1161" t="s">
        <v>3129</v>
      </c>
    </row>
    <row r="1162" spans="1:10" x14ac:dyDescent="0.2">
      <c r="A1162">
        <v>4.1774257503680601E-10</v>
      </c>
      <c r="B1162">
        <v>-0.270717301984787</v>
      </c>
      <c r="C1162">
        <v>0.88</v>
      </c>
      <c r="D1162">
        <v>0.95599999999999996</v>
      </c>
      <c r="E1162">
        <v>5.8057863078615299E-6</v>
      </c>
      <c r="F1162">
        <v>2</v>
      </c>
      <c r="G1162" t="s">
        <v>2057</v>
      </c>
      <c r="H1162" t="s">
        <v>2058</v>
      </c>
      <c r="I1162" t="str">
        <f>HYPERLINK("https://zfin.org/ZDB-GENE-011205-18")</f>
        <v>https://zfin.org/ZDB-GENE-011205-18</v>
      </c>
      <c r="J1162" t="s">
        <v>2059</v>
      </c>
    </row>
    <row r="1163" spans="1:10" x14ac:dyDescent="0.2">
      <c r="A1163">
        <v>4.1942436793001801E-10</v>
      </c>
      <c r="B1163">
        <v>-0.39531304893233199</v>
      </c>
      <c r="C1163">
        <v>0.26100000000000001</v>
      </c>
      <c r="D1163">
        <v>0.46100000000000002</v>
      </c>
      <c r="E1163">
        <v>5.8291598654913803E-6</v>
      </c>
      <c r="F1163">
        <v>2</v>
      </c>
      <c r="G1163" t="s">
        <v>3130</v>
      </c>
      <c r="H1163" t="s">
        <v>3131</v>
      </c>
      <c r="I1163" t="str">
        <f>HYPERLINK("https://zfin.org/ZDB-GENE-041007-4")</f>
        <v>https://zfin.org/ZDB-GENE-041007-4</v>
      </c>
      <c r="J1163" t="s">
        <v>3132</v>
      </c>
    </row>
    <row r="1164" spans="1:10" x14ac:dyDescent="0.2">
      <c r="A1164">
        <v>4.3869612245741699E-10</v>
      </c>
      <c r="B1164">
        <v>-0.37871595460235302</v>
      </c>
      <c r="C1164">
        <v>0.05</v>
      </c>
      <c r="D1164">
        <v>0.189</v>
      </c>
      <c r="E1164">
        <v>6.0969987099131698E-6</v>
      </c>
      <c r="F1164">
        <v>2</v>
      </c>
      <c r="G1164" t="s">
        <v>3133</v>
      </c>
      <c r="H1164" t="s">
        <v>3134</v>
      </c>
      <c r="I1164" t="str">
        <f>HYPERLINK("https://zfin.org/ZDB-GENE-010202-3")</f>
        <v>https://zfin.org/ZDB-GENE-010202-3</v>
      </c>
      <c r="J1164" t="s">
        <v>3135</v>
      </c>
    </row>
    <row r="1165" spans="1:10" x14ac:dyDescent="0.2">
      <c r="A1165">
        <v>4.7074393235077803E-10</v>
      </c>
      <c r="B1165">
        <v>-0.31863664567384797</v>
      </c>
      <c r="C1165">
        <v>6.0000000000000001E-3</v>
      </c>
      <c r="D1165">
        <v>0.115</v>
      </c>
      <c r="E1165">
        <v>6.5423991718111102E-6</v>
      </c>
      <c r="F1165">
        <v>2</v>
      </c>
      <c r="G1165" t="s">
        <v>1248</v>
      </c>
      <c r="H1165" t="s">
        <v>1249</v>
      </c>
      <c r="I1165" t="str">
        <f>HYPERLINK("https://zfin.org/ZDB-GENE-050419-195")</f>
        <v>https://zfin.org/ZDB-GENE-050419-195</v>
      </c>
      <c r="J1165" t="s">
        <v>1250</v>
      </c>
    </row>
    <row r="1166" spans="1:10" x14ac:dyDescent="0.2">
      <c r="A1166">
        <v>4.7275152851898795E-10</v>
      </c>
      <c r="B1166">
        <v>-0.36814194482472501</v>
      </c>
      <c r="C1166">
        <v>0.36699999999999999</v>
      </c>
      <c r="D1166">
        <v>0.56599999999999995</v>
      </c>
      <c r="E1166">
        <v>6.57030074335689E-6</v>
      </c>
      <c r="F1166">
        <v>2</v>
      </c>
      <c r="G1166" t="s">
        <v>924</v>
      </c>
      <c r="H1166" t="s">
        <v>925</v>
      </c>
      <c r="I1166" t="str">
        <f>HYPERLINK("https://zfin.org/ZDB-GENE-050522-153")</f>
        <v>https://zfin.org/ZDB-GENE-050522-153</v>
      </c>
      <c r="J1166" t="s">
        <v>926</v>
      </c>
    </row>
    <row r="1167" spans="1:10" x14ac:dyDescent="0.2">
      <c r="A1167">
        <v>5.2689958143364204E-10</v>
      </c>
      <c r="B1167">
        <v>-0.40741044247701702</v>
      </c>
      <c r="C1167">
        <v>7.9000000000000001E-2</v>
      </c>
      <c r="D1167">
        <v>0.22900000000000001</v>
      </c>
      <c r="E1167">
        <v>7.3228503827647602E-6</v>
      </c>
      <c r="F1167">
        <v>2</v>
      </c>
      <c r="G1167" t="s">
        <v>3136</v>
      </c>
      <c r="H1167" t="s">
        <v>3137</v>
      </c>
      <c r="I1167" t="str">
        <f>HYPERLINK("https://zfin.org/ZDB-GENE-020416-1")</f>
        <v>https://zfin.org/ZDB-GENE-020416-1</v>
      </c>
      <c r="J1167" t="s">
        <v>3138</v>
      </c>
    </row>
    <row r="1168" spans="1:10" x14ac:dyDescent="0.2">
      <c r="A1168">
        <v>5.2745628743574896E-10</v>
      </c>
      <c r="B1168">
        <v>-0.267159353900629</v>
      </c>
      <c r="C1168">
        <v>0.51</v>
      </c>
      <c r="D1168">
        <v>0.73</v>
      </c>
      <c r="E1168">
        <v>7.33058748278204E-6</v>
      </c>
      <c r="F1168">
        <v>2</v>
      </c>
      <c r="G1168" t="s">
        <v>3139</v>
      </c>
      <c r="H1168" t="s">
        <v>3140</v>
      </c>
      <c r="I1168" t="str">
        <f>HYPERLINK("https://zfin.org/ZDB-GENE-100215-2")</f>
        <v>https://zfin.org/ZDB-GENE-100215-2</v>
      </c>
      <c r="J1168" t="s">
        <v>3141</v>
      </c>
    </row>
    <row r="1169" spans="1:10" x14ac:dyDescent="0.2">
      <c r="A1169">
        <v>5.3663998194280596E-10</v>
      </c>
      <c r="B1169">
        <v>-0.29910937305791702</v>
      </c>
      <c r="C1169">
        <v>6.7000000000000004E-2</v>
      </c>
      <c r="D1169">
        <v>0.218</v>
      </c>
      <c r="E1169">
        <v>7.45822246904111E-6</v>
      </c>
      <c r="F1169">
        <v>2</v>
      </c>
      <c r="G1169" t="s">
        <v>3142</v>
      </c>
      <c r="H1169" t="s">
        <v>3143</v>
      </c>
      <c r="I1169" t="str">
        <f>HYPERLINK("https://zfin.org/ZDB-GENE-030616-161")</f>
        <v>https://zfin.org/ZDB-GENE-030616-161</v>
      </c>
      <c r="J1169" t="s">
        <v>3144</v>
      </c>
    </row>
    <row r="1170" spans="1:10" x14ac:dyDescent="0.2">
      <c r="A1170">
        <v>5.7210264717399703E-10</v>
      </c>
      <c r="B1170">
        <v>0.517275558705514</v>
      </c>
      <c r="C1170">
        <v>0.25800000000000001</v>
      </c>
      <c r="D1170">
        <v>0.14599999999999999</v>
      </c>
      <c r="E1170">
        <v>7.9510825904242108E-6</v>
      </c>
      <c r="F1170">
        <v>2</v>
      </c>
      <c r="G1170" t="s">
        <v>3145</v>
      </c>
      <c r="H1170" t="s">
        <v>3146</v>
      </c>
      <c r="I1170" t="str">
        <f>HYPERLINK("https://zfin.org/ZDB-GENE-060526-166")</f>
        <v>https://zfin.org/ZDB-GENE-060526-166</v>
      </c>
      <c r="J1170" t="s">
        <v>3147</v>
      </c>
    </row>
    <row r="1171" spans="1:10" x14ac:dyDescent="0.2">
      <c r="A1171">
        <v>5.8862215097102902E-10</v>
      </c>
      <c r="B1171">
        <v>0.46980978880673202</v>
      </c>
      <c r="C1171">
        <v>0.36399999999999999</v>
      </c>
      <c r="D1171">
        <v>0.248</v>
      </c>
      <c r="E1171">
        <v>8.1806706541953706E-6</v>
      </c>
      <c r="F1171">
        <v>2</v>
      </c>
      <c r="G1171" t="s">
        <v>2182</v>
      </c>
      <c r="H1171" t="s">
        <v>2183</v>
      </c>
      <c r="I1171" t="str">
        <f>HYPERLINK("https://zfin.org/ZDB-GENE-030219-204")</f>
        <v>https://zfin.org/ZDB-GENE-030219-204</v>
      </c>
      <c r="J1171" t="s">
        <v>2184</v>
      </c>
    </row>
    <row r="1172" spans="1:10" x14ac:dyDescent="0.2">
      <c r="A1172">
        <v>6.5202665672535096E-10</v>
      </c>
      <c r="B1172">
        <v>-0.38478246519690301</v>
      </c>
      <c r="C1172">
        <v>0.106</v>
      </c>
      <c r="D1172">
        <v>0.26600000000000001</v>
      </c>
      <c r="E1172">
        <v>9.0618664751689298E-6</v>
      </c>
      <c r="F1172">
        <v>2</v>
      </c>
      <c r="G1172" t="s">
        <v>3148</v>
      </c>
      <c r="H1172" t="s">
        <v>3149</v>
      </c>
      <c r="I1172" t="str">
        <f>HYPERLINK("https://zfin.org/ZDB-GENE-070912-355")</f>
        <v>https://zfin.org/ZDB-GENE-070912-355</v>
      </c>
      <c r="J1172" t="s">
        <v>3150</v>
      </c>
    </row>
    <row r="1173" spans="1:10" x14ac:dyDescent="0.2">
      <c r="A1173">
        <v>6.5878581305381403E-10</v>
      </c>
      <c r="B1173">
        <v>0.39205233636474501</v>
      </c>
      <c r="C1173">
        <v>0.152</v>
      </c>
      <c r="D1173">
        <v>6.4000000000000001E-2</v>
      </c>
      <c r="E1173">
        <v>9.1558052298219005E-6</v>
      </c>
      <c r="F1173">
        <v>2</v>
      </c>
      <c r="G1173" t="s">
        <v>3151</v>
      </c>
      <c r="H1173" t="s">
        <v>3152</v>
      </c>
      <c r="I1173" t="str">
        <f>HYPERLINK("https://zfin.org/ZDB-GENE-070912-75")</f>
        <v>https://zfin.org/ZDB-GENE-070912-75</v>
      </c>
      <c r="J1173" t="s">
        <v>3153</v>
      </c>
    </row>
    <row r="1174" spans="1:10" x14ac:dyDescent="0.2">
      <c r="A1174">
        <v>7.4211460113193303E-10</v>
      </c>
      <c r="B1174">
        <v>0.44813674028216099</v>
      </c>
      <c r="C1174">
        <v>0.35799999999999998</v>
      </c>
      <c r="D1174">
        <v>0.23699999999999999</v>
      </c>
      <c r="E1174">
        <v>1.0313908726531601E-5</v>
      </c>
      <c r="F1174">
        <v>2</v>
      </c>
      <c r="G1174" t="s">
        <v>2610</v>
      </c>
      <c r="H1174" t="s">
        <v>2611</v>
      </c>
      <c r="I1174" t="str">
        <f>HYPERLINK("https://zfin.org/ZDB-GENE-041010-30")</f>
        <v>https://zfin.org/ZDB-GENE-041010-30</v>
      </c>
      <c r="J1174" t="s">
        <v>2612</v>
      </c>
    </row>
    <row r="1175" spans="1:10" x14ac:dyDescent="0.2">
      <c r="A1175">
        <v>7.7453730161764502E-10</v>
      </c>
      <c r="B1175">
        <v>-0.281332314341182</v>
      </c>
      <c r="C1175">
        <v>0.16400000000000001</v>
      </c>
      <c r="D1175">
        <v>0.35399999999999998</v>
      </c>
      <c r="E1175">
        <v>1.0764519417882001E-5</v>
      </c>
      <c r="F1175">
        <v>2</v>
      </c>
      <c r="G1175" t="s">
        <v>3154</v>
      </c>
      <c r="H1175" t="s">
        <v>3155</v>
      </c>
      <c r="I1175" t="str">
        <f>HYPERLINK("https://zfin.org/ZDB-GENE-050522-479")</f>
        <v>https://zfin.org/ZDB-GENE-050522-479</v>
      </c>
      <c r="J1175" t="s">
        <v>3156</v>
      </c>
    </row>
    <row r="1176" spans="1:10" x14ac:dyDescent="0.2">
      <c r="A1176">
        <v>7.8516396412253899E-10</v>
      </c>
      <c r="B1176">
        <v>-0.35551083390093602</v>
      </c>
      <c r="C1176">
        <v>0.38400000000000001</v>
      </c>
      <c r="D1176">
        <v>0.58699999999999997</v>
      </c>
      <c r="E1176">
        <v>1.09122087733751E-5</v>
      </c>
      <c r="F1176">
        <v>2</v>
      </c>
      <c r="G1176" t="s">
        <v>2036</v>
      </c>
      <c r="H1176" t="s">
        <v>2037</v>
      </c>
      <c r="I1176" t="str">
        <f>HYPERLINK("https://zfin.org/ZDB-GENE-001208-4")</f>
        <v>https://zfin.org/ZDB-GENE-001208-4</v>
      </c>
      <c r="J1176" t="s">
        <v>2038</v>
      </c>
    </row>
    <row r="1177" spans="1:10" x14ac:dyDescent="0.2">
      <c r="A1177">
        <v>8.3878783965554498E-10</v>
      </c>
      <c r="B1177">
        <v>-0.30915322805449602</v>
      </c>
      <c r="C1177">
        <v>0.24299999999999999</v>
      </c>
      <c r="D1177">
        <v>0.44800000000000001</v>
      </c>
      <c r="E1177">
        <v>1.16574733955328E-5</v>
      </c>
      <c r="F1177">
        <v>2</v>
      </c>
      <c r="G1177" t="s">
        <v>2436</v>
      </c>
      <c r="H1177" t="s">
        <v>2437</v>
      </c>
      <c r="I1177" t="str">
        <f>HYPERLINK("https://zfin.org/ZDB-GENE-030131-977")</f>
        <v>https://zfin.org/ZDB-GENE-030131-977</v>
      </c>
      <c r="J1177" t="s">
        <v>2438</v>
      </c>
    </row>
    <row r="1178" spans="1:10" x14ac:dyDescent="0.2">
      <c r="A1178">
        <v>8.5244462951080296E-10</v>
      </c>
      <c r="B1178">
        <v>-0.32320123645831</v>
      </c>
      <c r="C1178">
        <v>0.42499999999999999</v>
      </c>
      <c r="D1178">
        <v>0.63700000000000001</v>
      </c>
      <c r="E1178">
        <v>1.1847275460941101E-5</v>
      </c>
      <c r="F1178">
        <v>2</v>
      </c>
      <c r="G1178" t="s">
        <v>1919</v>
      </c>
      <c r="H1178" t="s">
        <v>1920</v>
      </c>
      <c r="I1178" t="str">
        <f>HYPERLINK("https://zfin.org/ZDB-GENE-081022-15")</f>
        <v>https://zfin.org/ZDB-GENE-081022-15</v>
      </c>
      <c r="J1178" t="s">
        <v>1921</v>
      </c>
    </row>
    <row r="1179" spans="1:10" x14ac:dyDescent="0.2">
      <c r="A1179">
        <v>8.9852428543382705E-10</v>
      </c>
      <c r="B1179">
        <v>-0.29144497828126398</v>
      </c>
      <c r="C1179">
        <v>0.45500000000000002</v>
      </c>
      <c r="D1179">
        <v>0.66900000000000004</v>
      </c>
      <c r="E1179">
        <v>1.2487690518959301E-5</v>
      </c>
      <c r="F1179">
        <v>2</v>
      </c>
      <c r="G1179" t="s">
        <v>1323</v>
      </c>
      <c r="H1179" t="s">
        <v>1324</v>
      </c>
      <c r="I1179" t="str">
        <f>HYPERLINK("https://zfin.org/ZDB-GENE-030131-7715")</f>
        <v>https://zfin.org/ZDB-GENE-030131-7715</v>
      </c>
      <c r="J1179" t="s">
        <v>1325</v>
      </c>
    </row>
    <row r="1180" spans="1:10" x14ac:dyDescent="0.2">
      <c r="A1180">
        <v>9.2200459016027296E-10</v>
      </c>
      <c r="B1180">
        <v>-0.37594233757378698</v>
      </c>
      <c r="C1180">
        <v>9.4E-2</v>
      </c>
      <c r="D1180">
        <v>0.251</v>
      </c>
      <c r="E1180">
        <v>1.2814019794047501E-5</v>
      </c>
      <c r="F1180">
        <v>2</v>
      </c>
      <c r="G1180" t="s">
        <v>3157</v>
      </c>
      <c r="H1180" t="s">
        <v>3158</v>
      </c>
      <c r="I1180" t="str">
        <f>HYPERLINK("https://zfin.org/ZDB-GENE-031030-2")</f>
        <v>https://zfin.org/ZDB-GENE-031030-2</v>
      </c>
      <c r="J1180" t="s">
        <v>3159</v>
      </c>
    </row>
    <row r="1181" spans="1:10" x14ac:dyDescent="0.2">
      <c r="A1181">
        <v>9.7289925192485403E-10</v>
      </c>
      <c r="B1181">
        <v>-0.292855152883506</v>
      </c>
      <c r="C1181">
        <v>0.13800000000000001</v>
      </c>
      <c r="D1181">
        <v>0.31900000000000001</v>
      </c>
      <c r="E1181">
        <v>1.35213538032516E-5</v>
      </c>
      <c r="F1181">
        <v>2</v>
      </c>
      <c r="G1181" t="s">
        <v>2238</v>
      </c>
      <c r="H1181" t="s">
        <v>2239</v>
      </c>
      <c r="I1181" t="str">
        <f>HYPERLINK("https://zfin.org/ZDB-GENE-020419-7")</f>
        <v>https://zfin.org/ZDB-GENE-020419-7</v>
      </c>
      <c r="J1181" t="s">
        <v>2240</v>
      </c>
    </row>
    <row r="1182" spans="1:10" x14ac:dyDescent="0.2">
      <c r="A1182">
        <v>9.9103197746948304E-10</v>
      </c>
      <c r="B1182">
        <v>0.77313047302853599</v>
      </c>
      <c r="C1182">
        <v>0.152</v>
      </c>
      <c r="D1182">
        <v>6.5000000000000002E-2</v>
      </c>
      <c r="E1182">
        <v>1.3773362422870899E-5</v>
      </c>
      <c r="F1182">
        <v>2</v>
      </c>
      <c r="G1182" t="s">
        <v>3160</v>
      </c>
      <c r="H1182" t="s">
        <v>3161</v>
      </c>
      <c r="I1182" t="str">
        <f>HYPERLINK("https://zfin.org/ZDB-GENE-031118-45")</f>
        <v>https://zfin.org/ZDB-GENE-031118-45</v>
      </c>
      <c r="J1182" t="s">
        <v>3162</v>
      </c>
    </row>
    <row r="1183" spans="1:10" x14ac:dyDescent="0.2">
      <c r="A1183">
        <v>1.2615062371262299E-9</v>
      </c>
      <c r="B1183">
        <v>0.44746381429999399</v>
      </c>
      <c r="C1183">
        <v>0.53400000000000003</v>
      </c>
      <c r="D1183">
        <v>0.443</v>
      </c>
      <c r="E1183">
        <v>1.75324136835804E-5</v>
      </c>
      <c r="F1183">
        <v>2</v>
      </c>
      <c r="G1183" t="s">
        <v>2466</v>
      </c>
      <c r="H1183" t="s">
        <v>2467</v>
      </c>
      <c r="I1183" t="str">
        <f>HYPERLINK("https://zfin.org/ZDB-GENE-010412-1")</f>
        <v>https://zfin.org/ZDB-GENE-010412-1</v>
      </c>
      <c r="J1183" t="s">
        <v>2468</v>
      </c>
    </row>
    <row r="1184" spans="1:10" x14ac:dyDescent="0.2">
      <c r="A1184">
        <v>1.2739360997858099E-9</v>
      </c>
      <c r="B1184">
        <v>0.427951259454115</v>
      </c>
      <c r="C1184">
        <v>0.42799999999999999</v>
      </c>
      <c r="D1184">
        <v>0.308</v>
      </c>
      <c r="E1184">
        <v>1.7705163914823301E-5</v>
      </c>
      <c r="F1184">
        <v>2</v>
      </c>
      <c r="G1184" t="s">
        <v>3163</v>
      </c>
      <c r="H1184" t="s">
        <v>3164</v>
      </c>
      <c r="I1184" t="str">
        <f>HYPERLINK("https://zfin.org/ZDB-GENE-030131-8455")</f>
        <v>https://zfin.org/ZDB-GENE-030131-8455</v>
      </c>
      <c r="J1184" t="s">
        <v>3165</v>
      </c>
    </row>
    <row r="1185" spans="1:10" x14ac:dyDescent="0.2">
      <c r="A1185">
        <v>1.2967637016167399E-9</v>
      </c>
      <c r="B1185">
        <v>-0.30200054096224299</v>
      </c>
      <c r="C1185">
        <v>0.1</v>
      </c>
      <c r="D1185">
        <v>0.26100000000000001</v>
      </c>
      <c r="E1185">
        <v>1.8022421925069401E-5</v>
      </c>
      <c r="F1185">
        <v>2</v>
      </c>
      <c r="G1185" t="s">
        <v>3166</v>
      </c>
      <c r="H1185" t="s">
        <v>3167</v>
      </c>
      <c r="I1185" t="str">
        <f>HYPERLINK("https://zfin.org/ZDB-GENE-050522-309")</f>
        <v>https://zfin.org/ZDB-GENE-050522-309</v>
      </c>
      <c r="J1185" t="s">
        <v>3168</v>
      </c>
    </row>
    <row r="1186" spans="1:10" x14ac:dyDescent="0.2">
      <c r="A1186">
        <v>1.30238462702427E-9</v>
      </c>
      <c r="B1186">
        <v>-0.31940490732501198</v>
      </c>
      <c r="C1186">
        <v>0.26700000000000002</v>
      </c>
      <c r="D1186">
        <v>0.46800000000000003</v>
      </c>
      <c r="E1186">
        <v>1.8100541546383301E-5</v>
      </c>
      <c r="F1186">
        <v>2</v>
      </c>
      <c r="G1186" t="s">
        <v>2478</v>
      </c>
      <c r="H1186" t="s">
        <v>2479</v>
      </c>
      <c r="I1186" t="str">
        <f>HYPERLINK("https://zfin.org/ZDB-GENE-040426-1932")</f>
        <v>https://zfin.org/ZDB-GENE-040426-1932</v>
      </c>
      <c r="J1186" t="s">
        <v>2480</v>
      </c>
    </row>
    <row r="1187" spans="1:10" x14ac:dyDescent="0.2">
      <c r="A1187">
        <v>1.35076360535257E-9</v>
      </c>
      <c r="B1187">
        <v>-0.30675592716671801</v>
      </c>
      <c r="C1187">
        <v>0.42199999999999999</v>
      </c>
      <c r="D1187">
        <v>0.63500000000000001</v>
      </c>
      <c r="E1187">
        <v>1.8772912587189999E-5</v>
      </c>
      <c r="F1187">
        <v>2</v>
      </c>
      <c r="G1187" t="s">
        <v>1528</v>
      </c>
      <c r="H1187" t="s">
        <v>1529</v>
      </c>
      <c r="I1187" t="str">
        <f>HYPERLINK("https://zfin.org/ZDB-GENE-040724-95")</f>
        <v>https://zfin.org/ZDB-GENE-040724-95</v>
      </c>
      <c r="J1187" t="s">
        <v>1530</v>
      </c>
    </row>
    <row r="1188" spans="1:10" x14ac:dyDescent="0.2">
      <c r="A1188">
        <v>1.37842911916881E-9</v>
      </c>
      <c r="B1188">
        <v>0.29516593911193401</v>
      </c>
      <c r="C1188">
        <v>0.83</v>
      </c>
      <c r="D1188">
        <v>0.81599999999999995</v>
      </c>
      <c r="E1188">
        <v>1.9157407898208201E-5</v>
      </c>
      <c r="F1188">
        <v>2</v>
      </c>
      <c r="G1188" t="s">
        <v>2631</v>
      </c>
      <c r="H1188" t="s">
        <v>2632</v>
      </c>
      <c r="I1188" t="str">
        <f>HYPERLINK("https://zfin.org/ZDB-GENE-050419-122")</f>
        <v>https://zfin.org/ZDB-GENE-050419-122</v>
      </c>
      <c r="J1188" t="s">
        <v>2633</v>
      </c>
    </row>
    <row r="1189" spans="1:10" x14ac:dyDescent="0.2">
      <c r="A1189">
        <v>1.4283950473631399E-9</v>
      </c>
      <c r="B1189">
        <v>-0.42685424209740502</v>
      </c>
      <c r="C1189">
        <v>0.19600000000000001</v>
      </c>
      <c r="D1189">
        <v>0.38</v>
      </c>
      <c r="E1189">
        <v>1.9851834368252902E-5</v>
      </c>
      <c r="F1189">
        <v>2</v>
      </c>
      <c r="G1189" t="s">
        <v>2553</v>
      </c>
      <c r="H1189" t="s">
        <v>2554</v>
      </c>
      <c r="I1189" t="str">
        <f>HYPERLINK("https://zfin.org/ZDB-GENE-090915-6")</f>
        <v>https://zfin.org/ZDB-GENE-090915-6</v>
      </c>
      <c r="J1189" t="s">
        <v>2555</v>
      </c>
    </row>
    <row r="1190" spans="1:10" x14ac:dyDescent="0.2">
      <c r="A1190">
        <v>1.5640253631208799E-9</v>
      </c>
      <c r="B1190">
        <v>0.40745768874684002</v>
      </c>
      <c r="C1190">
        <v>0.53700000000000003</v>
      </c>
      <c r="D1190">
        <v>0.437</v>
      </c>
      <c r="E1190">
        <v>2.17368244966539E-5</v>
      </c>
      <c r="F1190">
        <v>2</v>
      </c>
      <c r="G1190" t="s">
        <v>2132</v>
      </c>
      <c r="H1190" t="s">
        <v>2133</v>
      </c>
      <c r="I1190" t="str">
        <f>HYPERLINK("https://zfin.org/ZDB-GENE-001219-1")</f>
        <v>https://zfin.org/ZDB-GENE-001219-1</v>
      </c>
      <c r="J1190" t="s">
        <v>2134</v>
      </c>
    </row>
    <row r="1191" spans="1:10" x14ac:dyDescent="0.2">
      <c r="A1191">
        <v>1.6009178783484199E-9</v>
      </c>
      <c r="B1191">
        <v>-0.35694872876371198</v>
      </c>
      <c r="C1191">
        <v>8.7999999999999995E-2</v>
      </c>
      <c r="D1191">
        <v>0.24</v>
      </c>
      <c r="E1191">
        <v>2.2249556673286301E-5</v>
      </c>
      <c r="F1191">
        <v>2</v>
      </c>
      <c r="G1191" t="s">
        <v>3169</v>
      </c>
      <c r="H1191" t="s">
        <v>3170</v>
      </c>
      <c r="I1191" t="str">
        <f>HYPERLINK("https://zfin.org/ZDB-GENE-030715-1")</f>
        <v>https://zfin.org/ZDB-GENE-030715-1</v>
      </c>
      <c r="J1191" t="s">
        <v>3171</v>
      </c>
    </row>
    <row r="1192" spans="1:10" x14ac:dyDescent="0.2">
      <c r="A1192">
        <v>1.6209582716437201E-9</v>
      </c>
      <c r="B1192">
        <v>-0.281343831958691</v>
      </c>
      <c r="C1192">
        <v>0.214</v>
      </c>
      <c r="D1192">
        <v>0.41499999999999998</v>
      </c>
      <c r="E1192">
        <v>2.25280780593044E-5</v>
      </c>
      <c r="F1192">
        <v>2</v>
      </c>
      <c r="G1192" t="s">
        <v>3172</v>
      </c>
      <c r="H1192" t="s">
        <v>3173</v>
      </c>
      <c r="I1192" t="str">
        <f>HYPERLINK("https://zfin.org/")</f>
        <v>https://zfin.org/</v>
      </c>
    </row>
    <row r="1193" spans="1:10" x14ac:dyDescent="0.2">
      <c r="A1193">
        <v>1.6456124591541101E-9</v>
      </c>
      <c r="B1193">
        <v>-0.282133901999577</v>
      </c>
      <c r="C1193">
        <v>0.19400000000000001</v>
      </c>
      <c r="D1193">
        <v>0.38700000000000001</v>
      </c>
      <c r="E1193">
        <v>2.2870721957323801E-5</v>
      </c>
      <c r="F1193">
        <v>2</v>
      </c>
      <c r="G1193" t="s">
        <v>1907</v>
      </c>
      <c r="H1193" t="s">
        <v>1908</v>
      </c>
      <c r="I1193" t="str">
        <f>HYPERLINK("https://zfin.org/ZDB-GENE-050522-421")</f>
        <v>https://zfin.org/ZDB-GENE-050522-421</v>
      </c>
      <c r="J1193" t="s">
        <v>1909</v>
      </c>
    </row>
    <row r="1194" spans="1:10" x14ac:dyDescent="0.2">
      <c r="A1194">
        <v>1.75301394182201E-9</v>
      </c>
      <c r="B1194">
        <v>-0.36698383612881302</v>
      </c>
      <c r="C1194">
        <v>3.5000000000000003E-2</v>
      </c>
      <c r="D1194">
        <v>0.159</v>
      </c>
      <c r="E1194">
        <v>2.4363387763442399E-5</v>
      </c>
      <c r="F1194">
        <v>2</v>
      </c>
      <c r="G1194" t="s">
        <v>3174</v>
      </c>
      <c r="H1194" t="s">
        <v>3175</v>
      </c>
      <c r="I1194" t="str">
        <f>HYPERLINK("https://zfin.org/ZDB-GENE-060213-2")</f>
        <v>https://zfin.org/ZDB-GENE-060213-2</v>
      </c>
      <c r="J1194" t="s">
        <v>3176</v>
      </c>
    </row>
    <row r="1195" spans="1:10" x14ac:dyDescent="0.2">
      <c r="A1195">
        <v>1.76360561392661E-9</v>
      </c>
      <c r="B1195">
        <v>-0.30903392832842103</v>
      </c>
      <c r="C1195">
        <v>0.14399999999999999</v>
      </c>
      <c r="D1195">
        <v>0.32</v>
      </c>
      <c r="E1195">
        <v>2.4510590822352001E-5</v>
      </c>
      <c r="F1195">
        <v>2</v>
      </c>
      <c r="G1195" t="s">
        <v>1788</v>
      </c>
      <c r="H1195" t="s">
        <v>1789</v>
      </c>
      <c r="I1195" t="str">
        <f>HYPERLINK("https://zfin.org/ZDB-GENE-040912-101")</f>
        <v>https://zfin.org/ZDB-GENE-040912-101</v>
      </c>
      <c r="J1195" t="s">
        <v>1790</v>
      </c>
    </row>
    <row r="1196" spans="1:10" x14ac:dyDescent="0.2">
      <c r="A1196">
        <v>1.83050285912822E-9</v>
      </c>
      <c r="B1196">
        <v>-0.318468149853667</v>
      </c>
      <c r="C1196">
        <v>0.126</v>
      </c>
      <c r="D1196">
        <v>0.29399999999999998</v>
      </c>
      <c r="E1196">
        <v>2.5440328736163999E-5</v>
      </c>
      <c r="F1196">
        <v>2</v>
      </c>
      <c r="G1196" t="s">
        <v>3177</v>
      </c>
      <c r="H1196" t="s">
        <v>3178</v>
      </c>
      <c r="I1196" t="str">
        <f>HYPERLINK("https://zfin.org/ZDB-GENE-050522-310")</f>
        <v>https://zfin.org/ZDB-GENE-050522-310</v>
      </c>
      <c r="J1196" t="s">
        <v>3179</v>
      </c>
    </row>
    <row r="1197" spans="1:10" x14ac:dyDescent="0.2">
      <c r="A1197">
        <v>1.9091470013320499E-9</v>
      </c>
      <c r="B1197">
        <v>-0.30170484320171698</v>
      </c>
      <c r="C1197">
        <v>2.1000000000000001E-2</v>
      </c>
      <c r="D1197">
        <v>0.13500000000000001</v>
      </c>
      <c r="E1197">
        <v>2.6533325024512799E-5</v>
      </c>
      <c r="F1197">
        <v>2</v>
      </c>
      <c r="G1197" t="s">
        <v>3180</v>
      </c>
      <c r="H1197" t="s">
        <v>3181</v>
      </c>
      <c r="I1197" t="str">
        <f>HYPERLINK("https://zfin.org/ZDB-GENE-040426-1995")</f>
        <v>https://zfin.org/ZDB-GENE-040426-1995</v>
      </c>
      <c r="J1197" t="s">
        <v>3182</v>
      </c>
    </row>
    <row r="1198" spans="1:10" x14ac:dyDescent="0.2">
      <c r="A1198">
        <v>1.91732892124042E-9</v>
      </c>
      <c r="B1198">
        <v>-0.26080150398407198</v>
      </c>
      <c r="C1198">
        <v>0.16400000000000001</v>
      </c>
      <c r="D1198">
        <v>0.35099999999999998</v>
      </c>
      <c r="E1198">
        <v>2.6647037347399402E-5</v>
      </c>
      <c r="F1198">
        <v>2</v>
      </c>
      <c r="G1198" t="s">
        <v>3183</v>
      </c>
      <c r="H1198" t="s">
        <v>3184</v>
      </c>
      <c r="I1198" t="str">
        <f>HYPERLINK("https://zfin.org/ZDB-GENE-030131-6547")</f>
        <v>https://zfin.org/ZDB-GENE-030131-6547</v>
      </c>
      <c r="J1198" t="s">
        <v>3185</v>
      </c>
    </row>
    <row r="1199" spans="1:10" x14ac:dyDescent="0.2">
      <c r="A1199">
        <v>2.0071928057234401E-9</v>
      </c>
      <c r="B1199">
        <v>-0.65794494581933105</v>
      </c>
      <c r="C1199">
        <v>1.7999999999999999E-2</v>
      </c>
      <c r="D1199">
        <v>0.128</v>
      </c>
      <c r="E1199">
        <v>2.7895965613944299E-5</v>
      </c>
      <c r="F1199">
        <v>2</v>
      </c>
      <c r="G1199" t="s">
        <v>3186</v>
      </c>
      <c r="H1199" t="s">
        <v>3187</v>
      </c>
      <c r="I1199" t="str">
        <f>HYPERLINK("https://zfin.org/ZDB-GENE-040426-2321")</f>
        <v>https://zfin.org/ZDB-GENE-040426-2321</v>
      </c>
      <c r="J1199" t="s">
        <v>3188</v>
      </c>
    </row>
    <row r="1200" spans="1:10" x14ac:dyDescent="0.2">
      <c r="A1200">
        <v>2.0544959050193202E-9</v>
      </c>
      <c r="B1200">
        <v>-0.47688934027204899</v>
      </c>
      <c r="C1200">
        <v>2.5999999999999999E-2</v>
      </c>
      <c r="D1200">
        <v>0.14299999999999999</v>
      </c>
      <c r="E1200">
        <v>2.85533840879585E-5</v>
      </c>
      <c r="F1200">
        <v>2</v>
      </c>
      <c r="G1200" t="s">
        <v>3189</v>
      </c>
      <c r="H1200" t="s">
        <v>3190</v>
      </c>
      <c r="I1200" t="str">
        <f>HYPERLINK("https://zfin.org/ZDB-GENE-030131-9923")</f>
        <v>https://zfin.org/ZDB-GENE-030131-9923</v>
      </c>
      <c r="J1200" t="s">
        <v>3191</v>
      </c>
    </row>
    <row r="1201" spans="1:10" x14ac:dyDescent="0.2">
      <c r="A1201">
        <v>2.2575332383548901E-9</v>
      </c>
      <c r="B1201">
        <v>-0.29631634312063898</v>
      </c>
      <c r="C1201">
        <v>0.13500000000000001</v>
      </c>
      <c r="D1201">
        <v>0.30599999999999999</v>
      </c>
      <c r="E1201">
        <v>3.1375196946656199E-5</v>
      </c>
      <c r="F1201">
        <v>2</v>
      </c>
      <c r="G1201" t="s">
        <v>3192</v>
      </c>
      <c r="H1201" t="s">
        <v>3193</v>
      </c>
      <c r="I1201" t="str">
        <f>HYPERLINK("https://zfin.org/ZDB-GENE-040912-126")</f>
        <v>https://zfin.org/ZDB-GENE-040912-126</v>
      </c>
      <c r="J1201" t="s">
        <v>3194</v>
      </c>
    </row>
    <row r="1202" spans="1:10" x14ac:dyDescent="0.2">
      <c r="A1202">
        <v>2.32021071629935E-9</v>
      </c>
      <c r="B1202">
        <v>-0.27257592451081297</v>
      </c>
      <c r="C1202">
        <v>0.36099999999999999</v>
      </c>
      <c r="D1202">
        <v>0.58299999999999996</v>
      </c>
      <c r="E1202">
        <v>3.2246288535128403E-5</v>
      </c>
      <c r="F1202">
        <v>2</v>
      </c>
      <c r="G1202" t="s">
        <v>1408</v>
      </c>
      <c r="H1202" t="s">
        <v>1409</v>
      </c>
      <c r="I1202" t="str">
        <f>HYPERLINK("https://zfin.org/ZDB-GENE-050522-147")</f>
        <v>https://zfin.org/ZDB-GENE-050522-147</v>
      </c>
      <c r="J1202" t="s">
        <v>1410</v>
      </c>
    </row>
    <row r="1203" spans="1:10" x14ac:dyDescent="0.2">
      <c r="A1203">
        <v>2.7879127470888799E-9</v>
      </c>
      <c r="B1203">
        <v>-0.54783173167134502</v>
      </c>
      <c r="C1203">
        <v>2.5999999999999999E-2</v>
      </c>
      <c r="D1203">
        <v>0.14000000000000001</v>
      </c>
      <c r="E1203">
        <v>3.8746411359041202E-5</v>
      </c>
      <c r="F1203">
        <v>2</v>
      </c>
      <c r="G1203" t="s">
        <v>3195</v>
      </c>
      <c r="H1203" t="s">
        <v>3196</v>
      </c>
      <c r="I1203" t="str">
        <f>HYPERLINK("https://zfin.org/ZDB-GENE-091204-19")</f>
        <v>https://zfin.org/ZDB-GENE-091204-19</v>
      </c>
      <c r="J1203" t="s">
        <v>3197</v>
      </c>
    </row>
    <row r="1204" spans="1:10" x14ac:dyDescent="0.2">
      <c r="A1204">
        <v>3.0021154979708199E-9</v>
      </c>
      <c r="B1204">
        <v>-0.30799970897107498</v>
      </c>
      <c r="C1204">
        <v>0.106</v>
      </c>
      <c r="D1204">
        <v>0.26300000000000001</v>
      </c>
      <c r="E1204">
        <v>4.1723401190798498E-5</v>
      </c>
      <c r="F1204">
        <v>2</v>
      </c>
      <c r="G1204" t="s">
        <v>3198</v>
      </c>
      <c r="H1204" t="s">
        <v>3199</v>
      </c>
      <c r="I1204" t="str">
        <f>HYPERLINK("https://zfin.org/ZDB-GENE-131121-445")</f>
        <v>https://zfin.org/ZDB-GENE-131121-445</v>
      </c>
      <c r="J1204" t="s">
        <v>3200</v>
      </c>
    </row>
    <row r="1205" spans="1:10" x14ac:dyDescent="0.2">
      <c r="A1205">
        <v>3.0750990280239998E-9</v>
      </c>
      <c r="B1205">
        <v>-0.30695086509307701</v>
      </c>
      <c r="C1205">
        <v>0.30499999999999999</v>
      </c>
      <c r="D1205">
        <v>0.51300000000000001</v>
      </c>
      <c r="E1205">
        <v>4.2737726291477597E-5</v>
      </c>
      <c r="F1205">
        <v>2</v>
      </c>
      <c r="G1205" t="s">
        <v>2289</v>
      </c>
      <c r="H1205" t="s">
        <v>2290</v>
      </c>
      <c r="I1205" t="str">
        <f>HYPERLINK("https://zfin.org/ZDB-GENE-030131-4678")</f>
        <v>https://zfin.org/ZDB-GENE-030131-4678</v>
      </c>
      <c r="J1205" t="s">
        <v>2291</v>
      </c>
    </row>
    <row r="1206" spans="1:10" x14ac:dyDescent="0.2">
      <c r="A1206">
        <v>3.2155448494357401E-9</v>
      </c>
      <c r="B1206">
        <v>-0.31691126611215797</v>
      </c>
      <c r="C1206">
        <v>0.27600000000000002</v>
      </c>
      <c r="D1206">
        <v>0.47699999999999998</v>
      </c>
      <c r="E1206">
        <v>4.4689642317457901E-5</v>
      </c>
      <c r="F1206">
        <v>2</v>
      </c>
      <c r="G1206" t="s">
        <v>3201</v>
      </c>
      <c r="H1206" t="s">
        <v>3202</v>
      </c>
      <c r="I1206" t="str">
        <f>HYPERLINK("https://zfin.org/ZDB-GENE-040426-2881")</f>
        <v>https://zfin.org/ZDB-GENE-040426-2881</v>
      </c>
      <c r="J1206" t="s">
        <v>3203</v>
      </c>
    </row>
    <row r="1207" spans="1:10" x14ac:dyDescent="0.2">
      <c r="A1207">
        <v>3.4150618140416202E-9</v>
      </c>
      <c r="B1207">
        <v>-0.313749501950492</v>
      </c>
      <c r="C1207">
        <v>0.29899999999999999</v>
      </c>
      <c r="D1207">
        <v>0.502</v>
      </c>
      <c r="E1207">
        <v>4.7462529091550398E-5</v>
      </c>
      <c r="F1207">
        <v>2</v>
      </c>
      <c r="G1207" t="s">
        <v>3204</v>
      </c>
      <c r="H1207" t="s">
        <v>3205</v>
      </c>
      <c r="I1207" t="str">
        <f>HYPERLINK("https://zfin.org/ZDB-GENE-020419-14")</f>
        <v>https://zfin.org/ZDB-GENE-020419-14</v>
      </c>
      <c r="J1207" t="s">
        <v>3206</v>
      </c>
    </row>
    <row r="1208" spans="1:10" x14ac:dyDescent="0.2">
      <c r="A1208">
        <v>3.4164762451732099E-9</v>
      </c>
      <c r="B1208">
        <v>0.52064280241385397</v>
      </c>
      <c r="C1208">
        <v>0.40799999999999997</v>
      </c>
      <c r="D1208">
        <v>0.314</v>
      </c>
      <c r="E1208">
        <v>4.7482186855417197E-5</v>
      </c>
      <c r="F1208">
        <v>2</v>
      </c>
      <c r="G1208" t="s">
        <v>3207</v>
      </c>
      <c r="H1208" t="s">
        <v>3208</v>
      </c>
      <c r="I1208" t="str">
        <f>HYPERLINK("https://zfin.org/ZDB-GENE-040122-5")</f>
        <v>https://zfin.org/ZDB-GENE-040122-5</v>
      </c>
      <c r="J1208" t="s">
        <v>3209</v>
      </c>
    </row>
    <row r="1209" spans="1:10" x14ac:dyDescent="0.2">
      <c r="A1209">
        <v>3.5241244923913799E-9</v>
      </c>
      <c r="B1209">
        <v>-0.58195229299711604</v>
      </c>
      <c r="C1209">
        <v>2.3E-2</v>
      </c>
      <c r="D1209">
        <v>0.13500000000000001</v>
      </c>
      <c r="E1209">
        <v>4.8978282195255401E-5</v>
      </c>
      <c r="F1209">
        <v>2</v>
      </c>
      <c r="G1209" t="s">
        <v>3210</v>
      </c>
      <c r="H1209" t="s">
        <v>3211</v>
      </c>
      <c r="I1209" t="str">
        <f>HYPERLINK("https://zfin.org/ZDB-GENE-050417-363")</f>
        <v>https://zfin.org/ZDB-GENE-050417-363</v>
      </c>
      <c r="J1209" t="s">
        <v>3212</v>
      </c>
    </row>
    <row r="1210" spans="1:10" x14ac:dyDescent="0.2">
      <c r="A1210">
        <v>3.6998028782445201E-9</v>
      </c>
      <c r="B1210">
        <v>-0.51446095845794404</v>
      </c>
      <c r="C1210">
        <v>4.3999999999999997E-2</v>
      </c>
      <c r="D1210">
        <v>0.16900000000000001</v>
      </c>
      <c r="E1210">
        <v>5.1419860401842299E-5</v>
      </c>
      <c r="F1210">
        <v>2</v>
      </c>
      <c r="G1210" t="s">
        <v>3213</v>
      </c>
      <c r="H1210" t="s">
        <v>3214</v>
      </c>
      <c r="I1210" t="str">
        <f>HYPERLINK("https://zfin.org/ZDB-GENE-050417-214")</f>
        <v>https://zfin.org/ZDB-GENE-050417-214</v>
      </c>
      <c r="J1210" t="s">
        <v>3215</v>
      </c>
    </row>
    <row r="1211" spans="1:10" x14ac:dyDescent="0.2">
      <c r="A1211">
        <v>3.7993027777692501E-9</v>
      </c>
      <c r="B1211">
        <v>0.52213787460504202</v>
      </c>
      <c r="C1211">
        <v>0.23200000000000001</v>
      </c>
      <c r="D1211">
        <v>0.127</v>
      </c>
      <c r="E1211">
        <v>5.28027100054371E-5</v>
      </c>
      <c r="F1211">
        <v>2</v>
      </c>
      <c r="G1211" t="s">
        <v>3216</v>
      </c>
      <c r="H1211" t="s">
        <v>3217</v>
      </c>
      <c r="I1211" t="str">
        <f>HYPERLINK("https://zfin.org/ZDB-GENE-020107-2")</f>
        <v>https://zfin.org/ZDB-GENE-020107-2</v>
      </c>
      <c r="J1211" t="s">
        <v>3218</v>
      </c>
    </row>
    <row r="1212" spans="1:10" x14ac:dyDescent="0.2">
      <c r="A1212">
        <v>4.2146636883660003E-9</v>
      </c>
      <c r="B1212">
        <v>-0.29535887336099398</v>
      </c>
      <c r="C1212">
        <v>0.123</v>
      </c>
      <c r="D1212">
        <v>0.28699999999999998</v>
      </c>
      <c r="E1212">
        <v>5.8575395940910701E-5</v>
      </c>
      <c r="F1212">
        <v>2</v>
      </c>
      <c r="G1212" t="s">
        <v>3219</v>
      </c>
      <c r="H1212" t="s">
        <v>3220</v>
      </c>
      <c r="I1212" t="str">
        <f>HYPERLINK("https://zfin.org/ZDB-GENE-050306-50")</f>
        <v>https://zfin.org/ZDB-GENE-050306-50</v>
      </c>
      <c r="J1212" t="s">
        <v>3221</v>
      </c>
    </row>
    <row r="1213" spans="1:10" x14ac:dyDescent="0.2">
      <c r="A1213">
        <v>4.5838958558662902E-9</v>
      </c>
      <c r="B1213">
        <v>-0.610279131416816</v>
      </c>
      <c r="C1213">
        <v>3.2000000000000001E-2</v>
      </c>
      <c r="D1213">
        <v>0.14699999999999999</v>
      </c>
      <c r="E1213">
        <v>6.3706984604829705E-5</v>
      </c>
      <c r="F1213">
        <v>2</v>
      </c>
      <c r="G1213" t="s">
        <v>3222</v>
      </c>
      <c r="H1213" t="s">
        <v>3223</v>
      </c>
      <c r="I1213" t="str">
        <f>HYPERLINK("https://zfin.org/ZDB-GENE-000627-1")</f>
        <v>https://zfin.org/ZDB-GENE-000627-1</v>
      </c>
      <c r="J1213" t="s">
        <v>3224</v>
      </c>
    </row>
    <row r="1214" spans="1:10" x14ac:dyDescent="0.2">
      <c r="A1214">
        <v>4.6721031744018399E-9</v>
      </c>
      <c r="B1214">
        <v>-0.27373717139407799</v>
      </c>
      <c r="C1214">
        <v>0.38100000000000001</v>
      </c>
      <c r="D1214">
        <v>0.59599999999999997</v>
      </c>
      <c r="E1214">
        <v>6.4932889917836804E-5</v>
      </c>
      <c r="F1214">
        <v>2</v>
      </c>
      <c r="G1214" t="s">
        <v>1417</v>
      </c>
      <c r="H1214" t="s">
        <v>1418</v>
      </c>
      <c r="I1214" t="str">
        <f>HYPERLINK("https://zfin.org/ZDB-GENE-050522-133")</f>
        <v>https://zfin.org/ZDB-GENE-050522-133</v>
      </c>
      <c r="J1214" t="s">
        <v>1419</v>
      </c>
    </row>
    <row r="1215" spans="1:10" x14ac:dyDescent="0.2">
      <c r="A1215">
        <v>4.7361744798931E-9</v>
      </c>
      <c r="B1215">
        <v>-0.27867851163478702</v>
      </c>
      <c r="C1215">
        <v>0.16400000000000001</v>
      </c>
      <c r="D1215">
        <v>0.34399999999999997</v>
      </c>
      <c r="E1215">
        <v>6.5823352921554295E-5</v>
      </c>
      <c r="F1215">
        <v>2</v>
      </c>
      <c r="G1215" t="s">
        <v>3225</v>
      </c>
      <c r="H1215" t="s">
        <v>3226</v>
      </c>
      <c r="I1215" t="str">
        <f>HYPERLINK("https://zfin.org/ZDB-GENE-030131-967")</f>
        <v>https://zfin.org/ZDB-GENE-030131-967</v>
      </c>
      <c r="J1215" t="s">
        <v>3227</v>
      </c>
    </row>
    <row r="1216" spans="1:10" x14ac:dyDescent="0.2">
      <c r="A1216">
        <v>4.7733237207739898E-9</v>
      </c>
      <c r="B1216">
        <v>-0.26233214170649699</v>
      </c>
      <c r="C1216">
        <v>5.8999999999999997E-2</v>
      </c>
      <c r="D1216">
        <v>0.193</v>
      </c>
      <c r="E1216">
        <v>6.6339653071316999E-5</v>
      </c>
      <c r="F1216">
        <v>2</v>
      </c>
      <c r="G1216" t="s">
        <v>3228</v>
      </c>
      <c r="H1216" t="s">
        <v>3229</v>
      </c>
      <c r="I1216" t="str">
        <f>HYPERLINK("https://zfin.org/ZDB-GENE-050327-12")</f>
        <v>https://zfin.org/ZDB-GENE-050327-12</v>
      </c>
      <c r="J1216" t="s">
        <v>3230</v>
      </c>
    </row>
    <row r="1217" spans="1:10" x14ac:dyDescent="0.2">
      <c r="A1217">
        <v>4.8245115448708003E-9</v>
      </c>
      <c r="B1217">
        <v>-0.30209687521759698</v>
      </c>
      <c r="C1217">
        <v>0.20499999999999999</v>
      </c>
      <c r="D1217">
        <v>0.39100000000000001</v>
      </c>
      <c r="E1217">
        <v>6.7051061450614297E-5</v>
      </c>
      <c r="F1217">
        <v>2</v>
      </c>
      <c r="G1217" t="s">
        <v>2337</v>
      </c>
      <c r="H1217" t="s">
        <v>2338</v>
      </c>
      <c r="I1217" t="str">
        <f>HYPERLINK("https://zfin.org/ZDB-GENE-040625-50")</f>
        <v>https://zfin.org/ZDB-GENE-040625-50</v>
      </c>
      <c r="J1217" t="s">
        <v>2339</v>
      </c>
    </row>
    <row r="1218" spans="1:10" x14ac:dyDescent="0.2">
      <c r="A1218">
        <v>4.8273987829441699E-9</v>
      </c>
      <c r="B1218">
        <v>-0.27839705689412397</v>
      </c>
      <c r="C1218">
        <v>0.496</v>
      </c>
      <c r="D1218">
        <v>0.69399999999999995</v>
      </c>
      <c r="E1218">
        <v>6.7091188285358006E-5</v>
      </c>
      <c r="F1218">
        <v>2</v>
      </c>
      <c r="G1218" t="s">
        <v>2514</v>
      </c>
      <c r="H1218" t="s">
        <v>2515</v>
      </c>
      <c r="I1218" t="str">
        <f>HYPERLINK("https://zfin.org/ZDB-GENE-000210-25")</f>
        <v>https://zfin.org/ZDB-GENE-000210-25</v>
      </c>
      <c r="J1218" t="s">
        <v>2516</v>
      </c>
    </row>
    <row r="1219" spans="1:10" x14ac:dyDescent="0.2">
      <c r="A1219">
        <v>5.0647467932821401E-9</v>
      </c>
      <c r="B1219">
        <v>-0.28160799735104203</v>
      </c>
      <c r="C1219">
        <v>0.29299999999999998</v>
      </c>
      <c r="D1219">
        <v>0.50900000000000001</v>
      </c>
      <c r="E1219">
        <v>7.0389850933035101E-5</v>
      </c>
      <c r="F1219">
        <v>2</v>
      </c>
      <c r="G1219" t="s">
        <v>3231</v>
      </c>
      <c r="H1219" t="s">
        <v>3232</v>
      </c>
      <c r="I1219" t="str">
        <f>HYPERLINK("https://zfin.org/ZDB-GENE-030131-5219")</f>
        <v>https://zfin.org/ZDB-GENE-030131-5219</v>
      </c>
      <c r="J1219" t="s">
        <v>3233</v>
      </c>
    </row>
    <row r="1220" spans="1:10" x14ac:dyDescent="0.2">
      <c r="A1220">
        <v>5.3064615868583297E-9</v>
      </c>
      <c r="B1220">
        <v>-0.40012660544454498</v>
      </c>
      <c r="C1220">
        <v>8.9999999999999993E-3</v>
      </c>
      <c r="D1220">
        <v>0.109</v>
      </c>
      <c r="E1220">
        <v>7.3749203134157093E-5</v>
      </c>
      <c r="F1220">
        <v>2</v>
      </c>
      <c r="G1220" t="s">
        <v>3234</v>
      </c>
      <c r="H1220" t="s">
        <v>3235</v>
      </c>
      <c r="I1220" t="str">
        <f>HYPERLINK("https://zfin.org/ZDB-GENE-020102-1")</f>
        <v>https://zfin.org/ZDB-GENE-020102-1</v>
      </c>
      <c r="J1220" t="s">
        <v>3236</v>
      </c>
    </row>
    <row r="1221" spans="1:10" x14ac:dyDescent="0.2">
      <c r="A1221">
        <v>5.55585950205709E-9</v>
      </c>
      <c r="B1221">
        <v>-0.29737464037961198</v>
      </c>
      <c r="C1221">
        <v>3.5000000000000003E-2</v>
      </c>
      <c r="D1221">
        <v>0.154</v>
      </c>
      <c r="E1221">
        <v>7.7215335359589503E-5</v>
      </c>
      <c r="F1221">
        <v>2</v>
      </c>
      <c r="G1221" t="s">
        <v>3237</v>
      </c>
      <c r="H1221" t="s">
        <v>3238</v>
      </c>
      <c r="I1221" t="str">
        <f>HYPERLINK("https://zfin.org/ZDB-GENE-020419-22")</f>
        <v>https://zfin.org/ZDB-GENE-020419-22</v>
      </c>
      <c r="J1221" t="s">
        <v>3239</v>
      </c>
    </row>
    <row r="1222" spans="1:10" x14ac:dyDescent="0.2">
      <c r="A1222">
        <v>5.6027717092211901E-9</v>
      </c>
      <c r="B1222">
        <v>0.41645164152917802</v>
      </c>
      <c r="C1222">
        <v>0.443</v>
      </c>
      <c r="D1222">
        <v>0.34599999999999997</v>
      </c>
      <c r="E1222">
        <v>7.7867321214756106E-5</v>
      </c>
      <c r="F1222">
        <v>2</v>
      </c>
      <c r="G1222" t="s">
        <v>3240</v>
      </c>
      <c r="H1222" t="s">
        <v>3241</v>
      </c>
      <c r="I1222" t="str">
        <f>HYPERLINK("https://zfin.org/ZDB-GENE-080229-4")</f>
        <v>https://zfin.org/ZDB-GENE-080229-4</v>
      </c>
      <c r="J1222" t="s">
        <v>3242</v>
      </c>
    </row>
    <row r="1223" spans="1:10" x14ac:dyDescent="0.2">
      <c r="A1223">
        <v>5.8283110506256397E-9</v>
      </c>
      <c r="B1223">
        <v>0.38519197922197002</v>
      </c>
      <c r="C1223">
        <v>0.188</v>
      </c>
      <c r="D1223">
        <v>9.2999999999999999E-2</v>
      </c>
      <c r="E1223">
        <v>8.1001866981595096E-5</v>
      </c>
      <c r="F1223">
        <v>2</v>
      </c>
      <c r="G1223" t="s">
        <v>3243</v>
      </c>
      <c r="H1223" t="s">
        <v>3244</v>
      </c>
      <c r="I1223" t="str">
        <f>HYPERLINK("https://zfin.org/ZDB-GENE-040718-400")</f>
        <v>https://zfin.org/ZDB-GENE-040718-400</v>
      </c>
      <c r="J1223" t="s">
        <v>3245</v>
      </c>
    </row>
    <row r="1224" spans="1:10" x14ac:dyDescent="0.2">
      <c r="A1224">
        <v>5.8644662260365298E-9</v>
      </c>
      <c r="B1224">
        <v>0.37046825525598198</v>
      </c>
      <c r="C1224">
        <v>0.12</v>
      </c>
      <c r="D1224">
        <v>4.7E-2</v>
      </c>
      <c r="E1224">
        <v>8.1504351609455701E-5</v>
      </c>
      <c r="F1224">
        <v>2</v>
      </c>
      <c r="G1224" t="s">
        <v>3246</v>
      </c>
      <c r="H1224" t="s">
        <v>3247</v>
      </c>
      <c r="I1224" t="str">
        <f>HYPERLINK("https://zfin.org/ZDB-GENE-081022-110")</f>
        <v>https://zfin.org/ZDB-GENE-081022-110</v>
      </c>
      <c r="J1224" t="s">
        <v>3248</v>
      </c>
    </row>
    <row r="1225" spans="1:10" x14ac:dyDescent="0.2">
      <c r="A1225">
        <v>6.0865193808711398E-9</v>
      </c>
      <c r="B1225">
        <v>-0.34289805483456198</v>
      </c>
      <c r="C1225">
        <v>0.11700000000000001</v>
      </c>
      <c r="D1225">
        <v>0.27300000000000002</v>
      </c>
      <c r="E1225">
        <v>8.4590446355347094E-5</v>
      </c>
      <c r="F1225">
        <v>2</v>
      </c>
      <c r="G1225" t="s">
        <v>1364</v>
      </c>
      <c r="H1225" t="s">
        <v>1365</v>
      </c>
      <c r="I1225" t="str">
        <f>HYPERLINK("https://zfin.org/ZDB-GENE-040426-2448")</f>
        <v>https://zfin.org/ZDB-GENE-040426-2448</v>
      </c>
      <c r="J1225" t="s">
        <v>1366</v>
      </c>
    </row>
    <row r="1226" spans="1:10" x14ac:dyDescent="0.2">
      <c r="A1226">
        <v>6.3155190172318503E-9</v>
      </c>
      <c r="B1226">
        <v>-0.27034203499756099</v>
      </c>
      <c r="C1226">
        <v>0.32800000000000001</v>
      </c>
      <c r="D1226">
        <v>0.54400000000000004</v>
      </c>
      <c r="E1226">
        <v>8.7773083301488294E-5</v>
      </c>
      <c r="F1226">
        <v>2</v>
      </c>
      <c r="G1226" t="s">
        <v>3249</v>
      </c>
      <c r="H1226" t="s">
        <v>3250</v>
      </c>
      <c r="I1226" t="str">
        <f>HYPERLINK("https://zfin.org/ZDB-GENE-040618-2")</f>
        <v>https://zfin.org/ZDB-GENE-040618-2</v>
      </c>
      <c r="J1226" t="s">
        <v>3251</v>
      </c>
    </row>
    <row r="1227" spans="1:10" x14ac:dyDescent="0.2">
      <c r="A1227">
        <v>6.8603505924212298E-9</v>
      </c>
      <c r="B1227">
        <v>-0.259565119387899</v>
      </c>
      <c r="C1227">
        <v>0.114</v>
      </c>
      <c r="D1227">
        <v>0.27600000000000002</v>
      </c>
      <c r="E1227">
        <v>9.53451525334703E-5</v>
      </c>
      <c r="F1227">
        <v>2</v>
      </c>
      <c r="G1227" t="s">
        <v>3252</v>
      </c>
      <c r="H1227" t="s">
        <v>3253</v>
      </c>
      <c r="I1227" t="str">
        <f>HYPERLINK("https://zfin.org/ZDB-GENE-131121-599")</f>
        <v>https://zfin.org/ZDB-GENE-131121-599</v>
      </c>
      <c r="J1227" t="s">
        <v>3254</v>
      </c>
    </row>
    <row r="1228" spans="1:10" x14ac:dyDescent="0.2">
      <c r="A1228">
        <v>7.3603750401320197E-9</v>
      </c>
      <c r="B1228">
        <v>-0.62734180809362305</v>
      </c>
      <c r="C1228">
        <v>7.0000000000000007E-2</v>
      </c>
      <c r="D1228">
        <v>0.19900000000000001</v>
      </c>
      <c r="E1228">
        <v>1.0229449230775499E-4</v>
      </c>
      <c r="F1228">
        <v>2</v>
      </c>
      <c r="G1228" t="s">
        <v>3255</v>
      </c>
      <c r="H1228" t="s">
        <v>3256</v>
      </c>
      <c r="I1228" t="str">
        <f>HYPERLINK("https://zfin.org/ZDB-GENE-000210-8")</f>
        <v>https://zfin.org/ZDB-GENE-000210-8</v>
      </c>
      <c r="J1228" t="s">
        <v>3257</v>
      </c>
    </row>
    <row r="1229" spans="1:10" x14ac:dyDescent="0.2">
      <c r="A1229">
        <v>8.19302298598695E-9</v>
      </c>
      <c r="B1229">
        <v>-0.28280891098636601</v>
      </c>
      <c r="C1229">
        <v>0.63900000000000001</v>
      </c>
      <c r="D1229">
        <v>0.79800000000000004</v>
      </c>
      <c r="E1229">
        <v>1.13866633459247E-4</v>
      </c>
      <c r="F1229">
        <v>2</v>
      </c>
      <c r="G1229" t="s">
        <v>2117</v>
      </c>
      <c r="H1229" t="s">
        <v>2118</v>
      </c>
      <c r="I1229" t="str">
        <f>HYPERLINK("https://zfin.org/ZDB-GENE-030131-618")</f>
        <v>https://zfin.org/ZDB-GENE-030131-618</v>
      </c>
      <c r="J1229" t="s">
        <v>2119</v>
      </c>
    </row>
    <row r="1230" spans="1:10" x14ac:dyDescent="0.2">
      <c r="A1230">
        <v>8.2183005691908105E-9</v>
      </c>
      <c r="B1230">
        <v>-0.29490766547915498</v>
      </c>
      <c r="C1230">
        <v>2.5999999999999999E-2</v>
      </c>
      <c r="D1230">
        <v>0.13700000000000001</v>
      </c>
      <c r="E1230">
        <v>1.14217941310614E-4</v>
      </c>
      <c r="F1230">
        <v>2</v>
      </c>
      <c r="G1230" t="s">
        <v>1278</v>
      </c>
      <c r="H1230" t="s">
        <v>1279</v>
      </c>
      <c r="I1230" t="str">
        <f>HYPERLINK("https://zfin.org/ZDB-GENE-040426-1753")</f>
        <v>https://zfin.org/ZDB-GENE-040426-1753</v>
      </c>
      <c r="J1230" t="s">
        <v>1280</v>
      </c>
    </row>
    <row r="1231" spans="1:10" x14ac:dyDescent="0.2">
      <c r="A1231">
        <v>8.2690748964230793E-9</v>
      </c>
      <c r="B1231">
        <v>-0.322765570490126</v>
      </c>
      <c r="C1231">
        <v>5.8999999999999997E-2</v>
      </c>
      <c r="D1231">
        <v>0.188</v>
      </c>
      <c r="E1231">
        <v>1.14923602910488E-4</v>
      </c>
      <c r="F1231">
        <v>2</v>
      </c>
      <c r="G1231" t="s">
        <v>3258</v>
      </c>
      <c r="H1231" t="s">
        <v>3259</v>
      </c>
      <c r="I1231" t="str">
        <f>HYPERLINK("https://zfin.org/ZDB-GENE-050417-241")</f>
        <v>https://zfin.org/ZDB-GENE-050417-241</v>
      </c>
      <c r="J1231" t="s">
        <v>3260</v>
      </c>
    </row>
    <row r="1232" spans="1:10" x14ac:dyDescent="0.2">
      <c r="A1232">
        <v>8.4658447690564997E-9</v>
      </c>
      <c r="B1232">
        <v>-0.29332449440839897</v>
      </c>
      <c r="C1232">
        <v>0.1</v>
      </c>
      <c r="D1232">
        <v>0.25</v>
      </c>
      <c r="E1232">
        <v>1.17658310600347E-4</v>
      </c>
      <c r="F1232">
        <v>2</v>
      </c>
      <c r="G1232" t="s">
        <v>3261</v>
      </c>
      <c r="H1232" t="s">
        <v>3262</v>
      </c>
      <c r="I1232" t="str">
        <f>HYPERLINK("https://zfin.org/ZDB-GENE-031118-120")</f>
        <v>https://zfin.org/ZDB-GENE-031118-120</v>
      </c>
      <c r="J1232" t="s">
        <v>3263</v>
      </c>
    </row>
    <row r="1233" spans="1:10" x14ac:dyDescent="0.2">
      <c r="A1233">
        <v>8.5137554013150095E-9</v>
      </c>
      <c r="B1233">
        <v>-0.36861325965180702</v>
      </c>
      <c r="C1233">
        <v>8.9999999999999993E-3</v>
      </c>
      <c r="D1233">
        <v>0.106</v>
      </c>
      <c r="E1233">
        <v>1.18324172567476E-4</v>
      </c>
      <c r="F1233">
        <v>2</v>
      </c>
      <c r="G1233" t="s">
        <v>3264</v>
      </c>
      <c r="H1233" t="s">
        <v>3265</v>
      </c>
      <c r="I1233" t="str">
        <f>HYPERLINK("https://zfin.org/ZDB-GENE-110718-2")</f>
        <v>https://zfin.org/ZDB-GENE-110718-2</v>
      </c>
      <c r="J1233" t="s">
        <v>3266</v>
      </c>
    </row>
    <row r="1234" spans="1:10" x14ac:dyDescent="0.2">
      <c r="A1234">
        <v>8.5666145809688996E-9</v>
      </c>
      <c r="B1234">
        <v>-0.301323421499057</v>
      </c>
      <c r="C1234">
        <v>8.9999999999999993E-3</v>
      </c>
      <c r="D1234">
        <v>0.107</v>
      </c>
      <c r="E1234">
        <v>1.19058809446306E-4</v>
      </c>
      <c r="F1234">
        <v>2</v>
      </c>
      <c r="G1234" t="s">
        <v>3267</v>
      </c>
      <c r="H1234" t="s">
        <v>3268</v>
      </c>
      <c r="I1234" t="str">
        <f>HYPERLINK("https://zfin.org/ZDB-GENE-091204-219")</f>
        <v>https://zfin.org/ZDB-GENE-091204-219</v>
      </c>
      <c r="J1234" t="s">
        <v>3269</v>
      </c>
    </row>
    <row r="1235" spans="1:10" x14ac:dyDescent="0.2">
      <c r="A1235">
        <v>8.6023363450050603E-9</v>
      </c>
      <c r="B1235">
        <v>-0.29388177752407502</v>
      </c>
      <c r="C1235">
        <v>0.27</v>
      </c>
      <c r="D1235">
        <v>0.47199999999999998</v>
      </c>
      <c r="E1235">
        <v>1.1955527052288001E-4</v>
      </c>
      <c r="F1235">
        <v>2</v>
      </c>
      <c r="G1235" t="s">
        <v>2063</v>
      </c>
      <c r="H1235" t="s">
        <v>2064</v>
      </c>
      <c r="I1235" t="str">
        <f>HYPERLINK("https://zfin.org/ZDB-GENE-050522-377")</f>
        <v>https://zfin.org/ZDB-GENE-050522-377</v>
      </c>
      <c r="J1235" t="s">
        <v>2065</v>
      </c>
    </row>
    <row r="1236" spans="1:10" x14ac:dyDescent="0.2">
      <c r="A1236">
        <v>9.1700102926894095E-9</v>
      </c>
      <c r="B1236">
        <v>-0.28897958993746897</v>
      </c>
      <c r="C1236">
        <v>8.7999999999999995E-2</v>
      </c>
      <c r="D1236">
        <v>0.23300000000000001</v>
      </c>
      <c r="E1236">
        <v>1.2744480304779701E-4</v>
      </c>
      <c r="F1236">
        <v>2</v>
      </c>
      <c r="G1236" t="s">
        <v>3270</v>
      </c>
      <c r="H1236" t="s">
        <v>3271</v>
      </c>
      <c r="I1236" t="str">
        <f>HYPERLINK("https://zfin.org/ZDB-GENE-040718-209")</f>
        <v>https://zfin.org/ZDB-GENE-040718-209</v>
      </c>
      <c r="J1236" t="s">
        <v>3272</v>
      </c>
    </row>
    <row r="1237" spans="1:10" x14ac:dyDescent="0.2">
      <c r="A1237">
        <v>9.2524225197623802E-9</v>
      </c>
      <c r="B1237">
        <v>-0.27250628070752098</v>
      </c>
      <c r="C1237">
        <v>0.161</v>
      </c>
      <c r="D1237">
        <v>0.33400000000000002</v>
      </c>
      <c r="E1237">
        <v>1.2859016817965801E-4</v>
      </c>
      <c r="F1237">
        <v>2</v>
      </c>
      <c r="G1237" t="s">
        <v>3273</v>
      </c>
      <c r="H1237" t="s">
        <v>3274</v>
      </c>
      <c r="I1237" t="str">
        <f>HYPERLINK("https://zfin.org/ZDB-GENE-030131-5083")</f>
        <v>https://zfin.org/ZDB-GENE-030131-5083</v>
      </c>
      <c r="J1237" t="s">
        <v>3275</v>
      </c>
    </row>
    <row r="1238" spans="1:10" x14ac:dyDescent="0.2">
      <c r="A1238">
        <v>9.4799876500737396E-9</v>
      </c>
      <c r="B1238">
        <v>-0.29731804409916801</v>
      </c>
      <c r="C1238">
        <v>0.78900000000000003</v>
      </c>
      <c r="D1238">
        <v>0.89600000000000002</v>
      </c>
      <c r="E1238">
        <v>1.31752868360725E-4</v>
      </c>
      <c r="F1238">
        <v>2</v>
      </c>
      <c r="G1238" t="s">
        <v>1344</v>
      </c>
      <c r="H1238" t="s">
        <v>1345</v>
      </c>
      <c r="I1238" t="str">
        <f>HYPERLINK("https://zfin.org/ZDB-GENE-141222-6")</f>
        <v>https://zfin.org/ZDB-GENE-141222-6</v>
      </c>
      <c r="J1238" t="s">
        <v>1346</v>
      </c>
    </row>
    <row r="1239" spans="1:10" x14ac:dyDescent="0.2">
      <c r="A1239">
        <v>9.7748476039244303E-9</v>
      </c>
      <c r="B1239">
        <v>-0.29264838555114803</v>
      </c>
      <c r="C1239">
        <v>0.56599999999999995</v>
      </c>
      <c r="D1239">
        <v>0.74199999999999999</v>
      </c>
      <c r="E1239">
        <v>1.35850831999342E-4</v>
      </c>
      <c r="F1239">
        <v>2</v>
      </c>
      <c r="G1239" t="s">
        <v>2012</v>
      </c>
      <c r="H1239" t="s">
        <v>2013</v>
      </c>
      <c r="I1239" t="str">
        <f>HYPERLINK("https://zfin.org/ZDB-GENE-030131-4900")</f>
        <v>https://zfin.org/ZDB-GENE-030131-4900</v>
      </c>
      <c r="J1239" t="s">
        <v>2014</v>
      </c>
    </row>
    <row r="1240" spans="1:10" x14ac:dyDescent="0.2">
      <c r="A1240">
        <v>1.0120460157471401E-8</v>
      </c>
      <c r="B1240">
        <v>-0.30296955759101701</v>
      </c>
      <c r="C1240">
        <v>0.47199999999999998</v>
      </c>
      <c r="D1240">
        <v>0.65900000000000003</v>
      </c>
      <c r="E1240">
        <v>1.40654155268538E-4</v>
      </c>
      <c r="F1240">
        <v>2</v>
      </c>
      <c r="G1240" t="s">
        <v>3276</v>
      </c>
      <c r="H1240" t="s">
        <v>3277</v>
      </c>
      <c r="I1240" t="str">
        <f>HYPERLINK("https://zfin.org/ZDB-GENE-990415-88")</f>
        <v>https://zfin.org/ZDB-GENE-990415-88</v>
      </c>
      <c r="J1240" t="s">
        <v>3278</v>
      </c>
    </row>
    <row r="1241" spans="1:10" x14ac:dyDescent="0.2">
      <c r="A1241">
        <v>1.03995847128383E-8</v>
      </c>
      <c r="B1241">
        <v>-0.280149404426357</v>
      </c>
      <c r="C1241">
        <v>0.106</v>
      </c>
      <c r="D1241">
        <v>0.25600000000000001</v>
      </c>
      <c r="E1241">
        <v>1.44533428339027E-4</v>
      </c>
      <c r="F1241">
        <v>2</v>
      </c>
      <c r="G1241" t="s">
        <v>3279</v>
      </c>
      <c r="H1241" t="s">
        <v>3280</v>
      </c>
      <c r="I1241" t="str">
        <f>HYPERLINK("https://zfin.org/ZDB-GENE-030131-3222")</f>
        <v>https://zfin.org/ZDB-GENE-030131-3222</v>
      </c>
      <c r="J1241" t="s">
        <v>3281</v>
      </c>
    </row>
    <row r="1242" spans="1:10" x14ac:dyDescent="0.2">
      <c r="A1242">
        <v>1.0406307524876001E-8</v>
      </c>
      <c r="B1242">
        <v>-0.30278315352878699</v>
      </c>
      <c r="C1242">
        <v>0.40200000000000002</v>
      </c>
      <c r="D1242">
        <v>0.59699999999999998</v>
      </c>
      <c r="E1242">
        <v>1.44626861980727E-4</v>
      </c>
      <c r="F1242">
        <v>2</v>
      </c>
      <c r="G1242" t="s">
        <v>3282</v>
      </c>
      <c r="H1242" t="s">
        <v>3283</v>
      </c>
      <c r="I1242" t="str">
        <f>HYPERLINK("https://zfin.org/ZDB-GENE-040426-2133")</f>
        <v>https://zfin.org/ZDB-GENE-040426-2133</v>
      </c>
      <c r="J1242" t="s">
        <v>3284</v>
      </c>
    </row>
    <row r="1243" spans="1:10" x14ac:dyDescent="0.2">
      <c r="A1243">
        <v>1.08737647828325E-8</v>
      </c>
      <c r="B1243">
        <v>-0.30239910995198499</v>
      </c>
      <c r="C1243">
        <v>5.6000000000000001E-2</v>
      </c>
      <c r="D1243">
        <v>0.182</v>
      </c>
      <c r="E1243">
        <v>1.5112358295180599E-4</v>
      </c>
      <c r="F1243">
        <v>2</v>
      </c>
      <c r="G1243" t="s">
        <v>3285</v>
      </c>
      <c r="H1243" t="s">
        <v>3286</v>
      </c>
      <c r="I1243" t="str">
        <f>HYPERLINK("https://zfin.org/ZDB-GENE-030131-9345")</f>
        <v>https://zfin.org/ZDB-GENE-030131-9345</v>
      </c>
      <c r="J1243" t="s">
        <v>3287</v>
      </c>
    </row>
    <row r="1244" spans="1:10" x14ac:dyDescent="0.2">
      <c r="A1244">
        <v>1.1333443853967001E-8</v>
      </c>
      <c r="B1244">
        <v>-0.30848350114627998</v>
      </c>
      <c r="C1244">
        <v>5.6000000000000001E-2</v>
      </c>
      <c r="D1244">
        <v>0.182</v>
      </c>
      <c r="E1244">
        <v>1.5751220268243399E-4</v>
      </c>
      <c r="F1244">
        <v>2</v>
      </c>
      <c r="G1244" t="s">
        <v>3288</v>
      </c>
      <c r="H1244" t="s">
        <v>3289</v>
      </c>
      <c r="I1244" t="str">
        <f>HYPERLINK("https://zfin.org/ZDB-GENE-030131-7452")</f>
        <v>https://zfin.org/ZDB-GENE-030131-7452</v>
      </c>
      <c r="J1244" t="s">
        <v>3290</v>
      </c>
    </row>
    <row r="1245" spans="1:10" x14ac:dyDescent="0.2">
      <c r="A1245">
        <v>1.1590386429390001E-8</v>
      </c>
      <c r="B1245">
        <v>-0.268500916459601</v>
      </c>
      <c r="C1245">
        <v>0.13800000000000001</v>
      </c>
      <c r="D1245">
        <v>0.30599999999999999</v>
      </c>
      <c r="E1245">
        <v>1.6108319059566199E-4</v>
      </c>
      <c r="F1245">
        <v>2</v>
      </c>
      <c r="G1245" t="s">
        <v>3291</v>
      </c>
      <c r="H1245" t="s">
        <v>3292</v>
      </c>
      <c r="I1245" t="str">
        <f>HYPERLINK("https://zfin.org/ZDB-GENE-050522-30")</f>
        <v>https://zfin.org/ZDB-GENE-050522-30</v>
      </c>
      <c r="J1245" t="s">
        <v>3293</v>
      </c>
    </row>
    <row r="1246" spans="1:10" x14ac:dyDescent="0.2">
      <c r="A1246">
        <v>1.2452573166743201E-8</v>
      </c>
      <c r="B1246">
        <v>0.42329150736993698</v>
      </c>
      <c r="C1246">
        <v>0.39900000000000002</v>
      </c>
      <c r="D1246">
        <v>0.29199999999999998</v>
      </c>
      <c r="E1246">
        <v>1.73065861871396E-4</v>
      </c>
      <c r="F1246">
        <v>2</v>
      </c>
      <c r="G1246" t="s">
        <v>3294</v>
      </c>
      <c r="H1246" t="s">
        <v>3295</v>
      </c>
      <c r="I1246" t="str">
        <f>HYPERLINK("https://zfin.org/ZDB-GENE-030131-180")</f>
        <v>https://zfin.org/ZDB-GENE-030131-180</v>
      </c>
      <c r="J1246" t="s">
        <v>3296</v>
      </c>
    </row>
    <row r="1247" spans="1:10" x14ac:dyDescent="0.2">
      <c r="A1247">
        <v>1.35171756278004E-8</v>
      </c>
      <c r="B1247">
        <v>-0.32669571390584101</v>
      </c>
      <c r="C1247">
        <v>0.37</v>
      </c>
      <c r="D1247">
        <v>0.57199999999999995</v>
      </c>
      <c r="E1247">
        <v>1.8786170687516899E-4</v>
      </c>
      <c r="F1247">
        <v>2</v>
      </c>
      <c r="G1247" t="s">
        <v>3297</v>
      </c>
      <c r="H1247" t="s">
        <v>3298</v>
      </c>
      <c r="I1247" t="str">
        <f>HYPERLINK("https://zfin.org/ZDB-GENE-030131-2221")</f>
        <v>https://zfin.org/ZDB-GENE-030131-2221</v>
      </c>
      <c r="J1247" t="s">
        <v>3299</v>
      </c>
    </row>
    <row r="1248" spans="1:10" x14ac:dyDescent="0.2">
      <c r="A1248">
        <v>1.37030918581972E-8</v>
      </c>
      <c r="B1248">
        <v>-0.30441335080787102</v>
      </c>
      <c r="C1248">
        <v>0.23200000000000001</v>
      </c>
      <c r="D1248">
        <v>0.42299999999999999</v>
      </c>
      <c r="E1248">
        <v>1.90445570645225E-4</v>
      </c>
      <c r="F1248">
        <v>2</v>
      </c>
      <c r="G1248" t="s">
        <v>3300</v>
      </c>
      <c r="H1248" t="s">
        <v>3301</v>
      </c>
      <c r="I1248" t="str">
        <f>HYPERLINK("https://zfin.org/ZDB-GENE-080515-6")</f>
        <v>https://zfin.org/ZDB-GENE-080515-6</v>
      </c>
      <c r="J1248" t="s">
        <v>3302</v>
      </c>
    </row>
    <row r="1249" spans="1:10" x14ac:dyDescent="0.2">
      <c r="A1249">
        <v>1.44940321556042E-8</v>
      </c>
      <c r="B1249">
        <v>0.465638954163892</v>
      </c>
      <c r="C1249">
        <v>0.24299999999999999</v>
      </c>
      <c r="D1249">
        <v>0.14199999999999999</v>
      </c>
      <c r="E1249">
        <v>2.0143805889858801E-4</v>
      </c>
      <c r="F1249">
        <v>2</v>
      </c>
      <c r="G1249" t="s">
        <v>3303</v>
      </c>
      <c r="H1249" t="s">
        <v>3304</v>
      </c>
      <c r="I1249" t="str">
        <f>HYPERLINK("https://zfin.org/ZDB-GENE-030131-8832")</f>
        <v>https://zfin.org/ZDB-GENE-030131-8832</v>
      </c>
      <c r="J1249" t="s">
        <v>3305</v>
      </c>
    </row>
    <row r="1250" spans="1:10" x14ac:dyDescent="0.2">
      <c r="A1250">
        <v>1.4856792707930599E-8</v>
      </c>
      <c r="B1250">
        <v>-0.33501543054676303</v>
      </c>
      <c r="C1250">
        <v>8.2000000000000003E-2</v>
      </c>
      <c r="D1250">
        <v>0.218</v>
      </c>
      <c r="E1250">
        <v>2.06479705054819E-4</v>
      </c>
      <c r="F1250">
        <v>2</v>
      </c>
      <c r="G1250" t="s">
        <v>3306</v>
      </c>
      <c r="H1250" t="s">
        <v>3307</v>
      </c>
      <c r="I1250" t="str">
        <f>HYPERLINK("https://zfin.org/ZDB-GENE-030925-2")</f>
        <v>https://zfin.org/ZDB-GENE-030925-2</v>
      </c>
      <c r="J1250" t="s">
        <v>3308</v>
      </c>
    </row>
    <row r="1251" spans="1:10" x14ac:dyDescent="0.2">
      <c r="A1251">
        <v>1.49936855169113E-8</v>
      </c>
      <c r="B1251">
        <v>-0.34444143432288299</v>
      </c>
      <c r="C1251">
        <v>8.2000000000000003E-2</v>
      </c>
      <c r="D1251">
        <v>0.218</v>
      </c>
      <c r="E1251">
        <v>2.08382241314033E-4</v>
      </c>
      <c r="F1251">
        <v>2</v>
      </c>
      <c r="G1251" t="s">
        <v>3309</v>
      </c>
      <c r="H1251" t="s">
        <v>3310</v>
      </c>
      <c r="I1251" t="str">
        <f>HYPERLINK("https://zfin.org/ZDB-GENE-980526-466")</f>
        <v>https://zfin.org/ZDB-GENE-980526-466</v>
      </c>
      <c r="J1251" t="s">
        <v>3311</v>
      </c>
    </row>
    <row r="1252" spans="1:10" x14ac:dyDescent="0.2">
      <c r="A1252">
        <v>1.5020464986040699E-8</v>
      </c>
      <c r="B1252">
        <v>-0.30204558864928999</v>
      </c>
      <c r="C1252">
        <v>0.40799999999999997</v>
      </c>
      <c r="D1252">
        <v>0.61799999999999999</v>
      </c>
      <c r="E1252">
        <v>2.08754422375994E-4</v>
      </c>
      <c r="F1252">
        <v>2</v>
      </c>
      <c r="G1252" t="s">
        <v>3312</v>
      </c>
      <c r="H1252" t="s">
        <v>3313</v>
      </c>
      <c r="I1252" t="str">
        <f>HYPERLINK("https://zfin.org/ZDB-GENE-030131-9784")</f>
        <v>https://zfin.org/ZDB-GENE-030131-9784</v>
      </c>
      <c r="J1252" t="s">
        <v>3314</v>
      </c>
    </row>
    <row r="1253" spans="1:10" x14ac:dyDescent="0.2">
      <c r="A1253">
        <v>1.52722284984075E-8</v>
      </c>
      <c r="B1253">
        <v>-0.26589441560625598</v>
      </c>
      <c r="C1253">
        <v>0.123</v>
      </c>
      <c r="D1253">
        <v>0.28000000000000003</v>
      </c>
      <c r="E1253">
        <v>2.12253431670868E-4</v>
      </c>
      <c r="F1253">
        <v>2</v>
      </c>
      <c r="G1253" t="s">
        <v>3315</v>
      </c>
      <c r="H1253" t="s">
        <v>3316</v>
      </c>
      <c r="I1253" t="str">
        <f>HYPERLINK("https://zfin.org/ZDB-GENE-030131-275")</f>
        <v>https://zfin.org/ZDB-GENE-030131-275</v>
      </c>
      <c r="J1253" t="s">
        <v>3317</v>
      </c>
    </row>
    <row r="1254" spans="1:10" x14ac:dyDescent="0.2">
      <c r="A1254">
        <v>1.54389379170815E-8</v>
      </c>
      <c r="B1254">
        <v>-0.26857880198226403</v>
      </c>
      <c r="C1254">
        <v>0.13500000000000001</v>
      </c>
      <c r="D1254">
        <v>0.29899999999999999</v>
      </c>
      <c r="E1254">
        <v>2.1457035917159801E-4</v>
      </c>
      <c r="F1254">
        <v>2</v>
      </c>
      <c r="G1254" t="s">
        <v>3318</v>
      </c>
      <c r="H1254" t="s">
        <v>3319</v>
      </c>
      <c r="I1254" t="str">
        <f>HYPERLINK("https://zfin.org/ZDB-GENE-070410-56")</f>
        <v>https://zfin.org/ZDB-GENE-070410-56</v>
      </c>
      <c r="J1254" t="s">
        <v>3320</v>
      </c>
    </row>
    <row r="1255" spans="1:10" x14ac:dyDescent="0.2">
      <c r="A1255">
        <v>1.55026271227769E-8</v>
      </c>
      <c r="B1255">
        <v>-0.32550056695108398</v>
      </c>
      <c r="C1255">
        <v>3.2000000000000001E-2</v>
      </c>
      <c r="D1255">
        <v>0.14499999999999999</v>
      </c>
      <c r="E1255">
        <v>2.1545551175235301E-4</v>
      </c>
      <c r="F1255">
        <v>2</v>
      </c>
      <c r="G1255" t="s">
        <v>3321</v>
      </c>
      <c r="H1255" t="s">
        <v>3322</v>
      </c>
      <c r="I1255" t="str">
        <f>HYPERLINK("https://zfin.org/ZDB-GENE-990603-12")</f>
        <v>https://zfin.org/ZDB-GENE-990603-12</v>
      </c>
      <c r="J1255" t="s">
        <v>3323</v>
      </c>
    </row>
    <row r="1256" spans="1:10" x14ac:dyDescent="0.2">
      <c r="A1256">
        <v>1.5560092714198601E-8</v>
      </c>
      <c r="B1256">
        <v>0.29886121452850301</v>
      </c>
      <c r="C1256">
        <v>0.73899999999999999</v>
      </c>
      <c r="D1256">
        <v>0.71799999999999997</v>
      </c>
      <c r="E1256">
        <v>2.1625416854193199E-4</v>
      </c>
      <c r="F1256">
        <v>2</v>
      </c>
      <c r="G1256" t="s">
        <v>1994</v>
      </c>
      <c r="H1256" t="s">
        <v>1995</v>
      </c>
      <c r="I1256" t="str">
        <f>HYPERLINK("https://zfin.org/ZDB-GENE-001103-5")</f>
        <v>https://zfin.org/ZDB-GENE-001103-5</v>
      </c>
      <c r="J1256" t="s">
        <v>1996</v>
      </c>
    </row>
    <row r="1257" spans="1:10" x14ac:dyDescent="0.2">
      <c r="A1257">
        <v>1.6336271717222599E-8</v>
      </c>
      <c r="B1257">
        <v>-0.26612958903183398</v>
      </c>
      <c r="C1257">
        <v>9.7000000000000003E-2</v>
      </c>
      <c r="D1257">
        <v>0.24199999999999999</v>
      </c>
      <c r="E1257">
        <v>2.2704150432595999E-4</v>
      </c>
      <c r="F1257">
        <v>2</v>
      </c>
      <c r="G1257" t="s">
        <v>3324</v>
      </c>
      <c r="H1257" t="s">
        <v>3325</v>
      </c>
      <c r="I1257" t="str">
        <f>HYPERLINK("https://zfin.org/ZDB-GENE-030729-30")</f>
        <v>https://zfin.org/ZDB-GENE-030729-30</v>
      </c>
      <c r="J1257" t="s">
        <v>3326</v>
      </c>
    </row>
    <row r="1258" spans="1:10" x14ac:dyDescent="0.2">
      <c r="A1258">
        <v>1.6428650353640599E-8</v>
      </c>
      <c r="B1258">
        <v>-0.26616655506476</v>
      </c>
      <c r="C1258">
        <v>0.129</v>
      </c>
      <c r="D1258">
        <v>0.28899999999999998</v>
      </c>
      <c r="E1258">
        <v>2.2832538261489699E-4</v>
      </c>
      <c r="F1258">
        <v>2</v>
      </c>
      <c r="G1258" t="s">
        <v>1773</v>
      </c>
      <c r="H1258" t="s">
        <v>1774</v>
      </c>
      <c r="I1258" t="str">
        <f>HYPERLINK("https://zfin.org/ZDB-GENE-030826-18")</f>
        <v>https://zfin.org/ZDB-GENE-030826-18</v>
      </c>
      <c r="J1258" t="s">
        <v>1775</v>
      </c>
    </row>
    <row r="1259" spans="1:10" x14ac:dyDescent="0.2">
      <c r="A1259">
        <v>1.6540321674344999E-8</v>
      </c>
      <c r="B1259">
        <v>-0.27704660454901098</v>
      </c>
      <c r="C1259">
        <v>0.214</v>
      </c>
      <c r="D1259">
        <v>0.39500000000000002</v>
      </c>
      <c r="E1259">
        <v>2.2987739063004699E-4</v>
      </c>
      <c r="F1259">
        <v>2</v>
      </c>
      <c r="G1259" t="s">
        <v>3327</v>
      </c>
      <c r="H1259" t="s">
        <v>3328</v>
      </c>
      <c r="I1259" t="str">
        <f>HYPERLINK("https://zfin.org/ZDB-GENE-011003-1")</f>
        <v>https://zfin.org/ZDB-GENE-011003-1</v>
      </c>
      <c r="J1259" t="s">
        <v>3329</v>
      </c>
    </row>
    <row r="1260" spans="1:10" x14ac:dyDescent="0.2">
      <c r="A1260">
        <v>1.6710203531854801E-8</v>
      </c>
      <c r="B1260">
        <v>0.37358623444632799</v>
      </c>
      <c r="C1260">
        <v>0.111</v>
      </c>
      <c r="D1260">
        <v>4.2999999999999997E-2</v>
      </c>
      <c r="E1260">
        <v>2.3223840868571801E-4</v>
      </c>
      <c r="F1260">
        <v>2</v>
      </c>
      <c r="G1260" t="s">
        <v>3330</v>
      </c>
      <c r="H1260" t="s">
        <v>3331</v>
      </c>
      <c r="I1260" t="str">
        <f>HYPERLINK("https://zfin.org/ZDB-GENE-070112-2022")</f>
        <v>https://zfin.org/ZDB-GENE-070112-2022</v>
      </c>
      <c r="J1260" t="s">
        <v>3332</v>
      </c>
    </row>
    <row r="1261" spans="1:10" x14ac:dyDescent="0.2">
      <c r="A1261">
        <v>1.7095391783449199E-8</v>
      </c>
      <c r="B1261">
        <v>-0.34143471426920502</v>
      </c>
      <c r="C1261">
        <v>0.15</v>
      </c>
      <c r="D1261">
        <v>0.311</v>
      </c>
      <c r="E1261">
        <v>2.37591755006378E-4</v>
      </c>
      <c r="F1261">
        <v>2</v>
      </c>
      <c r="G1261" t="s">
        <v>790</v>
      </c>
      <c r="H1261" t="s">
        <v>791</v>
      </c>
      <c r="I1261" t="str">
        <f>HYPERLINK("https://zfin.org/ZDB-GENE-060331-97")</f>
        <v>https://zfin.org/ZDB-GENE-060331-97</v>
      </c>
      <c r="J1261" t="s">
        <v>792</v>
      </c>
    </row>
    <row r="1262" spans="1:10" x14ac:dyDescent="0.2">
      <c r="A1262">
        <v>1.71707775251063E-8</v>
      </c>
      <c r="B1262">
        <v>-0.30147796761490903</v>
      </c>
      <c r="C1262">
        <v>0.15</v>
      </c>
      <c r="D1262">
        <v>0.311</v>
      </c>
      <c r="E1262">
        <v>2.3863946604392699E-4</v>
      </c>
      <c r="F1262">
        <v>2</v>
      </c>
      <c r="G1262" t="s">
        <v>3333</v>
      </c>
      <c r="H1262" t="s">
        <v>3334</v>
      </c>
      <c r="I1262" t="str">
        <f>HYPERLINK("https://zfin.org/ZDB-GENE-040718-181")</f>
        <v>https://zfin.org/ZDB-GENE-040718-181</v>
      </c>
      <c r="J1262" t="s">
        <v>3335</v>
      </c>
    </row>
    <row r="1263" spans="1:10" x14ac:dyDescent="0.2">
      <c r="A1263">
        <v>1.7305911605811299E-8</v>
      </c>
      <c r="B1263">
        <v>-0.30736080222272399</v>
      </c>
      <c r="C1263">
        <v>0.188</v>
      </c>
      <c r="D1263">
        <v>0.35899999999999999</v>
      </c>
      <c r="E1263">
        <v>2.40517559497566E-4</v>
      </c>
      <c r="F1263">
        <v>2</v>
      </c>
      <c r="G1263" t="s">
        <v>3336</v>
      </c>
      <c r="H1263" t="s">
        <v>3337</v>
      </c>
      <c r="I1263" t="str">
        <f>HYPERLINK("https://zfin.org/ZDB-GENE-040426-1976")</f>
        <v>https://zfin.org/ZDB-GENE-040426-1976</v>
      </c>
      <c r="J1263" t="s">
        <v>3338</v>
      </c>
    </row>
    <row r="1264" spans="1:10" x14ac:dyDescent="0.2">
      <c r="A1264">
        <v>1.8304780821712998E-8</v>
      </c>
      <c r="B1264">
        <v>-0.28133186887300599</v>
      </c>
      <c r="C1264">
        <v>5.2999999999999999E-2</v>
      </c>
      <c r="D1264">
        <v>0.17799999999999999</v>
      </c>
      <c r="E1264">
        <v>2.5439984386016701E-4</v>
      </c>
      <c r="F1264">
        <v>2</v>
      </c>
      <c r="G1264" t="s">
        <v>3339</v>
      </c>
      <c r="H1264" t="s">
        <v>3340</v>
      </c>
      <c r="I1264" t="str">
        <f>HYPERLINK("https://zfin.org/ZDB-GENE-060825-144")</f>
        <v>https://zfin.org/ZDB-GENE-060825-144</v>
      </c>
      <c r="J1264" t="s">
        <v>3341</v>
      </c>
    </row>
    <row r="1265" spans="1:10" x14ac:dyDescent="0.2">
      <c r="A1265">
        <v>1.8441102441890599E-8</v>
      </c>
      <c r="B1265">
        <v>0.34072757872188397</v>
      </c>
      <c r="C1265">
        <v>0.106</v>
      </c>
      <c r="D1265">
        <v>3.9E-2</v>
      </c>
      <c r="E1265">
        <v>2.5629444173739602E-4</v>
      </c>
      <c r="F1265">
        <v>2</v>
      </c>
      <c r="G1265" t="s">
        <v>3342</v>
      </c>
      <c r="H1265" t="s">
        <v>3343</v>
      </c>
      <c r="I1265" t="str">
        <f>HYPERLINK("https://zfin.org/ZDB-GENE-090313-188")</f>
        <v>https://zfin.org/ZDB-GENE-090313-188</v>
      </c>
      <c r="J1265" t="s">
        <v>3344</v>
      </c>
    </row>
    <row r="1266" spans="1:10" x14ac:dyDescent="0.2">
      <c r="A1266">
        <v>1.9332307658113699E-8</v>
      </c>
      <c r="B1266">
        <v>-0.42401330301446</v>
      </c>
      <c r="C1266">
        <v>7.0000000000000007E-2</v>
      </c>
      <c r="D1266">
        <v>0.19800000000000001</v>
      </c>
      <c r="E1266">
        <v>2.68680411832464E-4</v>
      </c>
      <c r="F1266">
        <v>2</v>
      </c>
      <c r="G1266" t="s">
        <v>3345</v>
      </c>
      <c r="H1266" t="s">
        <v>3346</v>
      </c>
      <c r="I1266" t="str">
        <f>HYPERLINK("https://zfin.org/ZDB-GENE-040426-977")</f>
        <v>https://zfin.org/ZDB-GENE-040426-977</v>
      </c>
      <c r="J1266" t="s">
        <v>3347</v>
      </c>
    </row>
    <row r="1267" spans="1:10" x14ac:dyDescent="0.2">
      <c r="A1267">
        <v>1.96163069374575E-8</v>
      </c>
      <c r="B1267">
        <v>-0.37599413634800499</v>
      </c>
      <c r="C1267">
        <v>0.126</v>
      </c>
      <c r="D1267">
        <v>0.27600000000000002</v>
      </c>
      <c r="E1267">
        <v>2.7262743381678399E-4</v>
      </c>
      <c r="F1267">
        <v>2</v>
      </c>
      <c r="G1267" t="s">
        <v>3348</v>
      </c>
      <c r="H1267" t="s">
        <v>3349</v>
      </c>
      <c r="I1267" t="str">
        <f>HYPERLINK("https://zfin.org/ZDB-GENE-120215-253")</f>
        <v>https://zfin.org/ZDB-GENE-120215-253</v>
      </c>
      <c r="J1267" t="s">
        <v>3350</v>
      </c>
    </row>
    <row r="1268" spans="1:10" x14ac:dyDescent="0.2">
      <c r="A1268">
        <v>2.0391453792505101E-8</v>
      </c>
      <c r="B1268">
        <v>0.37031483788866199</v>
      </c>
      <c r="C1268">
        <v>0.111</v>
      </c>
      <c r="D1268">
        <v>4.2999999999999997E-2</v>
      </c>
      <c r="E1268">
        <v>2.8340042480823699E-4</v>
      </c>
      <c r="F1268">
        <v>2</v>
      </c>
      <c r="G1268" t="s">
        <v>3351</v>
      </c>
      <c r="H1268" t="s">
        <v>3352</v>
      </c>
      <c r="I1268" t="str">
        <f>HYPERLINK("https://zfin.org/ZDB-GENE-051120-57")</f>
        <v>https://zfin.org/ZDB-GENE-051120-57</v>
      </c>
      <c r="J1268" t="s">
        <v>3353</v>
      </c>
    </row>
    <row r="1269" spans="1:10" x14ac:dyDescent="0.2">
      <c r="A1269">
        <v>2.1357047845344102E-8</v>
      </c>
      <c r="B1269">
        <v>0.47217634213365201</v>
      </c>
      <c r="C1269">
        <v>0.152</v>
      </c>
      <c r="D1269">
        <v>7.1999999999999995E-2</v>
      </c>
      <c r="E1269">
        <v>2.9682025095459201E-4</v>
      </c>
      <c r="F1269">
        <v>2</v>
      </c>
      <c r="G1269" t="s">
        <v>3354</v>
      </c>
      <c r="H1269" t="s">
        <v>3355</v>
      </c>
      <c r="I1269" t="str">
        <f>HYPERLINK("https://zfin.org/ZDB-GENE-040426-1683")</f>
        <v>https://zfin.org/ZDB-GENE-040426-1683</v>
      </c>
      <c r="J1269" t="s">
        <v>3356</v>
      </c>
    </row>
    <row r="1270" spans="1:10" x14ac:dyDescent="0.2">
      <c r="A1270">
        <v>2.14558016836495E-8</v>
      </c>
      <c r="B1270">
        <v>-0.28287848260583898</v>
      </c>
      <c r="C1270">
        <v>0.16400000000000001</v>
      </c>
      <c r="D1270">
        <v>0.32900000000000001</v>
      </c>
      <c r="E1270">
        <v>2.9819273179936098E-4</v>
      </c>
      <c r="F1270">
        <v>2</v>
      </c>
      <c r="G1270" t="s">
        <v>3357</v>
      </c>
      <c r="H1270" t="s">
        <v>3358</v>
      </c>
      <c r="I1270" t="str">
        <f>HYPERLINK("https://zfin.org/ZDB-GENE-030131-693")</f>
        <v>https://zfin.org/ZDB-GENE-030131-693</v>
      </c>
      <c r="J1270" t="s">
        <v>3359</v>
      </c>
    </row>
    <row r="1271" spans="1:10" x14ac:dyDescent="0.2">
      <c r="A1271">
        <v>2.18406576601195E-8</v>
      </c>
      <c r="B1271">
        <v>-0.449509877674796</v>
      </c>
      <c r="C1271">
        <v>0.22900000000000001</v>
      </c>
      <c r="D1271">
        <v>0.38</v>
      </c>
      <c r="E1271">
        <v>3.0354146016034098E-4</v>
      </c>
      <c r="F1271">
        <v>2</v>
      </c>
      <c r="G1271" t="s">
        <v>3360</v>
      </c>
      <c r="H1271" t="s">
        <v>3361</v>
      </c>
      <c r="I1271" t="str">
        <f>HYPERLINK("https://zfin.org/ZDB-GENE-030411-6")</f>
        <v>https://zfin.org/ZDB-GENE-030411-6</v>
      </c>
      <c r="J1271" t="s">
        <v>3362</v>
      </c>
    </row>
    <row r="1272" spans="1:10" x14ac:dyDescent="0.2">
      <c r="A1272">
        <v>2.2644275358741001E-8</v>
      </c>
      <c r="B1272">
        <v>-0.42257532010312299</v>
      </c>
      <c r="C1272">
        <v>2.3E-2</v>
      </c>
      <c r="D1272">
        <v>0.125</v>
      </c>
      <c r="E1272">
        <v>3.1471013893578302E-4</v>
      </c>
      <c r="F1272">
        <v>2</v>
      </c>
      <c r="G1272" t="s">
        <v>288</v>
      </c>
      <c r="H1272" t="s">
        <v>289</v>
      </c>
      <c r="I1272" t="str">
        <f>HYPERLINK("https://zfin.org/ZDB-GENE-040426-1615")</f>
        <v>https://zfin.org/ZDB-GENE-040426-1615</v>
      </c>
      <c r="J1272" t="s">
        <v>290</v>
      </c>
    </row>
    <row r="1273" spans="1:10" x14ac:dyDescent="0.2">
      <c r="A1273">
        <v>2.38095053943419E-8</v>
      </c>
      <c r="B1273">
        <v>0.34179207514029297</v>
      </c>
      <c r="C1273">
        <v>0.111</v>
      </c>
      <c r="D1273">
        <v>4.3999999999999997E-2</v>
      </c>
      <c r="E1273">
        <v>3.3090450597056398E-4</v>
      </c>
      <c r="F1273">
        <v>2</v>
      </c>
      <c r="G1273" t="s">
        <v>3363</v>
      </c>
      <c r="H1273" t="s">
        <v>3364</v>
      </c>
      <c r="I1273" t="str">
        <f>HYPERLINK("https://zfin.org/ZDB-GENE-040426-1301")</f>
        <v>https://zfin.org/ZDB-GENE-040426-1301</v>
      </c>
      <c r="J1273" t="s">
        <v>3365</v>
      </c>
    </row>
    <row r="1274" spans="1:10" x14ac:dyDescent="0.2">
      <c r="A1274">
        <v>2.61809553187252E-8</v>
      </c>
      <c r="B1274">
        <v>-0.28040450387144</v>
      </c>
      <c r="C1274">
        <v>0.39600000000000002</v>
      </c>
      <c r="D1274">
        <v>0.60499999999999998</v>
      </c>
      <c r="E1274">
        <v>3.6386291701964301E-4</v>
      </c>
      <c r="F1274">
        <v>2</v>
      </c>
      <c r="G1274" t="s">
        <v>3366</v>
      </c>
      <c r="H1274" t="s">
        <v>3367</v>
      </c>
      <c r="I1274" t="str">
        <f>HYPERLINK("https://zfin.org/ZDB-GENE-050913-120")</f>
        <v>https://zfin.org/ZDB-GENE-050913-120</v>
      </c>
      <c r="J1274" t="s">
        <v>3368</v>
      </c>
    </row>
    <row r="1275" spans="1:10" x14ac:dyDescent="0.2">
      <c r="A1275">
        <v>2.6460629824019402E-8</v>
      </c>
      <c r="B1275">
        <v>0.33801807423184899</v>
      </c>
      <c r="C1275">
        <v>0.152</v>
      </c>
      <c r="D1275">
        <v>7.0000000000000007E-2</v>
      </c>
      <c r="E1275">
        <v>3.6774983329422199E-4</v>
      </c>
      <c r="F1275">
        <v>2</v>
      </c>
      <c r="G1275" t="s">
        <v>3369</v>
      </c>
      <c r="H1275" t="s">
        <v>3370</v>
      </c>
      <c r="I1275" t="str">
        <f>HYPERLINK("https://zfin.org/ZDB-GENE-130613-5")</f>
        <v>https://zfin.org/ZDB-GENE-130613-5</v>
      </c>
      <c r="J1275" t="s">
        <v>3371</v>
      </c>
    </row>
    <row r="1276" spans="1:10" x14ac:dyDescent="0.2">
      <c r="A1276">
        <v>2.6758469735746501E-8</v>
      </c>
      <c r="B1276">
        <v>-0.31227766531923801</v>
      </c>
      <c r="C1276">
        <v>1.4999999999999999E-2</v>
      </c>
      <c r="D1276">
        <v>0.111</v>
      </c>
      <c r="E1276">
        <v>3.71889212387405E-4</v>
      </c>
      <c r="F1276">
        <v>2</v>
      </c>
      <c r="G1276" t="s">
        <v>3372</v>
      </c>
      <c r="H1276" t="s">
        <v>3373</v>
      </c>
      <c r="I1276" t="str">
        <f>HYPERLINK("https://zfin.org/ZDB-GENE-050522-34")</f>
        <v>https://zfin.org/ZDB-GENE-050522-34</v>
      </c>
      <c r="J1276" t="s">
        <v>3374</v>
      </c>
    </row>
    <row r="1277" spans="1:10" x14ac:dyDescent="0.2">
      <c r="A1277">
        <v>2.6970919828957699E-8</v>
      </c>
      <c r="B1277">
        <v>-0.266097634224221</v>
      </c>
      <c r="C1277">
        <v>4.1000000000000002E-2</v>
      </c>
      <c r="D1277">
        <v>0.158</v>
      </c>
      <c r="E1277">
        <v>3.7484184378285402E-4</v>
      </c>
      <c r="F1277">
        <v>2</v>
      </c>
      <c r="G1277" t="s">
        <v>3375</v>
      </c>
      <c r="H1277" t="s">
        <v>3376</v>
      </c>
      <c r="I1277" t="str">
        <f>HYPERLINK("https://zfin.org/ZDB-GENE-020402-4")</f>
        <v>https://zfin.org/ZDB-GENE-020402-4</v>
      </c>
      <c r="J1277" t="s">
        <v>3377</v>
      </c>
    </row>
    <row r="1278" spans="1:10" x14ac:dyDescent="0.2">
      <c r="A1278">
        <v>2.7129275113148301E-8</v>
      </c>
      <c r="B1278">
        <v>-0.33655479443579001</v>
      </c>
      <c r="C1278">
        <v>0.37</v>
      </c>
      <c r="D1278">
        <v>0.55100000000000005</v>
      </c>
      <c r="E1278">
        <v>3.7704266552253499E-4</v>
      </c>
      <c r="F1278">
        <v>2</v>
      </c>
      <c r="G1278" t="s">
        <v>3378</v>
      </c>
      <c r="H1278" t="s">
        <v>3379</v>
      </c>
      <c r="I1278" t="str">
        <f>HYPERLINK("https://zfin.org/ZDB-GENE-030131-433")</f>
        <v>https://zfin.org/ZDB-GENE-030131-433</v>
      </c>
      <c r="J1278" t="s">
        <v>3380</v>
      </c>
    </row>
    <row r="1279" spans="1:10" x14ac:dyDescent="0.2">
      <c r="A1279">
        <v>2.98019761614619E-8</v>
      </c>
      <c r="B1279">
        <v>-0.29470799739558601</v>
      </c>
      <c r="C1279">
        <v>6.2E-2</v>
      </c>
      <c r="D1279">
        <v>0.187</v>
      </c>
      <c r="E1279">
        <v>4.1418786469199801E-4</v>
      </c>
      <c r="F1279">
        <v>2</v>
      </c>
      <c r="G1279" t="s">
        <v>3381</v>
      </c>
      <c r="H1279" t="s">
        <v>3382</v>
      </c>
      <c r="I1279" t="str">
        <f>HYPERLINK("https://zfin.org/ZDB-GENE-061009-11")</f>
        <v>https://zfin.org/ZDB-GENE-061009-11</v>
      </c>
      <c r="J1279" t="s">
        <v>3383</v>
      </c>
    </row>
    <row r="1280" spans="1:10" x14ac:dyDescent="0.2">
      <c r="A1280">
        <v>3.09862039975589E-8</v>
      </c>
      <c r="B1280">
        <v>-0.26631352829988603</v>
      </c>
      <c r="C1280">
        <v>2.1000000000000001E-2</v>
      </c>
      <c r="D1280">
        <v>0.122</v>
      </c>
      <c r="E1280">
        <v>4.3064626315807402E-4</v>
      </c>
      <c r="F1280">
        <v>2</v>
      </c>
      <c r="G1280" t="s">
        <v>3384</v>
      </c>
      <c r="H1280" t="s">
        <v>3385</v>
      </c>
      <c r="I1280" t="str">
        <f>HYPERLINK("https://zfin.org/ZDB-GENE-050417-201")</f>
        <v>https://zfin.org/ZDB-GENE-050417-201</v>
      </c>
      <c r="J1280" t="s">
        <v>3386</v>
      </c>
    </row>
    <row r="1281" spans="1:10" x14ac:dyDescent="0.2">
      <c r="A1281">
        <v>3.3206092861701099E-8</v>
      </c>
      <c r="B1281">
        <v>-0.26141018304321301</v>
      </c>
      <c r="C1281">
        <v>0.24</v>
      </c>
      <c r="D1281">
        <v>0.42499999999999999</v>
      </c>
      <c r="E1281">
        <v>4.6149827859192201E-4</v>
      </c>
      <c r="F1281">
        <v>2</v>
      </c>
      <c r="G1281" t="s">
        <v>3387</v>
      </c>
      <c r="H1281" t="s">
        <v>3388</v>
      </c>
      <c r="I1281" t="str">
        <f>HYPERLINK("https://zfin.org/ZDB-GENE-050522-181")</f>
        <v>https://zfin.org/ZDB-GENE-050522-181</v>
      </c>
      <c r="J1281" t="s">
        <v>3389</v>
      </c>
    </row>
    <row r="1282" spans="1:10" x14ac:dyDescent="0.2">
      <c r="A1282">
        <v>3.3995573440651502E-8</v>
      </c>
      <c r="B1282">
        <v>0.50474028423480699</v>
      </c>
      <c r="C1282">
        <v>0.378</v>
      </c>
      <c r="D1282">
        <v>0.28299999999999997</v>
      </c>
      <c r="E1282">
        <v>4.7247047967817501E-4</v>
      </c>
      <c r="F1282">
        <v>2</v>
      </c>
      <c r="G1282" t="s">
        <v>3390</v>
      </c>
      <c r="H1282" t="s">
        <v>3391</v>
      </c>
      <c r="I1282" t="str">
        <f>HYPERLINK("https://zfin.org/ZDB-GENE-000511-2")</f>
        <v>https://zfin.org/ZDB-GENE-000511-2</v>
      </c>
      <c r="J1282" t="s">
        <v>3392</v>
      </c>
    </row>
    <row r="1283" spans="1:10" x14ac:dyDescent="0.2">
      <c r="A1283">
        <v>3.6870765841487503E-8</v>
      </c>
      <c r="B1283">
        <v>-0.29067851789535498</v>
      </c>
      <c r="C1283">
        <v>8.5000000000000006E-2</v>
      </c>
      <c r="D1283">
        <v>0.219</v>
      </c>
      <c r="E1283">
        <v>5.1242990366499397E-4</v>
      </c>
      <c r="F1283">
        <v>2</v>
      </c>
      <c r="G1283" t="s">
        <v>1182</v>
      </c>
      <c r="H1283" t="s">
        <v>1183</v>
      </c>
      <c r="I1283" t="str">
        <f>HYPERLINK("https://zfin.org/ZDB-GENE-040426-1341")</f>
        <v>https://zfin.org/ZDB-GENE-040426-1341</v>
      </c>
      <c r="J1283" t="s">
        <v>1184</v>
      </c>
    </row>
    <row r="1284" spans="1:10" x14ac:dyDescent="0.2">
      <c r="A1284">
        <v>3.8815575296016199E-8</v>
      </c>
      <c r="B1284">
        <v>-0.26209252707196401</v>
      </c>
      <c r="C1284">
        <v>2.9000000000000001E-2</v>
      </c>
      <c r="D1284">
        <v>0.13500000000000001</v>
      </c>
      <c r="E1284">
        <v>5.3945886546403305E-4</v>
      </c>
      <c r="F1284">
        <v>2</v>
      </c>
      <c r="G1284" t="s">
        <v>3393</v>
      </c>
      <c r="H1284" t="s">
        <v>3394</v>
      </c>
      <c r="I1284" t="str">
        <f>HYPERLINK("https://zfin.org/ZDB-GENE-070705-218")</f>
        <v>https://zfin.org/ZDB-GENE-070705-218</v>
      </c>
      <c r="J1284" t="s">
        <v>3395</v>
      </c>
    </row>
    <row r="1285" spans="1:10" x14ac:dyDescent="0.2">
      <c r="A1285">
        <v>3.9101766618906103E-8</v>
      </c>
      <c r="B1285">
        <v>-0.26816897132314699</v>
      </c>
      <c r="C1285">
        <v>8.2000000000000003E-2</v>
      </c>
      <c r="D1285">
        <v>0.217</v>
      </c>
      <c r="E1285">
        <v>5.4343635246955702E-4</v>
      </c>
      <c r="F1285">
        <v>2</v>
      </c>
      <c r="G1285" t="s">
        <v>1477</v>
      </c>
      <c r="H1285" t="s">
        <v>1478</v>
      </c>
      <c r="I1285" t="str">
        <f>HYPERLINK("https://zfin.org/ZDB-GENE-040912-49")</f>
        <v>https://zfin.org/ZDB-GENE-040912-49</v>
      </c>
      <c r="J1285" t="s">
        <v>1479</v>
      </c>
    </row>
    <row r="1286" spans="1:10" x14ac:dyDescent="0.2">
      <c r="A1286">
        <v>3.9357879860761901E-8</v>
      </c>
      <c r="B1286">
        <v>0.342425522066229</v>
      </c>
      <c r="C1286">
        <v>0.15</v>
      </c>
      <c r="D1286">
        <v>6.9000000000000006E-2</v>
      </c>
      <c r="E1286">
        <v>5.4699581430486897E-4</v>
      </c>
      <c r="F1286">
        <v>2</v>
      </c>
      <c r="G1286" t="s">
        <v>3396</v>
      </c>
      <c r="H1286" t="s">
        <v>3397</v>
      </c>
      <c r="I1286" t="str">
        <f>HYPERLINK("https://zfin.org/ZDB-GENE-070912-411")</f>
        <v>https://zfin.org/ZDB-GENE-070912-411</v>
      </c>
      <c r="J1286" t="s">
        <v>3398</v>
      </c>
    </row>
    <row r="1287" spans="1:10" x14ac:dyDescent="0.2">
      <c r="A1287">
        <v>4.3994299783476097E-8</v>
      </c>
      <c r="B1287">
        <v>0.44483848543917498</v>
      </c>
      <c r="C1287">
        <v>0.41599999999999998</v>
      </c>
      <c r="D1287">
        <v>0.32700000000000001</v>
      </c>
      <c r="E1287">
        <v>6.1143277839075102E-4</v>
      </c>
      <c r="F1287">
        <v>2</v>
      </c>
      <c r="G1287" t="s">
        <v>3399</v>
      </c>
      <c r="H1287" t="s">
        <v>3400</v>
      </c>
      <c r="I1287" t="str">
        <f>HYPERLINK("https://zfin.org/ZDB-GENE-030113-3")</f>
        <v>https://zfin.org/ZDB-GENE-030113-3</v>
      </c>
      <c r="J1287" t="s">
        <v>3401</v>
      </c>
    </row>
    <row r="1288" spans="1:10" x14ac:dyDescent="0.2">
      <c r="A1288">
        <v>4.4315580199807902E-8</v>
      </c>
      <c r="B1288">
        <v>-0.33078599967394001</v>
      </c>
      <c r="C1288">
        <v>7.5999999999999998E-2</v>
      </c>
      <c r="D1288">
        <v>0.20499999999999999</v>
      </c>
      <c r="E1288">
        <v>6.1589793361693096E-4</v>
      </c>
      <c r="F1288">
        <v>2</v>
      </c>
      <c r="G1288" t="s">
        <v>3402</v>
      </c>
      <c r="H1288" t="s">
        <v>3403</v>
      </c>
      <c r="I1288" t="str">
        <f>HYPERLINK("https://zfin.org/ZDB-GENE-160728-147")</f>
        <v>https://zfin.org/ZDB-GENE-160728-147</v>
      </c>
      <c r="J1288" t="s">
        <v>3404</v>
      </c>
    </row>
    <row r="1289" spans="1:10" x14ac:dyDescent="0.2">
      <c r="A1289">
        <v>4.7805177115684402E-8</v>
      </c>
      <c r="B1289">
        <v>-0.27065861670508901</v>
      </c>
      <c r="C1289">
        <v>7.0000000000000007E-2</v>
      </c>
      <c r="D1289">
        <v>0.19900000000000001</v>
      </c>
      <c r="E1289">
        <v>6.64396351553782E-4</v>
      </c>
      <c r="F1289">
        <v>2</v>
      </c>
      <c r="G1289" t="s">
        <v>3405</v>
      </c>
      <c r="H1289" t="s">
        <v>3406</v>
      </c>
      <c r="I1289" t="str">
        <f>HYPERLINK("https://zfin.org/ZDB-GENE-141222-32")</f>
        <v>https://zfin.org/ZDB-GENE-141222-32</v>
      </c>
      <c r="J1289" t="s">
        <v>3407</v>
      </c>
    </row>
    <row r="1290" spans="1:10" x14ac:dyDescent="0.2">
      <c r="A1290">
        <v>4.9655909019097197E-8</v>
      </c>
      <c r="B1290">
        <v>-0.321509470671205</v>
      </c>
      <c r="C1290">
        <v>7.9000000000000001E-2</v>
      </c>
      <c r="D1290">
        <v>0.20899999999999999</v>
      </c>
      <c r="E1290">
        <v>6.9011782354741198E-4</v>
      </c>
      <c r="F1290">
        <v>2</v>
      </c>
      <c r="G1290" t="s">
        <v>3408</v>
      </c>
      <c r="H1290" t="s">
        <v>3409</v>
      </c>
      <c r="I1290" t="str">
        <f>HYPERLINK("https://zfin.org/ZDB-GENE-030131-5344")</f>
        <v>https://zfin.org/ZDB-GENE-030131-5344</v>
      </c>
      <c r="J1290" t="s">
        <v>3410</v>
      </c>
    </row>
    <row r="1291" spans="1:10" x14ac:dyDescent="0.2">
      <c r="A1291">
        <v>4.9825440896239698E-8</v>
      </c>
      <c r="B1291">
        <v>0.46597946271891599</v>
      </c>
      <c r="C1291">
        <v>0.16700000000000001</v>
      </c>
      <c r="D1291">
        <v>8.4000000000000005E-2</v>
      </c>
      <c r="E1291">
        <v>6.9247397757593999E-4</v>
      </c>
      <c r="F1291">
        <v>2</v>
      </c>
      <c r="G1291" t="s">
        <v>3411</v>
      </c>
      <c r="H1291" t="s">
        <v>3412</v>
      </c>
      <c r="I1291" t="str">
        <f>HYPERLINK("https://zfin.org/ZDB-GENE-040426-2910")</f>
        <v>https://zfin.org/ZDB-GENE-040426-2910</v>
      </c>
      <c r="J1291" t="s">
        <v>3413</v>
      </c>
    </row>
    <row r="1292" spans="1:10" x14ac:dyDescent="0.2">
      <c r="A1292">
        <v>5.2006593084394998E-8</v>
      </c>
      <c r="B1292">
        <v>0.40318253822945299</v>
      </c>
      <c r="C1292">
        <v>0.40799999999999997</v>
      </c>
      <c r="D1292">
        <v>0.31</v>
      </c>
      <c r="E1292">
        <v>7.2278763068692198E-4</v>
      </c>
      <c r="F1292">
        <v>2</v>
      </c>
      <c r="G1292" t="s">
        <v>3414</v>
      </c>
      <c r="H1292" t="s">
        <v>3415</v>
      </c>
      <c r="I1292" t="str">
        <f>HYPERLINK("https://zfin.org/ZDB-GENE-040426-2685")</f>
        <v>https://zfin.org/ZDB-GENE-040426-2685</v>
      </c>
      <c r="J1292" t="s">
        <v>3416</v>
      </c>
    </row>
    <row r="1293" spans="1:10" x14ac:dyDescent="0.2">
      <c r="A1293">
        <v>5.52026055649549E-8</v>
      </c>
      <c r="B1293">
        <v>-0.30047466017461</v>
      </c>
      <c r="C1293">
        <v>0.42499999999999999</v>
      </c>
      <c r="D1293">
        <v>0.627</v>
      </c>
      <c r="E1293">
        <v>7.6720581214174402E-4</v>
      </c>
      <c r="F1293">
        <v>2</v>
      </c>
      <c r="G1293" t="s">
        <v>3417</v>
      </c>
      <c r="H1293" t="s">
        <v>3418</v>
      </c>
      <c r="I1293" t="str">
        <f>HYPERLINK("https://zfin.org/ZDB-GENE-040426-860")</f>
        <v>https://zfin.org/ZDB-GENE-040426-860</v>
      </c>
      <c r="J1293" t="s">
        <v>3419</v>
      </c>
    </row>
    <row r="1294" spans="1:10" x14ac:dyDescent="0.2">
      <c r="A1294">
        <v>5.8473629639305498E-8</v>
      </c>
      <c r="B1294">
        <v>0.44521202807362298</v>
      </c>
      <c r="C1294">
        <v>0.17</v>
      </c>
      <c r="D1294">
        <v>8.5999999999999993E-2</v>
      </c>
      <c r="E1294">
        <v>8.1266650472706795E-4</v>
      </c>
      <c r="F1294">
        <v>2</v>
      </c>
      <c r="G1294" t="s">
        <v>3420</v>
      </c>
      <c r="H1294" t="s">
        <v>3421</v>
      </c>
      <c r="I1294" t="str">
        <f>HYPERLINK("https://zfin.org/ZDB-GENE-040426-746")</f>
        <v>https://zfin.org/ZDB-GENE-040426-746</v>
      </c>
      <c r="J1294" t="s">
        <v>3422</v>
      </c>
    </row>
    <row r="1295" spans="1:10" x14ac:dyDescent="0.2">
      <c r="A1295">
        <v>5.87097753702883E-8</v>
      </c>
      <c r="B1295">
        <v>-0.29979996136593501</v>
      </c>
      <c r="C1295">
        <v>1.7999999999999999E-2</v>
      </c>
      <c r="D1295">
        <v>0.112</v>
      </c>
      <c r="E1295">
        <v>8.1594845809626702E-4</v>
      </c>
      <c r="F1295">
        <v>2</v>
      </c>
      <c r="G1295" t="s">
        <v>3423</v>
      </c>
      <c r="H1295" t="s">
        <v>3424</v>
      </c>
      <c r="I1295" t="str">
        <f>HYPERLINK("https://zfin.org/ZDB-GENE-141212-262")</f>
        <v>https://zfin.org/ZDB-GENE-141212-262</v>
      </c>
      <c r="J1295" t="s">
        <v>3425</v>
      </c>
    </row>
    <row r="1296" spans="1:10" x14ac:dyDescent="0.2">
      <c r="A1296">
        <v>5.9040921094969298E-8</v>
      </c>
      <c r="B1296">
        <v>-0.31264555280121198</v>
      </c>
      <c r="C1296">
        <v>0.13800000000000001</v>
      </c>
      <c r="D1296">
        <v>0.28899999999999998</v>
      </c>
      <c r="E1296">
        <v>8.2055072137788405E-4</v>
      </c>
      <c r="F1296">
        <v>2</v>
      </c>
      <c r="G1296" t="s">
        <v>3426</v>
      </c>
      <c r="H1296" t="s">
        <v>3427</v>
      </c>
      <c r="I1296" t="str">
        <f>HYPERLINK("https://zfin.org/ZDB-GENE-030131-7332")</f>
        <v>https://zfin.org/ZDB-GENE-030131-7332</v>
      </c>
      <c r="J1296" t="s">
        <v>3428</v>
      </c>
    </row>
    <row r="1297" spans="1:10" x14ac:dyDescent="0.2">
      <c r="A1297">
        <v>5.9071235076269797E-8</v>
      </c>
      <c r="B1297">
        <v>-0.27618513927258997</v>
      </c>
      <c r="C1297">
        <v>0.23499999999999999</v>
      </c>
      <c r="D1297">
        <v>0.41199999999999998</v>
      </c>
      <c r="E1297">
        <v>8.20972025089998E-4</v>
      </c>
      <c r="F1297">
        <v>2</v>
      </c>
      <c r="G1297" t="s">
        <v>1438</v>
      </c>
      <c r="H1297" t="s">
        <v>1439</v>
      </c>
      <c r="I1297" t="str">
        <f>HYPERLINK("https://zfin.org/ZDB-GENE-040625-38")</f>
        <v>https://zfin.org/ZDB-GENE-040625-38</v>
      </c>
      <c r="J1297" t="s">
        <v>1440</v>
      </c>
    </row>
    <row r="1298" spans="1:10" x14ac:dyDescent="0.2">
      <c r="A1298">
        <v>6.2487204684557994E-8</v>
      </c>
      <c r="B1298">
        <v>-0.25704052211252199</v>
      </c>
      <c r="C1298">
        <v>0.12</v>
      </c>
      <c r="D1298">
        <v>0.26500000000000001</v>
      </c>
      <c r="E1298">
        <v>8.6844717070598803E-4</v>
      </c>
      <c r="F1298">
        <v>2</v>
      </c>
      <c r="G1298" t="s">
        <v>3429</v>
      </c>
      <c r="H1298" t="s">
        <v>3430</v>
      </c>
      <c r="I1298" t="str">
        <f>HYPERLINK("https://zfin.org/ZDB-GENE-061215-102")</f>
        <v>https://zfin.org/ZDB-GENE-061215-102</v>
      </c>
      <c r="J1298" t="s">
        <v>3431</v>
      </c>
    </row>
    <row r="1299" spans="1:10" x14ac:dyDescent="0.2">
      <c r="A1299">
        <v>6.3041097125540602E-8</v>
      </c>
      <c r="B1299">
        <v>-0.28495710326756202</v>
      </c>
      <c r="C1299">
        <v>0.109</v>
      </c>
      <c r="D1299">
        <v>0.252</v>
      </c>
      <c r="E1299">
        <v>8.7614516785076404E-4</v>
      </c>
      <c r="F1299">
        <v>2</v>
      </c>
      <c r="G1299" t="s">
        <v>3432</v>
      </c>
      <c r="H1299" t="s">
        <v>3433</v>
      </c>
      <c r="I1299" t="str">
        <f>HYPERLINK("https://zfin.org/ZDB-GENE-030131-8279")</f>
        <v>https://zfin.org/ZDB-GENE-030131-8279</v>
      </c>
      <c r="J1299" t="s">
        <v>3434</v>
      </c>
    </row>
    <row r="1300" spans="1:10" x14ac:dyDescent="0.2">
      <c r="A1300">
        <v>6.4793518549695494E-8</v>
      </c>
      <c r="B1300">
        <v>-0.25217113986119799</v>
      </c>
      <c r="C1300">
        <v>0.14399999999999999</v>
      </c>
      <c r="D1300">
        <v>0.30599999999999999</v>
      </c>
      <c r="E1300">
        <v>9.0050032080366904E-4</v>
      </c>
      <c r="F1300">
        <v>2</v>
      </c>
      <c r="G1300" t="s">
        <v>3435</v>
      </c>
      <c r="H1300" t="s">
        <v>3436</v>
      </c>
      <c r="I1300" t="str">
        <f>HYPERLINK("https://zfin.org/ZDB-GENE-040625-136")</f>
        <v>https://zfin.org/ZDB-GENE-040625-136</v>
      </c>
      <c r="J1300" t="s">
        <v>3437</v>
      </c>
    </row>
    <row r="1301" spans="1:10" x14ac:dyDescent="0.2">
      <c r="A1301">
        <v>8.2203396316007302E-240</v>
      </c>
      <c r="B1301">
        <v>1.5497990094233001</v>
      </c>
      <c r="C1301">
        <v>0.72699999999999998</v>
      </c>
      <c r="D1301">
        <v>3.1E-2</v>
      </c>
      <c r="E1301">
        <v>1.14246280199987E-235</v>
      </c>
      <c r="F1301">
        <v>3</v>
      </c>
      <c r="G1301" t="s">
        <v>3438</v>
      </c>
      <c r="H1301" t="s">
        <v>3439</v>
      </c>
      <c r="I1301" t="str">
        <f>HYPERLINK("https://zfin.org/ZDB-GENE-030131-2602")</f>
        <v>https://zfin.org/ZDB-GENE-030131-2602</v>
      </c>
      <c r="J1301" t="s">
        <v>3440</v>
      </c>
    </row>
    <row r="1302" spans="1:10" x14ac:dyDescent="0.2">
      <c r="A1302">
        <v>2.3758510740078501E-179</v>
      </c>
      <c r="B1302">
        <v>1.61997838691826</v>
      </c>
      <c r="C1302">
        <v>0.68200000000000005</v>
      </c>
      <c r="D1302">
        <v>4.2999999999999997E-2</v>
      </c>
      <c r="E1302">
        <v>3.3019578226561101E-175</v>
      </c>
      <c r="F1302">
        <v>3</v>
      </c>
      <c r="G1302" t="s">
        <v>495</v>
      </c>
      <c r="H1302" t="s">
        <v>496</v>
      </c>
      <c r="I1302" t="str">
        <f>HYPERLINK("https://zfin.org/ZDB-GENE-000523-2")</f>
        <v>https://zfin.org/ZDB-GENE-000523-2</v>
      </c>
      <c r="J1302" t="s">
        <v>497</v>
      </c>
    </row>
    <row r="1303" spans="1:10" x14ac:dyDescent="0.2">
      <c r="A1303">
        <v>2.0490716303823401E-173</v>
      </c>
      <c r="B1303">
        <v>2.4251630723698998</v>
      </c>
      <c r="C1303">
        <v>0.98499999999999999</v>
      </c>
      <c r="D1303">
        <v>0.13700000000000001</v>
      </c>
      <c r="E1303">
        <v>2.8477997519053802E-169</v>
      </c>
      <c r="F1303">
        <v>3</v>
      </c>
      <c r="G1303" t="s">
        <v>438</v>
      </c>
      <c r="H1303" t="s">
        <v>439</v>
      </c>
      <c r="I1303" t="str">
        <f>HYPERLINK("https://zfin.org/ZDB-GENE-040628-1")</f>
        <v>https://zfin.org/ZDB-GENE-040628-1</v>
      </c>
      <c r="J1303" t="s">
        <v>440</v>
      </c>
    </row>
    <row r="1304" spans="1:10" x14ac:dyDescent="0.2">
      <c r="A1304">
        <v>2.35136009187844E-166</v>
      </c>
      <c r="B1304">
        <v>1.02535683199821</v>
      </c>
      <c r="C1304">
        <v>0.47</v>
      </c>
      <c r="D1304">
        <v>1.7000000000000001E-2</v>
      </c>
      <c r="E1304">
        <v>3.2679202556926502E-162</v>
      </c>
      <c r="F1304">
        <v>3</v>
      </c>
      <c r="G1304" t="s">
        <v>3441</v>
      </c>
      <c r="H1304" t="s">
        <v>3442</v>
      </c>
      <c r="I1304" t="str">
        <f>HYPERLINK("https://zfin.org/ZDB-GENE-131127-287")</f>
        <v>https://zfin.org/ZDB-GENE-131127-287</v>
      </c>
      <c r="J1304" t="s">
        <v>3443</v>
      </c>
    </row>
    <row r="1305" spans="1:10" x14ac:dyDescent="0.2">
      <c r="A1305">
        <v>5.7694757392971905E-153</v>
      </c>
      <c r="B1305">
        <v>1.5514267951341301</v>
      </c>
      <c r="C1305">
        <v>0.84099999999999997</v>
      </c>
      <c r="D1305">
        <v>0.09</v>
      </c>
      <c r="E1305">
        <v>8.0184173824752396E-149</v>
      </c>
      <c r="F1305">
        <v>3</v>
      </c>
      <c r="G1305" t="s">
        <v>224</v>
      </c>
      <c r="H1305" t="s">
        <v>225</v>
      </c>
      <c r="I1305" t="str">
        <f>HYPERLINK("https://zfin.org/ZDB-GENE-030925-29")</f>
        <v>https://zfin.org/ZDB-GENE-030925-29</v>
      </c>
      <c r="J1305" t="s">
        <v>226</v>
      </c>
    </row>
    <row r="1306" spans="1:10" x14ac:dyDescent="0.2">
      <c r="A1306">
        <v>1.4352007979891799E-151</v>
      </c>
      <c r="B1306">
        <v>1.3815098072768199</v>
      </c>
      <c r="C1306">
        <v>0.59099999999999997</v>
      </c>
      <c r="D1306">
        <v>3.6999999999999998E-2</v>
      </c>
      <c r="E1306">
        <v>1.9946420690453599E-147</v>
      </c>
      <c r="F1306">
        <v>3</v>
      </c>
      <c r="G1306" t="s">
        <v>3444</v>
      </c>
      <c r="H1306" t="s">
        <v>3445</v>
      </c>
      <c r="I1306" t="str">
        <f>HYPERLINK("https://zfin.org/ZDB-GENE-990415-47")</f>
        <v>https://zfin.org/ZDB-GENE-990415-47</v>
      </c>
      <c r="J1306" t="s">
        <v>3446</v>
      </c>
    </row>
    <row r="1307" spans="1:10" x14ac:dyDescent="0.2">
      <c r="A1307">
        <v>3.8073825397468701E-141</v>
      </c>
      <c r="B1307">
        <v>1.9138959359120999</v>
      </c>
      <c r="C1307">
        <v>0.90900000000000003</v>
      </c>
      <c r="D1307">
        <v>0.122</v>
      </c>
      <c r="E1307">
        <v>5.2915002537401903E-137</v>
      </c>
      <c r="F1307">
        <v>3</v>
      </c>
      <c r="G1307" t="s">
        <v>354</v>
      </c>
      <c r="H1307" t="s">
        <v>355</v>
      </c>
      <c r="I1307" t="str">
        <f>HYPERLINK("https://zfin.org/ZDB-GENE-051127-7")</f>
        <v>https://zfin.org/ZDB-GENE-051127-7</v>
      </c>
      <c r="J1307" t="s">
        <v>356</v>
      </c>
    </row>
    <row r="1308" spans="1:10" x14ac:dyDescent="0.2">
      <c r="A1308">
        <v>6.38060575116574E-139</v>
      </c>
      <c r="B1308">
        <v>1.8673012683950201</v>
      </c>
      <c r="C1308">
        <v>0.78</v>
      </c>
      <c r="D1308">
        <v>8.5999999999999993E-2</v>
      </c>
      <c r="E1308">
        <v>8.8677658729701401E-135</v>
      </c>
      <c r="F1308">
        <v>3</v>
      </c>
      <c r="G1308" t="s">
        <v>3186</v>
      </c>
      <c r="H1308" t="s">
        <v>3187</v>
      </c>
      <c r="I1308" t="str">
        <f>HYPERLINK("https://zfin.org/ZDB-GENE-040426-2321")</f>
        <v>https://zfin.org/ZDB-GENE-040426-2321</v>
      </c>
      <c r="J1308" t="s">
        <v>3188</v>
      </c>
    </row>
    <row r="1309" spans="1:10" x14ac:dyDescent="0.2">
      <c r="A1309">
        <v>1.9762250729607702E-127</v>
      </c>
      <c r="B1309">
        <v>0.81005090304148597</v>
      </c>
      <c r="C1309">
        <v>0.28000000000000003</v>
      </c>
      <c r="D1309">
        <v>5.0000000000000001E-3</v>
      </c>
      <c r="E1309">
        <v>2.7465576064008801E-123</v>
      </c>
      <c r="F1309">
        <v>3</v>
      </c>
      <c r="G1309" t="s">
        <v>3447</v>
      </c>
      <c r="H1309" t="s">
        <v>3448</v>
      </c>
      <c r="I1309" t="str">
        <f>HYPERLINK("https://zfin.org/ZDB-GENE-040625-62")</f>
        <v>https://zfin.org/ZDB-GENE-040625-62</v>
      </c>
      <c r="J1309" t="s">
        <v>3449</v>
      </c>
    </row>
    <row r="1310" spans="1:10" x14ac:dyDescent="0.2">
      <c r="A1310">
        <v>1.6597181461350201E-126</v>
      </c>
      <c r="B1310">
        <v>1.14928281749452</v>
      </c>
      <c r="C1310">
        <v>0.41699999999999998</v>
      </c>
      <c r="D1310">
        <v>0.02</v>
      </c>
      <c r="E1310">
        <v>2.3066762794984399E-122</v>
      </c>
      <c r="F1310">
        <v>3</v>
      </c>
      <c r="G1310" t="s">
        <v>1260</v>
      </c>
      <c r="H1310" t="s">
        <v>1261</v>
      </c>
      <c r="I1310" t="str">
        <f>HYPERLINK("https://zfin.org/ZDB-GENE-061013-134")</f>
        <v>https://zfin.org/ZDB-GENE-061013-134</v>
      </c>
      <c r="J1310" t="s">
        <v>1262</v>
      </c>
    </row>
    <row r="1311" spans="1:10" x14ac:dyDescent="0.2">
      <c r="A1311">
        <v>5.7135649826466601E-126</v>
      </c>
      <c r="B1311">
        <v>0.66358976072579801</v>
      </c>
      <c r="C1311">
        <v>0.27300000000000002</v>
      </c>
      <c r="D1311">
        <v>5.0000000000000001E-3</v>
      </c>
      <c r="E1311">
        <v>7.9407126128823301E-122</v>
      </c>
      <c r="F1311">
        <v>3</v>
      </c>
      <c r="G1311" t="s">
        <v>3450</v>
      </c>
      <c r="H1311" t="s">
        <v>3451</v>
      </c>
      <c r="I1311" t="str">
        <f>HYPERLINK("https://zfin.org/ZDB-GENE-041201-1")</f>
        <v>https://zfin.org/ZDB-GENE-041201-1</v>
      </c>
      <c r="J1311" t="s">
        <v>3452</v>
      </c>
    </row>
    <row r="1312" spans="1:10" x14ac:dyDescent="0.2">
      <c r="A1312">
        <v>3.3726815723730999E-125</v>
      </c>
      <c r="B1312">
        <v>1.66953226982261</v>
      </c>
      <c r="C1312">
        <v>0.65200000000000002</v>
      </c>
      <c r="D1312">
        <v>6.6000000000000003E-2</v>
      </c>
      <c r="E1312">
        <v>4.6873528492841298E-121</v>
      </c>
      <c r="F1312">
        <v>3</v>
      </c>
      <c r="G1312" t="s">
        <v>597</v>
      </c>
      <c r="H1312" t="s">
        <v>598</v>
      </c>
      <c r="I1312" t="str">
        <f>HYPERLINK("https://zfin.org/ZDB-GENE-031001-3")</f>
        <v>https://zfin.org/ZDB-GENE-031001-3</v>
      </c>
      <c r="J1312" t="s">
        <v>599</v>
      </c>
    </row>
    <row r="1313" spans="1:10" x14ac:dyDescent="0.2">
      <c r="A1313">
        <v>7.2383053388077896E-122</v>
      </c>
      <c r="B1313">
        <v>0.82847200005367505</v>
      </c>
      <c r="C1313">
        <v>0.34100000000000003</v>
      </c>
      <c r="D1313">
        <v>1.2E-2</v>
      </c>
      <c r="E1313">
        <v>1.00597967598751E-117</v>
      </c>
      <c r="F1313">
        <v>3</v>
      </c>
      <c r="G1313" t="s">
        <v>3453</v>
      </c>
      <c r="H1313" t="s">
        <v>3454</v>
      </c>
      <c r="I1313" t="str">
        <f>HYPERLINK("https://zfin.org/ZDB-GENE-030131-3885")</f>
        <v>https://zfin.org/ZDB-GENE-030131-3885</v>
      </c>
      <c r="J1313" t="s">
        <v>3455</v>
      </c>
    </row>
    <row r="1314" spans="1:10" x14ac:dyDescent="0.2">
      <c r="A1314">
        <v>4.0460910096881901E-121</v>
      </c>
      <c r="B1314">
        <v>0.92548498322962702</v>
      </c>
      <c r="C1314">
        <v>0.39400000000000002</v>
      </c>
      <c r="D1314">
        <v>1.7999999999999999E-2</v>
      </c>
      <c r="E1314">
        <v>5.6232572852646401E-117</v>
      </c>
      <c r="F1314">
        <v>3</v>
      </c>
      <c r="G1314" t="s">
        <v>3456</v>
      </c>
      <c r="H1314" t="s">
        <v>3457</v>
      </c>
      <c r="I1314" t="str">
        <f>HYPERLINK("https://zfin.org/ZDB-GENE-020228-2")</f>
        <v>https://zfin.org/ZDB-GENE-020228-2</v>
      </c>
      <c r="J1314" t="s">
        <v>3458</v>
      </c>
    </row>
    <row r="1315" spans="1:10" x14ac:dyDescent="0.2">
      <c r="A1315">
        <v>1.1072963815362199E-118</v>
      </c>
      <c r="B1315">
        <v>0.959120564486872</v>
      </c>
      <c r="C1315">
        <v>0.51500000000000001</v>
      </c>
      <c r="D1315">
        <v>3.7999999999999999E-2</v>
      </c>
      <c r="E1315">
        <v>1.5389205110590301E-114</v>
      </c>
      <c r="F1315">
        <v>3</v>
      </c>
      <c r="G1315" t="s">
        <v>3459</v>
      </c>
      <c r="H1315" t="s">
        <v>3460</v>
      </c>
      <c r="I1315" t="str">
        <f>HYPERLINK("https://zfin.org/ZDB-GENE-030131-1986")</f>
        <v>https://zfin.org/ZDB-GENE-030131-1986</v>
      </c>
      <c r="J1315" t="s">
        <v>3461</v>
      </c>
    </row>
    <row r="1316" spans="1:10" x14ac:dyDescent="0.2">
      <c r="A1316">
        <v>1.5245689876413799E-118</v>
      </c>
      <c r="B1316">
        <v>0.92236496596622097</v>
      </c>
      <c r="C1316">
        <v>0.439</v>
      </c>
      <c r="D1316">
        <v>2.5000000000000001E-2</v>
      </c>
      <c r="E1316">
        <v>2.1188459790239901E-114</v>
      </c>
      <c r="F1316">
        <v>3</v>
      </c>
      <c r="G1316" t="s">
        <v>3462</v>
      </c>
      <c r="H1316" t="s">
        <v>3463</v>
      </c>
      <c r="I1316" t="str">
        <f>HYPERLINK("https://zfin.org/ZDB-GENE-050208-34")</f>
        <v>https://zfin.org/ZDB-GENE-050208-34</v>
      </c>
      <c r="J1316" t="s">
        <v>3464</v>
      </c>
    </row>
    <row r="1317" spans="1:10" x14ac:dyDescent="0.2">
      <c r="A1317">
        <v>4.9712782178469801E-117</v>
      </c>
      <c r="B1317">
        <v>1.37613954985554</v>
      </c>
      <c r="C1317">
        <v>0.69699999999999995</v>
      </c>
      <c r="D1317">
        <v>8.1000000000000003E-2</v>
      </c>
      <c r="E1317">
        <v>6.9090824671637305E-113</v>
      </c>
      <c r="F1317">
        <v>3</v>
      </c>
      <c r="G1317" t="s">
        <v>366</v>
      </c>
      <c r="H1317" t="s">
        <v>367</v>
      </c>
      <c r="I1317" t="str">
        <f>HYPERLINK("https://zfin.org/ZDB-GENE-070424-166")</f>
        <v>https://zfin.org/ZDB-GENE-070424-166</v>
      </c>
      <c r="J1317" t="s">
        <v>368</v>
      </c>
    </row>
    <row r="1318" spans="1:10" x14ac:dyDescent="0.2">
      <c r="A1318">
        <v>1.09060338919717E-116</v>
      </c>
      <c r="B1318">
        <v>0.58572871169256202</v>
      </c>
      <c r="C1318">
        <v>0.21199999999999999</v>
      </c>
      <c r="D1318">
        <v>2E-3</v>
      </c>
      <c r="E1318">
        <v>1.5157205903062199E-112</v>
      </c>
      <c r="F1318">
        <v>3</v>
      </c>
      <c r="G1318" t="s">
        <v>3465</v>
      </c>
      <c r="H1318" t="s">
        <v>3466</v>
      </c>
      <c r="I1318" t="str">
        <f>HYPERLINK("https://zfin.org/ZDB-GENE-030721-4")</f>
        <v>https://zfin.org/ZDB-GENE-030721-4</v>
      </c>
      <c r="J1318" t="s">
        <v>3467</v>
      </c>
    </row>
    <row r="1319" spans="1:10" x14ac:dyDescent="0.2">
      <c r="A1319">
        <v>2.624379177626E-114</v>
      </c>
      <c r="B1319">
        <v>0.99855138167936497</v>
      </c>
      <c r="C1319">
        <v>0.44700000000000001</v>
      </c>
      <c r="D1319">
        <v>2.8000000000000001E-2</v>
      </c>
      <c r="E1319">
        <v>3.6473621810646103E-110</v>
      </c>
      <c r="F1319">
        <v>3</v>
      </c>
      <c r="G1319" t="s">
        <v>648</v>
      </c>
      <c r="H1319" t="s">
        <v>649</v>
      </c>
      <c r="I1319" t="str">
        <f>HYPERLINK("https://zfin.org/ZDB-GENE-040718-92")</f>
        <v>https://zfin.org/ZDB-GENE-040718-92</v>
      </c>
      <c r="J1319" t="s">
        <v>650</v>
      </c>
    </row>
    <row r="1320" spans="1:10" x14ac:dyDescent="0.2">
      <c r="A1320">
        <v>8.0976174951197196E-114</v>
      </c>
      <c r="B1320">
        <v>1.6919269276786</v>
      </c>
      <c r="C1320">
        <v>0.68200000000000005</v>
      </c>
      <c r="D1320">
        <v>7.6999999999999999E-2</v>
      </c>
      <c r="E1320">
        <v>1.1254068794717399E-109</v>
      </c>
      <c r="F1320">
        <v>3</v>
      </c>
      <c r="G1320" t="s">
        <v>390</v>
      </c>
      <c r="H1320" t="s">
        <v>391</v>
      </c>
      <c r="I1320" t="str">
        <f>HYPERLINK("https://zfin.org/ZDB-GENE-061114-1")</f>
        <v>https://zfin.org/ZDB-GENE-061114-1</v>
      </c>
      <c r="J1320" t="s">
        <v>392</v>
      </c>
    </row>
    <row r="1321" spans="1:10" x14ac:dyDescent="0.2">
      <c r="A1321">
        <v>3.7170590001962601E-107</v>
      </c>
      <c r="B1321">
        <v>1.4400635111489399</v>
      </c>
      <c r="C1321">
        <v>0.72699999999999998</v>
      </c>
      <c r="D1321">
        <v>9.9000000000000005E-2</v>
      </c>
      <c r="E1321">
        <v>5.1659685984727604E-103</v>
      </c>
      <c r="F1321">
        <v>3</v>
      </c>
      <c r="G1321" t="s">
        <v>3468</v>
      </c>
      <c r="H1321" t="s">
        <v>3469</v>
      </c>
      <c r="I1321" t="str">
        <f>HYPERLINK("https://zfin.org/ZDB-GENE-081105-161")</f>
        <v>https://zfin.org/ZDB-GENE-081105-161</v>
      </c>
      <c r="J1321" t="s">
        <v>3470</v>
      </c>
    </row>
    <row r="1322" spans="1:10" x14ac:dyDescent="0.2">
      <c r="A1322">
        <v>2.4620107581458699E-106</v>
      </c>
      <c r="B1322">
        <v>1.4944511177478501</v>
      </c>
      <c r="C1322">
        <v>0.76500000000000001</v>
      </c>
      <c r="D1322">
        <v>0.11700000000000001</v>
      </c>
      <c r="E1322">
        <v>3.4217025516711302E-102</v>
      </c>
      <c r="F1322">
        <v>3</v>
      </c>
      <c r="G1322" t="s">
        <v>993</v>
      </c>
      <c r="H1322" t="s">
        <v>994</v>
      </c>
      <c r="I1322" t="str">
        <f>HYPERLINK("https://zfin.org/ZDB-GENE-040426-1200")</f>
        <v>https://zfin.org/ZDB-GENE-040426-1200</v>
      </c>
      <c r="J1322" t="s">
        <v>995</v>
      </c>
    </row>
    <row r="1323" spans="1:10" x14ac:dyDescent="0.2">
      <c r="A1323">
        <v>3.9187112168739902E-104</v>
      </c>
      <c r="B1323">
        <v>0.62627100236997402</v>
      </c>
      <c r="C1323">
        <v>0.29499999999999998</v>
      </c>
      <c r="D1323">
        <v>0.01</v>
      </c>
      <c r="E1323">
        <v>5.4462248492114698E-100</v>
      </c>
      <c r="F1323">
        <v>3</v>
      </c>
      <c r="G1323" t="s">
        <v>3471</v>
      </c>
      <c r="H1323" t="s">
        <v>3472</v>
      </c>
      <c r="I1323" t="str">
        <f>HYPERLINK("https://zfin.org/ZDB-GENE-030131-7868")</f>
        <v>https://zfin.org/ZDB-GENE-030131-7868</v>
      </c>
      <c r="J1323" t="s">
        <v>3473</v>
      </c>
    </row>
    <row r="1324" spans="1:10" x14ac:dyDescent="0.2">
      <c r="A1324">
        <v>3.9802728202136298E-102</v>
      </c>
      <c r="B1324">
        <v>1.37383428035342</v>
      </c>
      <c r="C1324">
        <v>0.69699999999999995</v>
      </c>
      <c r="D1324">
        <v>9.5000000000000001E-2</v>
      </c>
      <c r="E1324">
        <v>5.5317831655329003E-98</v>
      </c>
      <c r="F1324">
        <v>3</v>
      </c>
      <c r="G1324" t="s">
        <v>3474</v>
      </c>
      <c r="H1324" t="s">
        <v>3475</v>
      </c>
      <c r="I1324" t="str">
        <f>HYPERLINK("https://zfin.org/ZDB-GENE-030131-5783")</f>
        <v>https://zfin.org/ZDB-GENE-030131-5783</v>
      </c>
      <c r="J1324" t="s">
        <v>3476</v>
      </c>
    </row>
    <row r="1325" spans="1:10" x14ac:dyDescent="0.2">
      <c r="A1325">
        <v>7.6278771333319994E-95</v>
      </c>
      <c r="B1325">
        <v>0.59565600367064897</v>
      </c>
      <c r="C1325">
        <v>0.25800000000000001</v>
      </c>
      <c r="D1325">
        <v>8.0000000000000002E-3</v>
      </c>
      <c r="E1325">
        <v>1.0601223639904799E-90</v>
      </c>
      <c r="F1325">
        <v>3</v>
      </c>
      <c r="G1325" t="s">
        <v>3477</v>
      </c>
      <c r="H1325" t="s">
        <v>3478</v>
      </c>
      <c r="I1325" t="str">
        <f>HYPERLINK("https://zfin.org/ZDB-GENE-030724-6")</f>
        <v>https://zfin.org/ZDB-GENE-030724-6</v>
      </c>
      <c r="J1325" t="s">
        <v>3479</v>
      </c>
    </row>
    <row r="1326" spans="1:10" x14ac:dyDescent="0.2">
      <c r="A1326">
        <v>1.37839049431848E-94</v>
      </c>
      <c r="B1326">
        <v>1.06635390620675</v>
      </c>
      <c r="C1326">
        <v>0.36399999999999999</v>
      </c>
      <c r="D1326">
        <v>2.1999999999999999E-2</v>
      </c>
      <c r="E1326">
        <v>1.9156871090038301E-90</v>
      </c>
      <c r="F1326">
        <v>3</v>
      </c>
      <c r="G1326" t="s">
        <v>3480</v>
      </c>
      <c r="H1326" t="s">
        <v>3481</v>
      </c>
      <c r="I1326" t="str">
        <f>HYPERLINK("https://zfin.org/ZDB-GENE-061215-70")</f>
        <v>https://zfin.org/ZDB-GENE-061215-70</v>
      </c>
      <c r="J1326" t="s">
        <v>3482</v>
      </c>
    </row>
    <row r="1327" spans="1:10" x14ac:dyDescent="0.2">
      <c r="A1327">
        <v>1.0334673422854399E-86</v>
      </c>
      <c r="B1327">
        <v>1.1869509601218799</v>
      </c>
      <c r="C1327">
        <v>0.72699999999999998</v>
      </c>
      <c r="D1327">
        <v>0.123</v>
      </c>
      <c r="E1327">
        <v>1.4363129123082999E-82</v>
      </c>
      <c r="F1327">
        <v>3</v>
      </c>
      <c r="G1327" t="s">
        <v>1302</v>
      </c>
      <c r="H1327" t="s">
        <v>1303</v>
      </c>
      <c r="I1327" t="str">
        <f>HYPERLINK("https://zfin.org/ZDB-GENE-040801-250")</f>
        <v>https://zfin.org/ZDB-GENE-040801-250</v>
      </c>
      <c r="J1327" t="s">
        <v>1304</v>
      </c>
    </row>
    <row r="1328" spans="1:10" x14ac:dyDescent="0.2">
      <c r="A1328">
        <v>1.04119520062711E-86</v>
      </c>
      <c r="B1328">
        <v>0.69517760880922497</v>
      </c>
      <c r="C1328">
        <v>0.34100000000000003</v>
      </c>
      <c r="D1328">
        <v>2.1000000000000001E-2</v>
      </c>
      <c r="E1328">
        <v>1.4470530898315599E-82</v>
      </c>
      <c r="F1328">
        <v>3</v>
      </c>
      <c r="G1328" t="s">
        <v>1188</v>
      </c>
      <c r="H1328" t="s">
        <v>1189</v>
      </c>
      <c r="I1328" t="str">
        <f>HYPERLINK("https://zfin.org/ZDB-GENE-050208-747")</f>
        <v>https://zfin.org/ZDB-GENE-050208-747</v>
      </c>
      <c r="J1328" t="s">
        <v>1190</v>
      </c>
    </row>
    <row r="1329" spans="1:10" x14ac:dyDescent="0.2">
      <c r="A1329">
        <v>1.7671746083746601E-85</v>
      </c>
      <c r="B1329">
        <v>1.2184636572516601</v>
      </c>
      <c r="C1329">
        <v>0.65200000000000002</v>
      </c>
      <c r="D1329">
        <v>9.5000000000000001E-2</v>
      </c>
      <c r="E1329">
        <v>2.45601927071911E-81</v>
      </c>
      <c r="F1329">
        <v>3</v>
      </c>
      <c r="G1329" t="s">
        <v>267</v>
      </c>
      <c r="H1329" t="s">
        <v>268</v>
      </c>
      <c r="I1329" t="str">
        <f>HYPERLINK("https://zfin.org/ZDB-GENE-060616-326")</f>
        <v>https://zfin.org/ZDB-GENE-060616-326</v>
      </c>
      <c r="J1329" t="s">
        <v>269</v>
      </c>
    </row>
    <row r="1330" spans="1:10" x14ac:dyDescent="0.2">
      <c r="A1330">
        <v>1.9298925105288301E-84</v>
      </c>
      <c r="B1330">
        <v>1.0990085219350501</v>
      </c>
      <c r="C1330">
        <v>0.68200000000000005</v>
      </c>
      <c r="D1330">
        <v>0.11</v>
      </c>
      <c r="E1330">
        <v>2.6821646111329699E-80</v>
      </c>
      <c r="F1330">
        <v>3</v>
      </c>
      <c r="G1330" t="s">
        <v>1426</v>
      </c>
      <c r="H1330" t="s">
        <v>1427</v>
      </c>
      <c r="I1330" t="str">
        <f>HYPERLINK("https://zfin.org/ZDB-GENE-030825-2")</f>
        <v>https://zfin.org/ZDB-GENE-030825-2</v>
      </c>
      <c r="J1330" t="s">
        <v>1428</v>
      </c>
    </row>
    <row r="1331" spans="1:10" x14ac:dyDescent="0.2">
      <c r="A1331">
        <v>5.3273239074465101E-83</v>
      </c>
      <c r="B1331">
        <v>0.71005410803103097</v>
      </c>
      <c r="C1331">
        <v>0.28000000000000003</v>
      </c>
      <c r="D1331">
        <v>1.4E-2</v>
      </c>
      <c r="E1331">
        <v>7.4039147665691599E-79</v>
      </c>
      <c r="F1331">
        <v>3</v>
      </c>
      <c r="G1331" t="s">
        <v>1143</v>
      </c>
      <c r="H1331" t="s">
        <v>1144</v>
      </c>
      <c r="I1331" t="str">
        <f>HYPERLINK("https://zfin.org/ZDB-GENE-070206-10")</f>
        <v>https://zfin.org/ZDB-GENE-070206-10</v>
      </c>
      <c r="J1331" t="s">
        <v>1145</v>
      </c>
    </row>
    <row r="1332" spans="1:10" x14ac:dyDescent="0.2">
      <c r="A1332">
        <v>1.13516341137204E-81</v>
      </c>
      <c r="B1332">
        <v>0.54455800897463602</v>
      </c>
      <c r="C1332">
        <v>0.189</v>
      </c>
      <c r="D1332">
        <v>4.0000000000000001E-3</v>
      </c>
      <c r="E1332">
        <v>1.5776501091248599E-77</v>
      </c>
      <c r="F1332">
        <v>3</v>
      </c>
      <c r="G1332" t="s">
        <v>3483</v>
      </c>
      <c r="H1332" t="s">
        <v>3484</v>
      </c>
      <c r="I1332" t="str">
        <f>HYPERLINK("https://zfin.org/ZDB-GENE-070330-1")</f>
        <v>https://zfin.org/ZDB-GENE-070330-1</v>
      </c>
      <c r="J1332" t="s">
        <v>3485</v>
      </c>
    </row>
    <row r="1333" spans="1:10" x14ac:dyDescent="0.2">
      <c r="A1333">
        <v>3.6003200156389999E-81</v>
      </c>
      <c r="B1333">
        <v>0.84315356561695098</v>
      </c>
      <c r="C1333">
        <v>0.311</v>
      </c>
      <c r="D1333">
        <v>1.7999999999999999E-2</v>
      </c>
      <c r="E1333">
        <v>5.0037247577350901E-77</v>
      </c>
      <c r="F1333">
        <v>3</v>
      </c>
      <c r="G1333" t="s">
        <v>3486</v>
      </c>
      <c r="H1333" t="s">
        <v>3487</v>
      </c>
      <c r="I1333" t="str">
        <f>HYPERLINK("https://zfin.org/ZDB-GENE-041111-308")</f>
        <v>https://zfin.org/ZDB-GENE-041111-308</v>
      </c>
      <c r="J1333" t="s">
        <v>3488</v>
      </c>
    </row>
    <row r="1334" spans="1:10" x14ac:dyDescent="0.2">
      <c r="A1334">
        <v>6.9306377809017794E-80</v>
      </c>
      <c r="B1334">
        <v>0.83767949930381602</v>
      </c>
      <c r="C1334">
        <v>0.40200000000000002</v>
      </c>
      <c r="D1334">
        <v>3.5000000000000003E-2</v>
      </c>
      <c r="E1334">
        <v>9.6322003878973002E-76</v>
      </c>
      <c r="F1334">
        <v>3</v>
      </c>
      <c r="G1334" t="s">
        <v>1335</v>
      </c>
      <c r="H1334" t="s">
        <v>1336</v>
      </c>
      <c r="I1334" t="str">
        <f>HYPERLINK("https://zfin.org/ZDB-GENE-040426-1725")</f>
        <v>https://zfin.org/ZDB-GENE-040426-1725</v>
      </c>
      <c r="J1334" t="s">
        <v>1337</v>
      </c>
    </row>
    <row r="1335" spans="1:10" x14ac:dyDescent="0.2">
      <c r="A1335">
        <v>6.4996732235340701E-79</v>
      </c>
      <c r="B1335">
        <v>0.94166274994740795</v>
      </c>
      <c r="C1335">
        <v>0.28000000000000003</v>
      </c>
      <c r="D1335">
        <v>1.4999999999999999E-2</v>
      </c>
      <c r="E1335">
        <v>9.0332458460676499E-75</v>
      </c>
      <c r="F1335">
        <v>3</v>
      </c>
      <c r="G1335" t="s">
        <v>1456</v>
      </c>
      <c r="H1335" t="s">
        <v>1457</v>
      </c>
      <c r="I1335" t="str">
        <f>HYPERLINK("https://zfin.org/ZDB-GENE-071004-24")</f>
        <v>https://zfin.org/ZDB-GENE-071004-24</v>
      </c>
      <c r="J1335" t="s">
        <v>1458</v>
      </c>
    </row>
    <row r="1336" spans="1:10" x14ac:dyDescent="0.2">
      <c r="A1336">
        <v>1.55022134524105E-74</v>
      </c>
      <c r="B1336">
        <v>1.0140155612269499</v>
      </c>
      <c r="C1336">
        <v>0.53800000000000003</v>
      </c>
      <c r="D1336">
        <v>7.1999999999999995E-2</v>
      </c>
      <c r="E1336">
        <v>2.1544976256160099E-70</v>
      </c>
      <c r="F1336">
        <v>3</v>
      </c>
      <c r="G1336" t="s">
        <v>3489</v>
      </c>
      <c r="H1336" t="s">
        <v>3490</v>
      </c>
      <c r="I1336" t="str">
        <f>HYPERLINK("https://zfin.org/ZDB-GENE-980526-114")</f>
        <v>https://zfin.org/ZDB-GENE-980526-114</v>
      </c>
      <c r="J1336" t="s">
        <v>3491</v>
      </c>
    </row>
    <row r="1337" spans="1:10" x14ac:dyDescent="0.2">
      <c r="A1337">
        <v>3.5298999829242599E-74</v>
      </c>
      <c r="B1337">
        <v>1.0319608382824701</v>
      </c>
      <c r="C1337">
        <v>0.49199999999999999</v>
      </c>
      <c r="D1337">
        <v>0.06</v>
      </c>
      <c r="E1337">
        <v>4.90585499626813E-70</v>
      </c>
      <c r="F1337">
        <v>3</v>
      </c>
      <c r="G1337" t="s">
        <v>125</v>
      </c>
      <c r="H1337" t="s">
        <v>126</v>
      </c>
      <c r="I1337" t="str">
        <f>HYPERLINK("https://zfin.org/ZDB-GENE-070705-158")</f>
        <v>https://zfin.org/ZDB-GENE-070705-158</v>
      </c>
      <c r="J1337" t="s">
        <v>127</v>
      </c>
    </row>
    <row r="1338" spans="1:10" x14ac:dyDescent="0.2">
      <c r="A1338">
        <v>4.2862269006550203E-74</v>
      </c>
      <c r="B1338">
        <v>0.96686180647883702</v>
      </c>
      <c r="C1338">
        <v>0.432</v>
      </c>
      <c r="D1338">
        <v>4.5999999999999999E-2</v>
      </c>
      <c r="E1338">
        <v>5.9569981465303506E-70</v>
      </c>
      <c r="F1338">
        <v>3</v>
      </c>
      <c r="G1338" t="s">
        <v>270</v>
      </c>
      <c r="H1338" t="s">
        <v>271</v>
      </c>
      <c r="I1338" t="str">
        <f>HYPERLINK("https://zfin.org/ZDB-GENE-111118-2")</f>
        <v>https://zfin.org/ZDB-GENE-111118-2</v>
      </c>
      <c r="J1338" t="s">
        <v>272</v>
      </c>
    </row>
    <row r="1339" spans="1:10" x14ac:dyDescent="0.2">
      <c r="A1339">
        <v>4.3794702885821198E-74</v>
      </c>
      <c r="B1339">
        <v>1.76201642716012</v>
      </c>
      <c r="C1339">
        <v>0.98499999999999999</v>
      </c>
      <c r="D1339">
        <v>0.51</v>
      </c>
      <c r="E1339">
        <v>6.08658780707142E-70</v>
      </c>
      <c r="F1339">
        <v>3</v>
      </c>
      <c r="G1339" t="s">
        <v>3062</v>
      </c>
      <c r="H1339" t="s">
        <v>3063</v>
      </c>
      <c r="I1339" t="str">
        <f>HYPERLINK("https://zfin.org/ZDB-GENE-010502-1")</f>
        <v>https://zfin.org/ZDB-GENE-010502-1</v>
      </c>
      <c r="J1339" t="s">
        <v>3064</v>
      </c>
    </row>
    <row r="1340" spans="1:10" x14ac:dyDescent="0.2">
      <c r="A1340">
        <v>7.69855256025213E-74</v>
      </c>
      <c r="B1340">
        <v>1.49017055957037</v>
      </c>
      <c r="C1340">
        <v>0.99199999999999999</v>
      </c>
      <c r="D1340">
        <v>0.59699999999999998</v>
      </c>
      <c r="E1340">
        <v>1.06994483482384E-69</v>
      </c>
      <c r="F1340">
        <v>3</v>
      </c>
      <c r="G1340" t="s">
        <v>2873</v>
      </c>
      <c r="H1340" t="s">
        <v>2874</v>
      </c>
      <c r="I1340" t="str">
        <f>HYPERLINK("https://zfin.org/ZDB-GENE-050506-24")</f>
        <v>https://zfin.org/ZDB-GENE-050506-24</v>
      </c>
      <c r="J1340" t="s">
        <v>2875</v>
      </c>
    </row>
    <row r="1341" spans="1:10" x14ac:dyDescent="0.2">
      <c r="A1341">
        <v>1.03995637845955E-72</v>
      </c>
      <c r="B1341">
        <v>0.58862737172711299</v>
      </c>
      <c r="C1341">
        <v>0.28000000000000003</v>
      </c>
      <c r="D1341">
        <v>1.7000000000000001E-2</v>
      </c>
      <c r="E1341">
        <v>1.4453313747830901E-68</v>
      </c>
      <c r="F1341">
        <v>3</v>
      </c>
      <c r="G1341" t="s">
        <v>1239</v>
      </c>
      <c r="H1341" t="s">
        <v>1240</v>
      </c>
      <c r="I1341" t="str">
        <f>HYPERLINK("https://zfin.org/ZDB-GENE-030318-3")</f>
        <v>https://zfin.org/ZDB-GENE-030318-3</v>
      </c>
      <c r="J1341" t="s">
        <v>1241</v>
      </c>
    </row>
    <row r="1342" spans="1:10" x14ac:dyDescent="0.2">
      <c r="A1342">
        <v>3.6560587786265102E-72</v>
      </c>
      <c r="B1342">
        <v>0.429285688637773</v>
      </c>
      <c r="C1342">
        <v>0.20499999999999999</v>
      </c>
      <c r="D1342">
        <v>7.0000000000000001E-3</v>
      </c>
      <c r="E1342">
        <v>5.0811904905351303E-68</v>
      </c>
      <c r="F1342">
        <v>3</v>
      </c>
      <c r="G1342" t="s">
        <v>3492</v>
      </c>
      <c r="H1342" t="s">
        <v>3493</v>
      </c>
      <c r="I1342" t="str">
        <f>HYPERLINK("https://zfin.org/ZDB-GENE-041212-76")</f>
        <v>https://zfin.org/ZDB-GENE-041212-76</v>
      </c>
      <c r="J1342" t="s">
        <v>3494</v>
      </c>
    </row>
    <row r="1343" spans="1:10" x14ac:dyDescent="0.2">
      <c r="A1343">
        <v>3.6951935437682401E-72</v>
      </c>
      <c r="B1343">
        <v>1.6701616870018501</v>
      </c>
      <c r="C1343">
        <v>0.97</v>
      </c>
      <c r="D1343">
        <v>0.51100000000000001</v>
      </c>
      <c r="E1343">
        <v>5.1355799871290898E-68</v>
      </c>
      <c r="F1343">
        <v>3</v>
      </c>
      <c r="G1343" t="s">
        <v>764</v>
      </c>
      <c r="H1343" t="s">
        <v>765</v>
      </c>
      <c r="I1343" t="str">
        <f>HYPERLINK("https://zfin.org/ZDB-GENE-030131-5590")</f>
        <v>https://zfin.org/ZDB-GENE-030131-5590</v>
      </c>
      <c r="J1343" t="s">
        <v>766</v>
      </c>
    </row>
    <row r="1344" spans="1:10" x14ac:dyDescent="0.2">
      <c r="A1344">
        <v>5.0253692844299503E-72</v>
      </c>
      <c r="B1344">
        <v>1.68295419912041</v>
      </c>
      <c r="C1344">
        <v>0.79500000000000004</v>
      </c>
      <c r="D1344">
        <v>0.20399999999999999</v>
      </c>
      <c r="E1344">
        <v>6.9842582315007502E-68</v>
      </c>
      <c r="F1344">
        <v>3</v>
      </c>
      <c r="G1344" t="s">
        <v>1011</v>
      </c>
      <c r="H1344" t="s">
        <v>1012</v>
      </c>
      <c r="I1344" t="str">
        <f>HYPERLINK("https://zfin.org/ZDB-GENE-990415-17")</f>
        <v>https://zfin.org/ZDB-GENE-990415-17</v>
      </c>
      <c r="J1344" t="s">
        <v>1013</v>
      </c>
    </row>
    <row r="1345" spans="1:10" x14ac:dyDescent="0.2">
      <c r="A1345">
        <v>6.2072815996826497E-72</v>
      </c>
      <c r="B1345">
        <v>0.39489233927193301</v>
      </c>
      <c r="C1345">
        <v>0.20499999999999999</v>
      </c>
      <c r="D1345">
        <v>7.0000000000000001E-3</v>
      </c>
      <c r="E1345">
        <v>8.6268799672389504E-68</v>
      </c>
      <c r="F1345">
        <v>3</v>
      </c>
      <c r="G1345" t="s">
        <v>3495</v>
      </c>
      <c r="H1345" t="s">
        <v>3496</v>
      </c>
      <c r="I1345" t="str">
        <f>HYPERLINK("https://zfin.org/ZDB-GENE-050227-4")</f>
        <v>https://zfin.org/ZDB-GENE-050227-4</v>
      </c>
      <c r="J1345" t="s">
        <v>3497</v>
      </c>
    </row>
    <row r="1346" spans="1:10" x14ac:dyDescent="0.2">
      <c r="A1346">
        <v>7.5122657359553597E-71</v>
      </c>
      <c r="B1346">
        <v>1.1781088287811601</v>
      </c>
      <c r="C1346">
        <v>1</v>
      </c>
      <c r="D1346">
        <v>0.98899999999999999</v>
      </c>
      <c r="E1346">
        <v>1.04405469198308E-66</v>
      </c>
      <c r="F1346">
        <v>3</v>
      </c>
      <c r="G1346" t="s">
        <v>3498</v>
      </c>
      <c r="H1346" t="s">
        <v>3499</v>
      </c>
      <c r="I1346" t="str">
        <f>HYPERLINK("https://zfin.org/ZDB-GENE-030131-8681")</f>
        <v>https://zfin.org/ZDB-GENE-030131-8681</v>
      </c>
      <c r="J1346" t="s">
        <v>3500</v>
      </c>
    </row>
    <row r="1347" spans="1:10" x14ac:dyDescent="0.2">
      <c r="A1347">
        <v>2.5834679126186001E-70</v>
      </c>
      <c r="B1347">
        <v>1.30354238862658</v>
      </c>
      <c r="C1347">
        <v>0.73499999999999999</v>
      </c>
      <c r="D1347">
        <v>0.16200000000000001</v>
      </c>
      <c r="E1347">
        <v>3.5905037049573298E-66</v>
      </c>
      <c r="F1347">
        <v>3</v>
      </c>
      <c r="G1347" t="s">
        <v>3501</v>
      </c>
      <c r="H1347" t="s">
        <v>3502</v>
      </c>
      <c r="I1347" t="str">
        <f>HYPERLINK("https://zfin.org/ZDB-GENE-030131-5561")</f>
        <v>https://zfin.org/ZDB-GENE-030131-5561</v>
      </c>
      <c r="J1347" t="s">
        <v>3503</v>
      </c>
    </row>
    <row r="1348" spans="1:10" x14ac:dyDescent="0.2">
      <c r="A1348">
        <v>1.31107687514283E-69</v>
      </c>
      <c r="B1348">
        <v>1.0087509750437</v>
      </c>
      <c r="C1348">
        <v>0.29499999999999998</v>
      </c>
      <c r="D1348">
        <v>0.02</v>
      </c>
      <c r="E1348">
        <v>1.82213464107351E-65</v>
      </c>
      <c r="F1348">
        <v>3</v>
      </c>
      <c r="G1348" t="s">
        <v>3504</v>
      </c>
      <c r="H1348" t="s">
        <v>3505</v>
      </c>
      <c r="I1348" t="str">
        <f>HYPERLINK("https://zfin.org/ZDB-GENE-040426-2044")</f>
        <v>https://zfin.org/ZDB-GENE-040426-2044</v>
      </c>
      <c r="J1348" t="s">
        <v>3506</v>
      </c>
    </row>
    <row r="1349" spans="1:10" x14ac:dyDescent="0.2">
      <c r="A1349">
        <v>4.3872209988562702E-69</v>
      </c>
      <c r="B1349">
        <v>0.87752615977378001</v>
      </c>
      <c r="C1349">
        <v>0.38600000000000001</v>
      </c>
      <c r="D1349">
        <v>3.7999999999999999E-2</v>
      </c>
      <c r="E1349">
        <v>6.0973597442104404E-65</v>
      </c>
      <c r="F1349">
        <v>3</v>
      </c>
      <c r="G1349" t="s">
        <v>609</v>
      </c>
      <c r="H1349" t="s">
        <v>610</v>
      </c>
      <c r="I1349" t="str">
        <f>HYPERLINK("https://zfin.org/ZDB-GENE-050417-212")</f>
        <v>https://zfin.org/ZDB-GENE-050417-212</v>
      </c>
      <c r="J1349" t="s">
        <v>611</v>
      </c>
    </row>
    <row r="1350" spans="1:10" x14ac:dyDescent="0.2">
      <c r="A1350">
        <v>5.6816644386109803E-69</v>
      </c>
      <c r="B1350">
        <v>0.55673364987866902</v>
      </c>
      <c r="C1350">
        <v>0.28799999999999998</v>
      </c>
      <c r="D1350">
        <v>1.9E-2</v>
      </c>
      <c r="E1350">
        <v>7.8963772367815497E-65</v>
      </c>
      <c r="F1350">
        <v>3</v>
      </c>
      <c r="G1350" t="s">
        <v>3507</v>
      </c>
      <c r="H1350" t="s">
        <v>3508</v>
      </c>
      <c r="I1350" t="str">
        <f>HYPERLINK("https://zfin.org/ZDB-GENE-130530-667")</f>
        <v>https://zfin.org/ZDB-GENE-130530-667</v>
      </c>
      <c r="J1350" t="s">
        <v>3509</v>
      </c>
    </row>
    <row r="1351" spans="1:10" x14ac:dyDescent="0.2">
      <c r="A1351">
        <v>7.0634490193960702E-69</v>
      </c>
      <c r="B1351">
        <v>0.93548340715465905</v>
      </c>
      <c r="C1351">
        <v>0.24199999999999999</v>
      </c>
      <c r="D1351">
        <v>1.2999999999999999E-2</v>
      </c>
      <c r="E1351">
        <v>9.8167814471566596E-65</v>
      </c>
      <c r="F1351">
        <v>3</v>
      </c>
      <c r="G1351" t="s">
        <v>3510</v>
      </c>
      <c r="H1351" t="s">
        <v>3511</v>
      </c>
      <c r="I1351" t="str">
        <f>HYPERLINK("https://zfin.org/ZDB-GENE-081104-260")</f>
        <v>https://zfin.org/ZDB-GENE-081104-260</v>
      </c>
      <c r="J1351" t="s">
        <v>3512</v>
      </c>
    </row>
    <row r="1352" spans="1:10" x14ac:dyDescent="0.2">
      <c r="A1352">
        <v>4.4777200005195897E-68</v>
      </c>
      <c r="B1352">
        <v>0.92467298625051397</v>
      </c>
      <c r="C1352">
        <v>0.53800000000000003</v>
      </c>
      <c r="D1352">
        <v>8.1000000000000003E-2</v>
      </c>
      <c r="E1352">
        <v>6.2231352567221299E-64</v>
      </c>
      <c r="F1352">
        <v>3</v>
      </c>
      <c r="G1352" t="s">
        <v>3513</v>
      </c>
      <c r="H1352" t="s">
        <v>3514</v>
      </c>
      <c r="I1352" t="str">
        <f>HYPERLINK("https://zfin.org/ZDB-GENE-040625-140")</f>
        <v>https://zfin.org/ZDB-GENE-040625-140</v>
      </c>
      <c r="J1352" t="s">
        <v>3515</v>
      </c>
    </row>
    <row r="1353" spans="1:10" x14ac:dyDescent="0.2">
      <c r="A1353">
        <v>8.7802713132293694E-68</v>
      </c>
      <c r="B1353">
        <v>0.28254524473960502</v>
      </c>
      <c r="C1353">
        <v>0.129</v>
      </c>
      <c r="D1353">
        <v>1E-3</v>
      </c>
      <c r="E1353">
        <v>1.2202821071126201E-63</v>
      </c>
      <c r="F1353">
        <v>3</v>
      </c>
      <c r="G1353" t="s">
        <v>3516</v>
      </c>
      <c r="H1353" t="s">
        <v>3517</v>
      </c>
      <c r="I1353" t="str">
        <f>HYPERLINK("https://zfin.org/ZDB-GENE-040912-57")</f>
        <v>https://zfin.org/ZDB-GENE-040912-57</v>
      </c>
      <c r="J1353" t="s">
        <v>3518</v>
      </c>
    </row>
    <row r="1354" spans="1:10" x14ac:dyDescent="0.2">
      <c r="A1354">
        <v>1.0486319562614301E-66</v>
      </c>
      <c r="B1354">
        <v>1.1161086038305099</v>
      </c>
      <c r="C1354">
        <v>0.65900000000000003</v>
      </c>
      <c r="D1354">
        <v>0.13</v>
      </c>
      <c r="E1354">
        <v>1.4573886928121299E-62</v>
      </c>
      <c r="F1354">
        <v>3</v>
      </c>
      <c r="G1354" t="s">
        <v>1555</v>
      </c>
      <c r="H1354" t="s">
        <v>1556</v>
      </c>
      <c r="I1354" t="str">
        <f>HYPERLINK("https://zfin.org/ZDB-GENE-050706-71")</f>
        <v>https://zfin.org/ZDB-GENE-050706-71</v>
      </c>
      <c r="J1354" t="s">
        <v>1557</v>
      </c>
    </row>
    <row r="1355" spans="1:10" x14ac:dyDescent="0.2">
      <c r="A1355">
        <v>1.1485363137946799E-66</v>
      </c>
      <c r="B1355">
        <v>-1.62968749743807</v>
      </c>
      <c r="C1355">
        <v>1</v>
      </c>
      <c r="D1355">
        <v>1</v>
      </c>
      <c r="E1355">
        <v>1.5962357689118501E-62</v>
      </c>
      <c r="F1355">
        <v>3</v>
      </c>
      <c r="G1355" t="s">
        <v>1023</v>
      </c>
      <c r="H1355" t="s">
        <v>1024</v>
      </c>
      <c r="I1355" t="str">
        <f>HYPERLINK("https://zfin.org/ZDB-GENE-130603-61")</f>
        <v>https://zfin.org/ZDB-GENE-130603-61</v>
      </c>
      <c r="J1355" t="s">
        <v>1025</v>
      </c>
    </row>
    <row r="1356" spans="1:10" x14ac:dyDescent="0.2">
      <c r="A1356">
        <v>6.5767859761225498E-66</v>
      </c>
      <c r="B1356">
        <v>-1.8052120346494001</v>
      </c>
      <c r="C1356">
        <v>1</v>
      </c>
      <c r="D1356">
        <v>1</v>
      </c>
      <c r="E1356">
        <v>9.1404171496151207E-62</v>
      </c>
      <c r="F1356">
        <v>3</v>
      </c>
      <c r="G1356" t="s">
        <v>945</v>
      </c>
      <c r="H1356" t="s">
        <v>946</v>
      </c>
      <c r="I1356" t="str">
        <f>HYPERLINK("https://zfin.org/ZDB-GENE-080225-18")</f>
        <v>https://zfin.org/ZDB-GENE-080225-18</v>
      </c>
      <c r="J1356" t="s">
        <v>947</v>
      </c>
    </row>
    <row r="1357" spans="1:10" x14ac:dyDescent="0.2">
      <c r="A1357">
        <v>9.9908198611913498E-66</v>
      </c>
      <c r="B1357">
        <v>0.82235359570468503</v>
      </c>
      <c r="C1357">
        <v>0.5</v>
      </c>
      <c r="D1357">
        <v>6.8000000000000005E-2</v>
      </c>
      <c r="E1357">
        <v>1.3885241443083699E-61</v>
      </c>
      <c r="F1357">
        <v>3</v>
      </c>
      <c r="G1357" t="s">
        <v>432</v>
      </c>
      <c r="H1357" t="s">
        <v>433</v>
      </c>
      <c r="I1357" t="str">
        <f>HYPERLINK("https://zfin.org/ZDB-GENE-050320-136")</f>
        <v>https://zfin.org/ZDB-GENE-050320-136</v>
      </c>
      <c r="J1357" t="s">
        <v>434</v>
      </c>
    </row>
    <row r="1358" spans="1:10" x14ac:dyDescent="0.2">
      <c r="A1358">
        <v>1.16594501083266E-64</v>
      </c>
      <c r="B1358">
        <v>0.79679781913441805</v>
      </c>
      <c r="C1358">
        <v>0.5</v>
      </c>
      <c r="D1358">
        <v>6.8000000000000005E-2</v>
      </c>
      <c r="E1358">
        <v>1.6204303760552299E-60</v>
      </c>
      <c r="F1358">
        <v>3</v>
      </c>
      <c r="G1358" t="s">
        <v>117</v>
      </c>
      <c r="H1358" t="s">
        <v>118</v>
      </c>
      <c r="I1358" t="str">
        <f>HYPERLINK("https://zfin.org/ZDB-GENE-041010-45")</f>
        <v>https://zfin.org/ZDB-GENE-041010-45</v>
      </c>
      <c r="J1358" t="s">
        <v>119</v>
      </c>
    </row>
    <row r="1359" spans="1:10" x14ac:dyDescent="0.2">
      <c r="A1359">
        <v>2.1442973834948399E-64</v>
      </c>
      <c r="B1359">
        <v>0.40396414915176998</v>
      </c>
      <c r="C1359">
        <v>0.159</v>
      </c>
      <c r="D1359">
        <v>4.0000000000000001E-3</v>
      </c>
      <c r="E1359">
        <v>2.98014450358113E-60</v>
      </c>
      <c r="F1359">
        <v>3</v>
      </c>
      <c r="G1359" t="s">
        <v>3519</v>
      </c>
      <c r="H1359" t="s">
        <v>3520</v>
      </c>
      <c r="I1359" t="str">
        <f>HYPERLINK("https://zfin.org/ZDB-GENE-050916-2")</f>
        <v>https://zfin.org/ZDB-GENE-050916-2</v>
      </c>
      <c r="J1359" t="s">
        <v>3521</v>
      </c>
    </row>
    <row r="1360" spans="1:10" x14ac:dyDescent="0.2">
      <c r="A1360">
        <v>3.9360097256794101E-64</v>
      </c>
      <c r="B1360">
        <v>1.13671692270864</v>
      </c>
      <c r="C1360">
        <v>0.74199999999999999</v>
      </c>
      <c r="D1360">
        <v>0.17100000000000001</v>
      </c>
      <c r="E1360">
        <v>5.4702663167492404E-60</v>
      </c>
      <c r="F1360">
        <v>3</v>
      </c>
      <c r="G1360" t="s">
        <v>591</v>
      </c>
      <c r="H1360" t="s">
        <v>592</v>
      </c>
      <c r="I1360" t="str">
        <f>HYPERLINK("https://zfin.org/ZDB-GENE-070424-267")</f>
        <v>https://zfin.org/ZDB-GENE-070424-267</v>
      </c>
      <c r="J1360" t="s">
        <v>593</v>
      </c>
    </row>
    <row r="1361" spans="1:10" x14ac:dyDescent="0.2">
      <c r="A1361">
        <v>1.2802199548896701E-63</v>
      </c>
      <c r="B1361">
        <v>1.24769265275011</v>
      </c>
      <c r="C1361">
        <v>0.5</v>
      </c>
      <c r="D1361">
        <v>7.5999999999999998E-2</v>
      </c>
      <c r="E1361">
        <v>1.7792496933056601E-59</v>
      </c>
      <c r="F1361">
        <v>3</v>
      </c>
      <c r="G1361" t="s">
        <v>3522</v>
      </c>
      <c r="H1361" t="s">
        <v>3523</v>
      </c>
      <c r="I1361" t="str">
        <f>HYPERLINK("https://zfin.org/ZDB-GENE-120420-1")</f>
        <v>https://zfin.org/ZDB-GENE-120420-1</v>
      </c>
      <c r="J1361" t="s">
        <v>3524</v>
      </c>
    </row>
    <row r="1362" spans="1:10" x14ac:dyDescent="0.2">
      <c r="A1362">
        <v>4.1096405294917098E-63</v>
      </c>
      <c r="B1362">
        <v>1.1628286176440099</v>
      </c>
      <c r="C1362">
        <v>0.98499999999999999</v>
      </c>
      <c r="D1362">
        <v>0.65</v>
      </c>
      <c r="E1362">
        <v>5.7115784078875803E-59</v>
      </c>
      <c r="F1362">
        <v>3</v>
      </c>
      <c r="G1362" t="s">
        <v>2909</v>
      </c>
      <c r="H1362" t="s">
        <v>2910</v>
      </c>
      <c r="I1362" t="str">
        <f>HYPERLINK("https://zfin.org/ZDB-GENE-040426-2516")</f>
        <v>https://zfin.org/ZDB-GENE-040426-2516</v>
      </c>
      <c r="J1362" t="s">
        <v>2911</v>
      </c>
    </row>
    <row r="1363" spans="1:10" x14ac:dyDescent="0.2">
      <c r="A1363">
        <v>2.4182769723279201E-62</v>
      </c>
      <c r="B1363">
        <v>0.64794032236982102</v>
      </c>
      <c r="C1363">
        <v>0.27300000000000002</v>
      </c>
      <c r="D1363">
        <v>1.9E-2</v>
      </c>
      <c r="E1363">
        <v>3.3609213361413402E-58</v>
      </c>
      <c r="F1363">
        <v>3</v>
      </c>
      <c r="G1363" t="s">
        <v>3525</v>
      </c>
      <c r="H1363" t="s">
        <v>3526</v>
      </c>
      <c r="I1363" t="str">
        <f>HYPERLINK("https://zfin.org/ZDB-GENE-040426-1810")</f>
        <v>https://zfin.org/ZDB-GENE-040426-1810</v>
      </c>
      <c r="J1363" t="s">
        <v>3527</v>
      </c>
    </row>
    <row r="1364" spans="1:10" x14ac:dyDescent="0.2">
      <c r="A1364">
        <v>3.8231574296839802E-62</v>
      </c>
      <c r="B1364">
        <v>0.74991802611971303</v>
      </c>
      <c r="C1364">
        <v>0.432</v>
      </c>
      <c r="D1364">
        <v>5.2999999999999999E-2</v>
      </c>
      <c r="E1364">
        <v>5.3134241957747999E-58</v>
      </c>
      <c r="F1364">
        <v>3</v>
      </c>
      <c r="G1364" t="s">
        <v>3528</v>
      </c>
      <c r="H1364" t="s">
        <v>3529</v>
      </c>
      <c r="I1364" t="str">
        <f>HYPERLINK("https://zfin.org/ZDB-GENE-030128-3")</f>
        <v>https://zfin.org/ZDB-GENE-030128-3</v>
      </c>
      <c r="J1364" t="s">
        <v>3530</v>
      </c>
    </row>
    <row r="1365" spans="1:10" x14ac:dyDescent="0.2">
      <c r="A1365">
        <v>1.7432394688261299E-61</v>
      </c>
      <c r="B1365">
        <v>1.224113790991</v>
      </c>
      <c r="C1365">
        <v>0.78800000000000003</v>
      </c>
      <c r="D1365">
        <v>0.23200000000000001</v>
      </c>
      <c r="E1365">
        <v>2.42275421377455E-57</v>
      </c>
      <c r="F1365">
        <v>3</v>
      </c>
      <c r="G1365" t="s">
        <v>1364</v>
      </c>
      <c r="H1365" t="s">
        <v>1365</v>
      </c>
      <c r="I1365" t="str">
        <f>HYPERLINK("https://zfin.org/ZDB-GENE-040426-2448")</f>
        <v>https://zfin.org/ZDB-GENE-040426-2448</v>
      </c>
      <c r="J1365" t="s">
        <v>1366</v>
      </c>
    </row>
    <row r="1366" spans="1:10" x14ac:dyDescent="0.2">
      <c r="A1366">
        <v>2.1013050532459698E-61</v>
      </c>
      <c r="B1366">
        <v>0.58252722605138396</v>
      </c>
      <c r="C1366">
        <v>0.129</v>
      </c>
      <c r="D1366">
        <v>2E-3</v>
      </c>
      <c r="E1366">
        <v>2.9203937630012397E-57</v>
      </c>
      <c r="F1366">
        <v>3</v>
      </c>
      <c r="G1366" t="s">
        <v>3531</v>
      </c>
      <c r="H1366" t="s">
        <v>3532</v>
      </c>
      <c r="I1366" t="str">
        <f>HYPERLINK("https://zfin.org/ZDB-GENE-141216-353")</f>
        <v>https://zfin.org/ZDB-GENE-141216-353</v>
      </c>
      <c r="J1366" t="s">
        <v>3533</v>
      </c>
    </row>
    <row r="1367" spans="1:10" x14ac:dyDescent="0.2">
      <c r="A1367">
        <v>4.1611705264857702E-61</v>
      </c>
      <c r="B1367">
        <v>1.45824775259914</v>
      </c>
      <c r="C1367">
        <v>0.97699999999999998</v>
      </c>
      <c r="D1367">
        <v>0.497</v>
      </c>
      <c r="E1367">
        <v>5.78319479770993E-57</v>
      </c>
      <c r="F1367">
        <v>3</v>
      </c>
      <c r="G1367" t="s">
        <v>3534</v>
      </c>
      <c r="H1367" t="s">
        <v>3535</v>
      </c>
      <c r="I1367" t="str">
        <f>HYPERLINK("https://zfin.org/ZDB-GENE-030131-247")</f>
        <v>https://zfin.org/ZDB-GENE-030131-247</v>
      </c>
      <c r="J1367" t="s">
        <v>3536</v>
      </c>
    </row>
    <row r="1368" spans="1:10" x14ac:dyDescent="0.2">
      <c r="A1368">
        <v>6.1637780679140203E-61</v>
      </c>
      <c r="B1368">
        <v>1.84604876132097</v>
      </c>
      <c r="C1368">
        <v>0.99199999999999999</v>
      </c>
      <c r="D1368">
        <v>0.82899999999999996</v>
      </c>
      <c r="E1368">
        <v>8.5664187587868997E-57</v>
      </c>
      <c r="F1368">
        <v>3</v>
      </c>
      <c r="G1368" t="s">
        <v>2622</v>
      </c>
      <c r="H1368" t="s">
        <v>2623</v>
      </c>
      <c r="I1368" t="str">
        <f>HYPERLINK("https://zfin.org/ZDB-GENE-051030-81")</f>
        <v>https://zfin.org/ZDB-GENE-051030-81</v>
      </c>
      <c r="J1368" t="s">
        <v>2624</v>
      </c>
    </row>
    <row r="1369" spans="1:10" x14ac:dyDescent="0.2">
      <c r="A1369">
        <v>6.5545800025240496E-61</v>
      </c>
      <c r="B1369">
        <v>0.92297500727924697</v>
      </c>
      <c r="C1369">
        <v>0.52300000000000002</v>
      </c>
      <c r="D1369">
        <v>8.3000000000000004E-2</v>
      </c>
      <c r="E1369">
        <v>9.1095552875079203E-57</v>
      </c>
      <c r="F1369">
        <v>3</v>
      </c>
      <c r="G1369" t="s">
        <v>3423</v>
      </c>
      <c r="H1369" t="s">
        <v>3424</v>
      </c>
      <c r="I1369" t="str">
        <f>HYPERLINK("https://zfin.org/ZDB-GENE-141212-262")</f>
        <v>https://zfin.org/ZDB-GENE-141212-262</v>
      </c>
      <c r="J1369" t="s">
        <v>3425</v>
      </c>
    </row>
    <row r="1370" spans="1:10" x14ac:dyDescent="0.2">
      <c r="A1370">
        <v>7.60182024424616E-61</v>
      </c>
      <c r="B1370">
        <v>0.53675037263234804</v>
      </c>
      <c r="C1370">
        <v>0.22</v>
      </c>
      <c r="D1370">
        <v>1.2E-2</v>
      </c>
      <c r="E1370">
        <v>1.05650097754533E-56</v>
      </c>
      <c r="F1370">
        <v>3</v>
      </c>
      <c r="G1370" t="s">
        <v>1140</v>
      </c>
      <c r="H1370" t="s">
        <v>1141</v>
      </c>
      <c r="I1370" t="str">
        <f>HYPERLINK("https://zfin.org/ZDB-GENE-050309-265")</f>
        <v>https://zfin.org/ZDB-GENE-050309-265</v>
      </c>
      <c r="J1370" t="s">
        <v>1142</v>
      </c>
    </row>
    <row r="1371" spans="1:10" x14ac:dyDescent="0.2">
      <c r="A1371">
        <v>1.28739580397563E-60</v>
      </c>
      <c r="B1371">
        <v>0.87190764490850203</v>
      </c>
      <c r="C1371">
        <v>0.52300000000000002</v>
      </c>
      <c r="D1371">
        <v>8.4000000000000005E-2</v>
      </c>
      <c r="E1371">
        <v>1.78922268836533E-56</v>
      </c>
      <c r="F1371">
        <v>3</v>
      </c>
      <c r="G1371" t="s">
        <v>1248</v>
      </c>
      <c r="H1371" t="s">
        <v>1249</v>
      </c>
      <c r="I1371" t="str">
        <f>HYPERLINK("https://zfin.org/ZDB-GENE-050419-195")</f>
        <v>https://zfin.org/ZDB-GENE-050419-195</v>
      </c>
      <c r="J1371" t="s">
        <v>1250</v>
      </c>
    </row>
    <row r="1372" spans="1:10" x14ac:dyDescent="0.2">
      <c r="A1372">
        <v>4.52140210336904E-60</v>
      </c>
      <c r="B1372">
        <v>1.4476444709296299</v>
      </c>
      <c r="C1372">
        <v>0.89400000000000002</v>
      </c>
      <c r="D1372">
        <v>0.40799999999999997</v>
      </c>
      <c r="E1372">
        <v>6.2838446432622898E-56</v>
      </c>
      <c r="F1372">
        <v>3</v>
      </c>
      <c r="G1372" t="s">
        <v>2975</v>
      </c>
      <c r="H1372" t="s">
        <v>2976</v>
      </c>
      <c r="I1372" t="str">
        <f>HYPERLINK("https://zfin.org/ZDB-GENE-050428-1")</f>
        <v>https://zfin.org/ZDB-GENE-050428-1</v>
      </c>
      <c r="J1372" t="s">
        <v>2977</v>
      </c>
    </row>
    <row r="1373" spans="1:10" x14ac:dyDescent="0.2">
      <c r="A1373">
        <v>6.80260513230998E-59</v>
      </c>
      <c r="B1373">
        <v>1.0882902544232</v>
      </c>
      <c r="C1373">
        <v>0.432</v>
      </c>
      <c r="D1373">
        <v>5.8999999999999997E-2</v>
      </c>
      <c r="E1373">
        <v>9.4542606128844095E-55</v>
      </c>
      <c r="F1373">
        <v>3</v>
      </c>
      <c r="G1373" t="s">
        <v>166</v>
      </c>
      <c r="H1373" t="s">
        <v>167</v>
      </c>
      <c r="I1373" t="str">
        <f>HYPERLINK("https://zfin.org/ZDB-GENE-010718-1")</f>
        <v>https://zfin.org/ZDB-GENE-010718-1</v>
      </c>
      <c r="J1373" t="s">
        <v>168</v>
      </c>
    </row>
    <row r="1374" spans="1:10" x14ac:dyDescent="0.2">
      <c r="A1374">
        <v>1.92377235167216E-58</v>
      </c>
      <c r="B1374">
        <v>0.55299833804519705</v>
      </c>
      <c r="C1374">
        <v>0.24199999999999999</v>
      </c>
      <c r="D1374">
        <v>1.6E-2</v>
      </c>
      <c r="E1374">
        <v>2.6736588143539598E-54</v>
      </c>
      <c r="F1374">
        <v>3</v>
      </c>
      <c r="G1374" t="s">
        <v>3537</v>
      </c>
      <c r="H1374" t="s">
        <v>3538</v>
      </c>
      <c r="I1374" t="str">
        <f>HYPERLINK("https://zfin.org/ZDB-GENE-041010-92")</f>
        <v>https://zfin.org/ZDB-GENE-041010-92</v>
      </c>
      <c r="J1374" t="s">
        <v>3539</v>
      </c>
    </row>
    <row r="1375" spans="1:10" x14ac:dyDescent="0.2">
      <c r="A1375">
        <v>2.0931244962315102E-58</v>
      </c>
      <c r="B1375">
        <v>0.50629783051652799</v>
      </c>
      <c r="C1375">
        <v>0.20499999999999999</v>
      </c>
      <c r="D1375">
        <v>1.0999999999999999E-2</v>
      </c>
      <c r="E1375">
        <v>2.9090244248625498E-54</v>
      </c>
      <c r="F1375">
        <v>3</v>
      </c>
      <c r="G1375" t="s">
        <v>3540</v>
      </c>
      <c r="H1375" t="s">
        <v>3541</v>
      </c>
      <c r="I1375" t="str">
        <f>HYPERLINK("https://zfin.org/ZDB-GENE-040116-8")</f>
        <v>https://zfin.org/ZDB-GENE-040116-8</v>
      </c>
      <c r="J1375" t="s">
        <v>3542</v>
      </c>
    </row>
    <row r="1376" spans="1:10" x14ac:dyDescent="0.2">
      <c r="A1376">
        <v>7.6943502194787802E-57</v>
      </c>
      <c r="B1376">
        <v>1.0440153456208201</v>
      </c>
      <c r="C1376">
        <v>0.53</v>
      </c>
      <c r="D1376">
        <v>9.4E-2</v>
      </c>
      <c r="E1376">
        <v>1.0693607935031599E-52</v>
      </c>
      <c r="F1376">
        <v>3</v>
      </c>
      <c r="G1376" t="s">
        <v>318</v>
      </c>
      <c r="H1376" t="s">
        <v>319</v>
      </c>
      <c r="I1376" t="str">
        <f>HYPERLINK("https://zfin.org/ZDB-GENE-041212-9")</f>
        <v>https://zfin.org/ZDB-GENE-041212-9</v>
      </c>
      <c r="J1376" t="s">
        <v>320</v>
      </c>
    </row>
    <row r="1377" spans="1:10" x14ac:dyDescent="0.2">
      <c r="A1377">
        <v>1.49901245921116E-55</v>
      </c>
      <c r="B1377">
        <v>1.18003750934414</v>
      </c>
      <c r="C1377">
        <v>0.95499999999999996</v>
      </c>
      <c r="D1377">
        <v>0.54700000000000004</v>
      </c>
      <c r="E1377">
        <v>2.0833275158116701E-51</v>
      </c>
      <c r="F1377">
        <v>3</v>
      </c>
      <c r="G1377" t="s">
        <v>2036</v>
      </c>
      <c r="H1377" t="s">
        <v>2037</v>
      </c>
      <c r="I1377" t="str">
        <f>HYPERLINK("https://zfin.org/ZDB-GENE-001208-4")</f>
        <v>https://zfin.org/ZDB-GENE-001208-4</v>
      </c>
      <c r="J1377" t="s">
        <v>2038</v>
      </c>
    </row>
    <row r="1378" spans="1:10" x14ac:dyDescent="0.2">
      <c r="A1378">
        <v>8.0041043975937297E-55</v>
      </c>
      <c r="B1378">
        <v>0.93597387312755398</v>
      </c>
      <c r="C1378">
        <v>0.56100000000000005</v>
      </c>
      <c r="D1378">
        <v>0.10299999999999999</v>
      </c>
      <c r="E1378">
        <v>1.1124104291775799E-50</v>
      </c>
      <c r="F1378">
        <v>3</v>
      </c>
      <c r="G1378" t="s">
        <v>3543</v>
      </c>
      <c r="H1378" t="s">
        <v>3544</v>
      </c>
      <c r="I1378" t="str">
        <f>HYPERLINK("https://zfin.org/ZDB-GENE-030131-8290")</f>
        <v>https://zfin.org/ZDB-GENE-030131-8290</v>
      </c>
      <c r="J1378" t="s">
        <v>3545</v>
      </c>
    </row>
    <row r="1379" spans="1:10" x14ac:dyDescent="0.2">
      <c r="A1379">
        <v>8.9149402291759798E-55</v>
      </c>
      <c r="B1379">
        <v>0.417346530315089</v>
      </c>
      <c r="C1379">
        <v>0.159</v>
      </c>
      <c r="D1379">
        <v>6.0000000000000001E-3</v>
      </c>
      <c r="E1379">
        <v>1.2389983930508799E-50</v>
      </c>
      <c r="F1379">
        <v>3</v>
      </c>
      <c r="G1379" t="s">
        <v>3546</v>
      </c>
      <c r="H1379" t="s">
        <v>3547</v>
      </c>
      <c r="I1379" t="str">
        <f>HYPERLINK("https://zfin.org/ZDB-GENE-020620-1")</f>
        <v>https://zfin.org/ZDB-GENE-020620-1</v>
      </c>
      <c r="J1379" t="s">
        <v>3548</v>
      </c>
    </row>
    <row r="1380" spans="1:10" x14ac:dyDescent="0.2">
      <c r="A1380">
        <v>2.8873939769875198E-54</v>
      </c>
      <c r="B1380">
        <v>-1.8351576095153499</v>
      </c>
      <c r="C1380">
        <v>0.67400000000000004</v>
      </c>
      <c r="D1380">
        <v>0.94199999999999995</v>
      </c>
      <c r="E1380">
        <v>4.0129001492172601E-50</v>
      </c>
      <c r="F1380">
        <v>3</v>
      </c>
      <c r="G1380" t="s">
        <v>1065</v>
      </c>
      <c r="H1380" t="s">
        <v>1066</v>
      </c>
      <c r="I1380" t="str">
        <f>HYPERLINK("https://zfin.org/ZDB-GENE-030131-3532")</f>
        <v>https://zfin.org/ZDB-GENE-030131-3532</v>
      </c>
      <c r="J1380" t="s">
        <v>1067</v>
      </c>
    </row>
    <row r="1381" spans="1:10" x14ac:dyDescent="0.2">
      <c r="A1381">
        <v>1.02719013950017E-53</v>
      </c>
      <c r="B1381">
        <v>0.71861493508165197</v>
      </c>
      <c r="C1381">
        <v>0.34100000000000003</v>
      </c>
      <c r="D1381">
        <v>3.7999999999999999E-2</v>
      </c>
      <c r="E1381">
        <v>1.42758885587734E-49</v>
      </c>
      <c r="F1381">
        <v>3</v>
      </c>
      <c r="G1381" t="s">
        <v>3549</v>
      </c>
      <c r="H1381" t="s">
        <v>3550</v>
      </c>
      <c r="I1381" t="str">
        <f>HYPERLINK("https://zfin.org/ZDB-GENE-070410-85")</f>
        <v>https://zfin.org/ZDB-GENE-070410-85</v>
      </c>
      <c r="J1381" t="s">
        <v>3551</v>
      </c>
    </row>
    <row r="1382" spans="1:10" x14ac:dyDescent="0.2">
      <c r="A1382">
        <v>2.8535920285279898E-53</v>
      </c>
      <c r="B1382">
        <v>1.4351014250705101</v>
      </c>
      <c r="C1382">
        <v>0.97</v>
      </c>
      <c r="D1382">
        <v>0.746</v>
      </c>
      <c r="E1382">
        <v>3.9659222012482001E-49</v>
      </c>
      <c r="F1382">
        <v>3</v>
      </c>
      <c r="G1382" t="s">
        <v>2565</v>
      </c>
      <c r="H1382" t="s">
        <v>2566</v>
      </c>
      <c r="I1382" t="str">
        <f>HYPERLINK("https://zfin.org/ZDB-GENE-040912-122")</f>
        <v>https://zfin.org/ZDB-GENE-040912-122</v>
      </c>
      <c r="J1382" t="s">
        <v>2567</v>
      </c>
    </row>
    <row r="1383" spans="1:10" x14ac:dyDescent="0.2">
      <c r="A1383">
        <v>3.1147380446978198E-53</v>
      </c>
      <c r="B1383">
        <v>0.70732868424179896</v>
      </c>
      <c r="C1383">
        <v>0.40899999999999997</v>
      </c>
      <c r="D1383">
        <v>5.7000000000000002E-2</v>
      </c>
      <c r="E1383">
        <v>4.3288629345210304E-49</v>
      </c>
      <c r="F1383">
        <v>3</v>
      </c>
      <c r="G1383" t="s">
        <v>3552</v>
      </c>
      <c r="H1383" t="s">
        <v>3553</v>
      </c>
      <c r="I1383" t="str">
        <f>HYPERLINK("https://zfin.org/ZDB-GENE-070912-181")</f>
        <v>https://zfin.org/ZDB-GENE-070912-181</v>
      </c>
      <c r="J1383" t="s">
        <v>3554</v>
      </c>
    </row>
    <row r="1384" spans="1:10" x14ac:dyDescent="0.2">
      <c r="A1384">
        <v>2.46006097264598E-52</v>
      </c>
      <c r="B1384">
        <v>0.97834485192689902</v>
      </c>
      <c r="C1384">
        <v>1</v>
      </c>
      <c r="D1384">
        <v>0.72599999999999998</v>
      </c>
      <c r="E1384">
        <v>3.4189927397833799E-48</v>
      </c>
      <c r="F1384">
        <v>3</v>
      </c>
      <c r="G1384" t="s">
        <v>2786</v>
      </c>
      <c r="H1384" t="s">
        <v>2787</v>
      </c>
      <c r="I1384" t="str">
        <f>HYPERLINK("https://zfin.org/ZDB-GENE-050417-329")</f>
        <v>https://zfin.org/ZDB-GENE-050417-329</v>
      </c>
      <c r="J1384" t="s">
        <v>2788</v>
      </c>
    </row>
    <row r="1385" spans="1:10" x14ac:dyDescent="0.2">
      <c r="A1385">
        <v>3.0342826447481402E-52</v>
      </c>
      <c r="B1385">
        <v>-2.1229684273768599</v>
      </c>
      <c r="C1385">
        <v>0.83299999999999996</v>
      </c>
      <c r="D1385">
        <v>0.94699999999999995</v>
      </c>
      <c r="E1385">
        <v>4.2170460196709697E-48</v>
      </c>
      <c r="F1385">
        <v>3</v>
      </c>
      <c r="G1385" t="s">
        <v>1221</v>
      </c>
      <c r="H1385" t="s">
        <v>1222</v>
      </c>
      <c r="I1385" t="str">
        <f>HYPERLINK("https://zfin.org/ZDB-GENE-040426-1508")</f>
        <v>https://zfin.org/ZDB-GENE-040426-1508</v>
      </c>
      <c r="J1385" t="s">
        <v>1223</v>
      </c>
    </row>
    <row r="1386" spans="1:10" x14ac:dyDescent="0.2">
      <c r="A1386">
        <v>3.7549763704673797E-52</v>
      </c>
      <c r="B1386">
        <v>0.51363066306699301</v>
      </c>
      <c r="C1386">
        <v>0.21199999999999999</v>
      </c>
      <c r="D1386">
        <v>1.4E-2</v>
      </c>
      <c r="E1386">
        <v>5.2186661596755602E-48</v>
      </c>
      <c r="F1386">
        <v>3</v>
      </c>
      <c r="G1386" t="s">
        <v>3555</v>
      </c>
      <c r="H1386" t="s">
        <v>3556</v>
      </c>
      <c r="I1386" t="str">
        <f>HYPERLINK("https://zfin.org/ZDB-GENE-000125-4")</f>
        <v>https://zfin.org/ZDB-GENE-000125-4</v>
      </c>
      <c r="J1386" t="s">
        <v>3557</v>
      </c>
    </row>
    <row r="1387" spans="1:10" x14ac:dyDescent="0.2">
      <c r="A1387">
        <v>4.4671329410486097E-52</v>
      </c>
      <c r="B1387">
        <v>-0.92266177713850295</v>
      </c>
      <c r="C1387">
        <v>1</v>
      </c>
      <c r="D1387">
        <v>1</v>
      </c>
      <c r="E1387">
        <v>6.2084213614693597E-48</v>
      </c>
      <c r="F1387">
        <v>3</v>
      </c>
      <c r="G1387" t="s">
        <v>975</v>
      </c>
      <c r="H1387" t="s">
        <v>976</v>
      </c>
      <c r="I1387" t="str">
        <f>HYPERLINK("https://zfin.org/ZDB-GENE-141216-248")</f>
        <v>https://zfin.org/ZDB-GENE-141216-248</v>
      </c>
      <c r="J1387" t="s">
        <v>977</v>
      </c>
    </row>
    <row r="1388" spans="1:10" x14ac:dyDescent="0.2">
      <c r="A1388">
        <v>5.18198633364129E-52</v>
      </c>
      <c r="B1388">
        <v>1.04044031230681</v>
      </c>
      <c r="C1388">
        <v>0.57599999999999996</v>
      </c>
      <c r="D1388">
        <v>0.11899999999999999</v>
      </c>
      <c r="E1388">
        <v>7.2019246064946597E-48</v>
      </c>
      <c r="F1388">
        <v>3</v>
      </c>
      <c r="G1388" t="s">
        <v>3558</v>
      </c>
      <c r="H1388" t="s">
        <v>3559</v>
      </c>
      <c r="I1388" t="str">
        <f>HYPERLINK("https://zfin.org/ZDB-GENE-030925-31")</f>
        <v>https://zfin.org/ZDB-GENE-030925-31</v>
      </c>
      <c r="J1388" t="s">
        <v>3560</v>
      </c>
    </row>
    <row r="1389" spans="1:10" x14ac:dyDescent="0.2">
      <c r="A1389">
        <v>1.20015114705572E-51</v>
      </c>
      <c r="B1389">
        <v>0.27640573993480499</v>
      </c>
      <c r="C1389">
        <v>0.129</v>
      </c>
      <c r="D1389">
        <v>3.0000000000000001E-3</v>
      </c>
      <c r="E1389">
        <v>1.6679700641780299E-47</v>
      </c>
      <c r="F1389">
        <v>3</v>
      </c>
      <c r="G1389" t="s">
        <v>3561</v>
      </c>
      <c r="H1389" t="s">
        <v>3562</v>
      </c>
      <c r="I1389" t="str">
        <f>HYPERLINK("https://zfin.org/ZDB-GENE-081022-200")</f>
        <v>https://zfin.org/ZDB-GENE-081022-200</v>
      </c>
      <c r="J1389" t="s">
        <v>3563</v>
      </c>
    </row>
    <row r="1390" spans="1:10" x14ac:dyDescent="0.2">
      <c r="A1390">
        <v>1.7656824522800999E-51</v>
      </c>
      <c r="B1390">
        <v>-1.8156487269469399</v>
      </c>
      <c r="C1390">
        <v>0.432</v>
      </c>
      <c r="D1390">
        <v>0.89200000000000002</v>
      </c>
      <c r="E1390">
        <v>2.4539454721788798E-47</v>
      </c>
      <c r="F1390">
        <v>3</v>
      </c>
      <c r="G1390" t="s">
        <v>1116</v>
      </c>
      <c r="H1390" t="s">
        <v>1117</v>
      </c>
      <c r="I1390" t="str">
        <f>HYPERLINK("https://zfin.org/ZDB-GENE-110411-160")</f>
        <v>https://zfin.org/ZDB-GENE-110411-160</v>
      </c>
      <c r="J1390" t="s">
        <v>1118</v>
      </c>
    </row>
    <row r="1391" spans="1:10" x14ac:dyDescent="0.2">
      <c r="A1391">
        <v>2.2868741507549399E-51</v>
      </c>
      <c r="B1391">
        <v>0.99488117066062198</v>
      </c>
      <c r="C1391">
        <v>0.57599999999999996</v>
      </c>
      <c r="D1391">
        <v>0.126</v>
      </c>
      <c r="E1391">
        <v>3.1782976947192099E-47</v>
      </c>
      <c r="F1391">
        <v>3</v>
      </c>
      <c r="G1391" t="s">
        <v>2156</v>
      </c>
      <c r="H1391" t="s">
        <v>2157</v>
      </c>
      <c r="I1391" t="str">
        <f>HYPERLINK("https://zfin.org/")</f>
        <v>https://zfin.org/</v>
      </c>
    </row>
    <row r="1392" spans="1:10" x14ac:dyDescent="0.2">
      <c r="A1392">
        <v>2.30813482435959E-51</v>
      </c>
      <c r="B1392">
        <v>0.42988352187241502</v>
      </c>
      <c r="C1392">
        <v>0.17399999999999999</v>
      </c>
      <c r="D1392">
        <v>8.0000000000000002E-3</v>
      </c>
      <c r="E1392">
        <v>3.2078457788949599E-47</v>
      </c>
      <c r="F1392">
        <v>3</v>
      </c>
      <c r="G1392" t="s">
        <v>3564</v>
      </c>
      <c r="H1392" t="s">
        <v>3565</v>
      </c>
      <c r="I1392" t="str">
        <f>HYPERLINK("https://zfin.org/ZDB-GENE-030710-8")</f>
        <v>https://zfin.org/ZDB-GENE-030710-8</v>
      </c>
      <c r="J1392" t="s">
        <v>3566</v>
      </c>
    </row>
    <row r="1393" spans="1:10" x14ac:dyDescent="0.2">
      <c r="A1393">
        <v>4.4150562096054101E-51</v>
      </c>
      <c r="B1393">
        <v>0.50092781492540195</v>
      </c>
      <c r="C1393">
        <v>0.20499999999999999</v>
      </c>
      <c r="D1393">
        <v>1.2999999999999999E-2</v>
      </c>
      <c r="E1393">
        <v>6.1360451201096003E-47</v>
      </c>
      <c r="F1393">
        <v>3</v>
      </c>
      <c r="G1393" t="s">
        <v>3567</v>
      </c>
      <c r="H1393" t="s">
        <v>3568</v>
      </c>
      <c r="I1393" t="str">
        <f>HYPERLINK("https://zfin.org/ZDB-GENE-030131-9646")</f>
        <v>https://zfin.org/ZDB-GENE-030131-9646</v>
      </c>
      <c r="J1393" t="s">
        <v>3569</v>
      </c>
    </row>
    <row r="1394" spans="1:10" x14ac:dyDescent="0.2">
      <c r="A1394">
        <v>1.3783742051615701E-50</v>
      </c>
      <c r="B1394">
        <v>1.27884154543212</v>
      </c>
      <c r="C1394">
        <v>0.96199999999999997</v>
      </c>
      <c r="D1394">
        <v>0.498</v>
      </c>
      <c r="E1394">
        <v>1.91566447033355E-46</v>
      </c>
      <c r="F1394">
        <v>3</v>
      </c>
      <c r="G1394" t="s">
        <v>699</v>
      </c>
      <c r="H1394" t="s">
        <v>700</v>
      </c>
      <c r="I1394" t="str">
        <f>HYPERLINK("https://zfin.org/ZDB-GENE-030131-2830")</f>
        <v>https://zfin.org/ZDB-GENE-030131-2830</v>
      </c>
      <c r="J1394" t="s">
        <v>701</v>
      </c>
    </row>
    <row r="1395" spans="1:10" x14ac:dyDescent="0.2">
      <c r="A1395">
        <v>1.88107754911919E-50</v>
      </c>
      <c r="B1395">
        <v>1.3410132382355799</v>
      </c>
      <c r="C1395">
        <v>0.92400000000000004</v>
      </c>
      <c r="D1395">
        <v>0.46200000000000002</v>
      </c>
      <c r="E1395">
        <v>2.6143215777658498E-46</v>
      </c>
      <c r="F1395">
        <v>3</v>
      </c>
      <c r="G1395" t="s">
        <v>900</v>
      </c>
      <c r="H1395" t="s">
        <v>901</v>
      </c>
      <c r="I1395" t="str">
        <f>HYPERLINK("https://zfin.org/ZDB-GENE-040426-2879")</f>
        <v>https://zfin.org/ZDB-GENE-040426-2879</v>
      </c>
      <c r="J1395" t="s">
        <v>902</v>
      </c>
    </row>
    <row r="1396" spans="1:10" x14ac:dyDescent="0.2">
      <c r="A1396">
        <v>4.1298318138858598E-50</v>
      </c>
      <c r="B1396">
        <v>0.41786613230507502</v>
      </c>
      <c r="C1396">
        <v>0.17399999999999999</v>
      </c>
      <c r="D1396">
        <v>8.9999999999999993E-3</v>
      </c>
      <c r="E1396">
        <v>5.7396402549385603E-46</v>
      </c>
      <c r="F1396">
        <v>3</v>
      </c>
      <c r="G1396" t="s">
        <v>3570</v>
      </c>
      <c r="H1396" t="s">
        <v>3571</v>
      </c>
      <c r="I1396" t="str">
        <f>HYPERLINK("https://zfin.org/ZDB-GENE-030804-15")</f>
        <v>https://zfin.org/ZDB-GENE-030804-15</v>
      </c>
      <c r="J1396" t="s">
        <v>3572</v>
      </c>
    </row>
    <row r="1397" spans="1:10" x14ac:dyDescent="0.2">
      <c r="A1397">
        <v>6.3592355768935798E-50</v>
      </c>
      <c r="B1397">
        <v>0.99897489747941903</v>
      </c>
      <c r="C1397">
        <v>0.81799999999999995</v>
      </c>
      <c r="D1397">
        <v>0.28000000000000003</v>
      </c>
      <c r="E1397">
        <v>8.8380656047666994E-46</v>
      </c>
      <c r="F1397">
        <v>3</v>
      </c>
      <c r="G1397" t="s">
        <v>2358</v>
      </c>
      <c r="H1397" t="s">
        <v>2359</v>
      </c>
      <c r="I1397" t="str">
        <f>HYPERLINK("https://zfin.org/ZDB-GENE-020326-1")</f>
        <v>https://zfin.org/ZDB-GENE-020326-1</v>
      </c>
      <c r="J1397" t="s">
        <v>2360</v>
      </c>
    </row>
    <row r="1398" spans="1:10" x14ac:dyDescent="0.2">
      <c r="A1398">
        <v>1.1084316778502701E-49</v>
      </c>
      <c r="B1398">
        <v>1.21746186486576</v>
      </c>
      <c r="C1398">
        <v>0.93200000000000005</v>
      </c>
      <c r="D1398">
        <v>0.56699999999999995</v>
      </c>
      <c r="E1398">
        <v>1.5404983458763099E-45</v>
      </c>
      <c r="F1398">
        <v>3</v>
      </c>
      <c r="G1398" t="s">
        <v>3573</v>
      </c>
      <c r="H1398" t="s">
        <v>3574</v>
      </c>
      <c r="I1398" t="str">
        <f>HYPERLINK("https://zfin.org/ZDB-GENE-040808-35")</f>
        <v>https://zfin.org/ZDB-GENE-040808-35</v>
      </c>
      <c r="J1398" t="s">
        <v>3575</v>
      </c>
    </row>
    <row r="1399" spans="1:10" x14ac:dyDescent="0.2">
      <c r="A1399">
        <v>3.6291840607627404E-49</v>
      </c>
      <c r="B1399">
        <v>1.07154731623023</v>
      </c>
      <c r="C1399">
        <v>0.93899999999999995</v>
      </c>
      <c r="D1399">
        <v>0.56599999999999995</v>
      </c>
      <c r="E1399">
        <v>5.0438400076480599E-45</v>
      </c>
      <c r="F1399">
        <v>3</v>
      </c>
      <c r="G1399" t="s">
        <v>3366</v>
      </c>
      <c r="H1399" t="s">
        <v>3367</v>
      </c>
      <c r="I1399" t="str">
        <f>HYPERLINK("https://zfin.org/ZDB-GENE-050913-120")</f>
        <v>https://zfin.org/ZDB-GENE-050913-120</v>
      </c>
      <c r="J1399" t="s">
        <v>3368</v>
      </c>
    </row>
    <row r="1400" spans="1:10" x14ac:dyDescent="0.2">
      <c r="A1400">
        <v>1.5475292489545599E-48</v>
      </c>
      <c r="B1400">
        <v>1.04935933242266</v>
      </c>
      <c r="C1400">
        <v>0.83299999999999996</v>
      </c>
      <c r="D1400">
        <v>0.27900000000000003</v>
      </c>
      <c r="E1400">
        <v>2.1507561501970401E-44</v>
      </c>
      <c r="F1400">
        <v>3</v>
      </c>
      <c r="G1400" t="s">
        <v>942</v>
      </c>
      <c r="H1400" t="s">
        <v>943</v>
      </c>
      <c r="I1400" t="str">
        <f>HYPERLINK("https://zfin.org/ZDB-GENE-040801-218")</f>
        <v>https://zfin.org/ZDB-GENE-040801-218</v>
      </c>
      <c r="J1400" t="s">
        <v>944</v>
      </c>
    </row>
    <row r="1401" spans="1:10" x14ac:dyDescent="0.2">
      <c r="A1401">
        <v>2.0541075040573299E-48</v>
      </c>
      <c r="B1401">
        <v>0.75127296657598996</v>
      </c>
      <c r="C1401">
        <v>0.54500000000000004</v>
      </c>
      <c r="D1401">
        <v>0.108</v>
      </c>
      <c r="E1401">
        <v>2.8547986091388801E-44</v>
      </c>
      <c r="F1401">
        <v>3</v>
      </c>
      <c r="G1401" t="s">
        <v>3576</v>
      </c>
      <c r="H1401" t="s">
        <v>3577</v>
      </c>
      <c r="I1401" t="str">
        <f>HYPERLINK("https://zfin.org/ZDB-GENE-030131-984")</f>
        <v>https://zfin.org/ZDB-GENE-030131-984</v>
      </c>
      <c r="J1401" t="s">
        <v>3578</v>
      </c>
    </row>
    <row r="1402" spans="1:10" x14ac:dyDescent="0.2">
      <c r="A1402">
        <v>3.4990038924589899E-48</v>
      </c>
      <c r="B1402">
        <v>0.96678606209914797</v>
      </c>
      <c r="C1402">
        <v>0.93200000000000005</v>
      </c>
      <c r="D1402">
        <v>0.42399999999999999</v>
      </c>
      <c r="E1402">
        <v>4.8629156097394999E-44</v>
      </c>
      <c r="F1402">
        <v>3</v>
      </c>
      <c r="G1402" t="s">
        <v>2478</v>
      </c>
      <c r="H1402" t="s">
        <v>2479</v>
      </c>
      <c r="I1402" t="str">
        <f>HYPERLINK("https://zfin.org/ZDB-GENE-040426-1932")</f>
        <v>https://zfin.org/ZDB-GENE-040426-1932</v>
      </c>
      <c r="J1402" t="s">
        <v>2480</v>
      </c>
    </row>
    <row r="1403" spans="1:10" x14ac:dyDescent="0.2">
      <c r="A1403">
        <v>2.3718334250145598E-47</v>
      </c>
      <c r="B1403">
        <v>0.278824175922611</v>
      </c>
      <c r="C1403">
        <v>0.121</v>
      </c>
      <c r="D1403">
        <v>3.0000000000000001E-3</v>
      </c>
      <c r="E1403">
        <v>3.29637409408524E-43</v>
      </c>
      <c r="F1403">
        <v>3</v>
      </c>
      <c r="G1403" t="s">
        <v>3579</v>
      </c>
      <c r="H1403" t="s">
        <v>3580</v>
      </c>
      <c r="I1403" t="str">
        <f>HYPERLINK("https://zfin.org/ZDB-GENE-081104-140")</f>
        <v>https://zfin.org/ZDB-GENE-081104-140</v>
      </c>
      <c r="J1403" t="s">
        <v>3581</v>
      </c>
    </row>
    <row r="1404" spans="1:10" x14ac:dyDescent="0.2">
      <c r="A1404">
        <v>1.02460534014101E-46</v>
      </c>
      <c r="B1404">
        <v>0.343322687955538</v>
      </c>
      <c r="C1404">
        <v>0.152</v>
      </c>
      <c r="D1404">
        <v>7.0000000000000001E-3</v>
      </c>
      <c r="E1404">
        <v>1.42399650172797E-42</v>
      </c>
      <c r="F1404">
        <v>3</v>
      </c>
      <c r="G1404" t="s">
        <v>3582</v>
      </c>
      <c r="H1404" t="s">
        <v>3583</v>
      </c>
      <c r="I1404" t="str">
        <f>HYPERLINK("https://zfin.org/")</f>
        <v>https://zfin.org/</v>
      </c>
    </row>
    <row r="1405" spans="1:10" x14ac:dyDescent="0.2">
      <c r="A1405">
        <v>1.29163395127208E-46</v>
      </c>
      <c r="B1405">
        <v>1.05249159570588</v>
      </c>
      <c r="C1405">
        <v>0.93200000000000005</v>
      </c>
      <c r="D1405">
        <v>0.48299999999999998</v>
      </c>
      <c r="E1405">
        <v>1.7951128654779399E-42</v>
      </c>
      <c r="F1405">
        <v>3</v>
      </c>
      <c r="G1405" t="s">
        <v>3584</v>
      </c>
      <c r="H1405" t="s">
        <v>3585</v>
      </c>
      <c r="I1405" t="str">
        <f>HYPERLINK("https://zfin.org/ZDB-GENE-990415-216")</f>
        <v>https://zfin.org/ZDB-GENE-990415-216</v>
      </c>
      <c r="J1405" t="s">
        <v>3586</v>
      </c>
    </row>
    <row r="1406" spans="1:10" x14ac:dyDescent="0.2">
      <c r="A1406">
        <v>1.54451840769211E-46</v>
      </c>
      <c r="B1406">
        <v>0.38038414861359598</v>
      </c>
      <c r="C1406">
        <v>0.159</v>
      </c>
      <c r="D1406">
        <v>8.0000000000000002E-3</v>
      </c>
      <c r="E1406">
        <v>2.1465716830105001E-42</v>
      </c>
      <c r="F1406">
        <v>3</v>
      </c>
      <c r="G1406" t="s">
        <v>3587</v>
      </c>
      <c r="H1406" t="s">
        <v>3588</v>
      </c>
      <c r="I1406" t="str">
        <f>HYPERLINK("https://zfin.org/ZDB-GENE-060825-71")</f>
        <v>https://zfin.org/ZDB-GENE-060825-71</v>
      </c>
      <c r="J1406" t="s">
        <v>3589</v>
      </c>
    </row>
    <row r="1407" spans="1:10" x14ac:dyDescent="0.2">
      <c r="A1407">
        <v>8.2719795391321697E-46</v>
      </c>
      <c r="B1407">
        <v>0.96341641678430101</v>
      </c>
      <c r="C1407">
        <v>0.23499999999999999</v>
      </c>
      <c r="D1407">
        <v>2.1000000000000001E-2</v>
      </c>
      <c r="E1407">
        <v>1.14963971634859E-41</v>
      </c>
      <c r="F1407">
        <v>3</v>
      </c>
      <c r="G1407" t="s">
        <v>1492</v>
      </c>
      <c r="H1407" t="s">
        <v>1493</v>
      </c>
      <c r="I1407" t="str">
        <f>HYPERLINK("https://zfin.org/ZDB-GENE-990415-54")</f>
        <v>https://zfin.org/ZDB-GENE-990415-54</v>
      </c>
      <c r="J1407" t="s">
        <v>1494</v>
      </c>
    </row>
    <row r="1408" spans="1:10" x14ac:dyDescent="0.2">
      <c r="A1408">
        <v>1.6081231326428001E-45</v>
      </c>
      <c r="B1408">
        <v>0.31968773241507797</v>
      </c>
      <c r="C1408">
        <v>0.121</v>
      </c>
      <c r="D1408">
        <v>4.0000000000000001E-3</v>
      </c>
      <c r="E1408">
        <v>2.2349695297469601E-41</v>
      </c>
      <c r="F1408">
        <v>3</v>
      </c>
      <c r="G1408" t="s">
        <v>3590</v>
      </c>
      <c r="H1408" t="s">
        <v>3591</v>
      </c>
      <c r="I1408" t="str">
        <f>HYPERLINK("https://zfin.org/ZDB-GENE-990715-11")</f>
        <v>https://zfin.org/ZDB-GENE-990715-11</v>
      </c>
      <c r="J1408" t="s">
        <v>3592</v>
      </c>
    </row>
    <row r="1409" spans="1:10" x14ac:dyDescent="0.2">
      <c r="A1409">
        <v>2.09087084221804E-45</v>
      </c>
      <c r="B1409">
        <v>0.86327548420074196</v>
      </c>
      <c r="C1409">
        <v>0.371</v>
      </c>
      <c r="D1409">
        <v>5.7000000000000002E-2</v>
      </c>
      <c r="E1409">
        <v>2.90589229651463E-41</v>
      </c>
      <c r="F1409">
        <v>3</v>
      </c>
      <c r="G1409" t="s">
        <v>306</v>
      </c>
      <c r="H1409" t="s">
        <v>307</v>
      </c>
      <c r="I1409" t="str">
        <f>HYPERLINK("https://zfin.org/ZDB-GENE-091112-16")</f>
        <v>https://zfin.org/ZDB-GENE-091112-16</v>
      </c>
      <c r="J1409" t="s">
        <v>308</v>
      </c>
    </row>
    <row r="1410" spans="1:10" x14ac:dyDescent="0.2">
      <c r="A1410">
        <v>2.6004673952916901E-45</v>
      </c>
      <c r="B1410">
        <v>0.614468314024889</v>
      </c>
      <c r="C1410">
        <v>0.25</v>
      </c>
      <c r="D1410">
        <v>2.4E-2</v>
      </c>
      <c r="E1410">
        <v>3.6141295859763898E-41</v>
      </c>
      <c r="F1410">
        <v>3</v>
      </c>
      <c r="G1410" t="s">
        <v>3593</v>
      </c>
      <c r="H1410" t="s">
        <v>3594</v>
      </c>
      <c r="I1410" t="str">
        <f>HYPERLINK("https://zfin.org/ZDB-GENE-081104-345")</f>
        <v>https://zfin.org/ZDB-GENE-081104-345</v>
      </c>
      <c r="J1410" t="s">
        <v>3595</v>
      </c>
    </row>
    <row r="1411" spans="1:10" x14ac:dyDescent="0.2">
      <c r="A1411">
        <v>1.6146610327744101E-44</v>
      </c>
      <c r="B1411">
        <v>0.98760831506393498</v>
      </c>
      <c r="C1411">
        <v>0.97699999999999998</v>
      </c>
      <c r="D1411">
        <v>0.78700000000000003</v>
      </c>
      <c r="E1411">
        <v>2.2440559033498701E-40</v>
      </c>
      <c r="F1411">
        <v>3</v>
      </c>
      <c r="G1411" t="s">
        <v>2161</v>
      </c>
      <c r="H1411" t="s">
        <v>2162</v>
      </c>
      <c r="I1411" t="str">
        <f>HYPERLINK("https://zfin.org/ZDB-GENE-141216-84")</f>
        <v>https://zfin.org/ZDB-GENE-141216-84</v>
      </c>
      <c r="J1411" t="s">
        <v>2163</v>
      </c>
    </row>
    <row r="1412" spans="1:10" x14ac:dyDescent="0.2">
      <c r="A1412">
        <v>1.9194157612078099E-44</v>
      </c>
      <c r="B1412">
        <v>0.372986379809852</v>
      </c>
      <c r="C1412">
        <v>0.182</v>
      </c>
      <c r="D1412">
        <v>1.2E-2</v>
      </c>
      <c r="E1412">
        <v>2.6676040249266199E-40</v>
      </c>
      <c r="F1412">
        <v>3</v>
      </c>
      <c r="G1412" t="s">
        <v>3596</v>
      </c>
      <c r="H1412" t="s">
        <v>3597</v>
      </c>
      <c r="I1412" t="str">
        <f>HYPERLINK("https://zfin.org/ZDB-GENE-030131-9832")</f>
        <v>https://zfin.org/ZDB-GENE-030131-9832</v>
      </c>
      <c r="J1412" t="s">
        <v>3598</v>
      </c>
    </row>
    <row r="1413" spans="1:10" x14ac:dyDescent="0.2">
      <c r="A1413">
        <v>6.2760735859492796E-44</v>
      </c>
      <c r="B1413">
        <v>0.93945900362220502</v>
      </c>
      <c r="C1413">
        <v>0.89400000000000002</v>
      </c>
      <c r="D1413">
        <v>0.375</v>
      </c>
      <c r="E1413">
        <v>8.7224870697523094E-40</v>
      </c>
      <c r="F1413">
        <v>3</v>
      </c>
      <c r="G1413" t="s">
        <v>2295</v>
      </c>
      <c r="H1413" t="s">
        <v>2296</v>
      </c>
      <c r="I1413" t="str">
        <f>HYPERLINK("https://zfin.org/ZDB-GENE-050417-333")</f>
        <v>https://zfin.org/ZDB-GENE-050417-333</v>
      </c>
      <c r="J1413" t="s">
        <v>2297</v>
      </c>
    </row>
    <row r="1414" spans="1:10" x14ac:dyDescent="0.2">
      <c r="A1414">
        <v>8.2923373877436895E-44</v>
      </c>
      <c r="B1414">
        <v>0.95985713709044695</v>
      </c>
      <c r="C1414">
        <v>0.879</v>
      </c>
      <c r="D1414">
        <v>0.40500000000000003</v>
      </c>
      <c r="E1414">
        <v>1.1524690501486199E-39</v>
      </c>
      <c r="F1414">
        <v>3</v>
      </c>
      <c r="G1414" t="s">
        <v>2436</v>
      </c>
      <c r="H1414" t="s">
        <v>2437</v>
      </c>
      <c r="I1414" t="str">
        <f>HYPERLINK("https://zfin.org/ZDB-GENE-030131-977")</f>
        <v>https://zfin.org/ZDB-GENE-030131-977</v>
      </c>
      <c r="J1414" t="s">
        <v>2438</v>
      </c>
    </row>
    <row r="1415" spans="1:10" x14ac:dyDescent="0.2">
      <c r="A1415">
        <v>9.0357506587699803E-44</v>
      </c>
      <c r="B1415">
        <v>0.91852919161319901</v>
      </c>
      <c r="C1415">
        <v>0.98499999999999999</v>
      </c>
      <c r="D1415">
        <v>0.70199999999999996</v>
      </c>
      <c r="E1415">
        <v>1.25578862655585E-39</v>
      </c>
      <c r="F1415">
        <v>3</v>
      </c>
      <c r="G1415" t="s">
        <v>3599</v>
      </c>
      <c r="H1415" t="s">
        <v>3600</v>
      </c>
      <c r="I1415" t="str">
        <f>HYPERLINK("https://zfin.org/ZDB-GENE-030131-5841")</f>
        <v>https://zfin.org/ZDB-GENE-030131-5841</v>
      </c>
      <c r="J1415" t="s">
        <v>3601</v>
      </c>
    </row>
    <row r="1416" spans="1:10" x14ac:dyDescent="0.2">
      <c r="A1416">
        <v>2.9754684139399998E-43</v>
      </c>
      <c r="B1416">
        <v>1.1638706732286801</v>
      </c>
      <c r="C1416">
        <v>0.93200000000000005</v>
      </c>
      <c r="D1416">
        <v>0.57199999999999995</v>
      </c>
      <c r="E1416">
        <v>4.1353060016938102E-39</v>
      </c>
      <c r="F1416">
        <v>3</v>
      </c>
      <c r="G1416" t="s">
        <v>861</v>
      </c>
      <c r="H1416" t="s">
        <v>862</v>
      </c>
      <c r="I1416" t="str">
        <f>HYPERLINK("https://zfin.org/ZDB-GENE-030131-1226")</f>
        <v>https://zfin.org/ZDB-GENE-030131-1226</v>
      </c>
      <c r="J1416" t="s">
        <v>863</v>
      </c>
    </row>
    <row r="1417" spans="1:10" x14ac:dyDescent="0.2">
      <c r="A1417">
        <v>3.31262617209872E-43</v>
      </c>
      <c r="B1417">
        <v>0.49264424056200501</v>
      </c>
      <c r="C1417">
        <v>0.22700000000000001</v>
      </c>
      <c r="D1417">
        <v>2.1000000000000001E-2</v>
      </c>
      <c r="E1417">
        <v>4.6038878539827997E-39</v>
      </c>
      <c r="F1417">
        <v>3</v>
      </c>
      <c r="G1417" t="s">
        <v>552</v>
      </c>
      <c r="H1417" t="s">
        <v>553</v>
      </c>
      <c r="I1417" t="str">
        <f>HYPERLINK("https://zfin.org/ZDB-GENE-141212-371")</f>
        <v>https://zfin.org/ZDB-GENE-141212-371</v>
      </c>
      <c r="J1417" t="s">
        <v>554</v>
      </c>
    </row>
    <row r="1418" spans="1:10" x14ac:dyDescent="0.2">
      <c r="A1418">
        <v>3.34410159643368E-43</v>
      </c>
      <c r="B1418">
        <v>0.57214278015324305</v>
      </c>
      <c r="C1418">
        <v>0.21199999999999999</v>
      </c>
      <c r="D1418">
        <v>1.7999999999999999E-2</v>
      </c>
      <c r="E1418">
        <v>4.6476323987235303E-39</v>
      </c>
      <c r="F1418">
        <v>3</v>
      </c>
      <c r="G1418" t="s">
        <v>3602</v>
      </c>
      <c r="H1418" t="s">
        <v>3603</v>
      </c>
      <c r="I1418" t="str">
        <f>HYPERLINK("https://zfin.org/ZDB-GENE-020426-1")</f>
        <v>https://zfin.org/ZDB-GENE-020426-1</v>
      </c>
      <c r="J1418" t="s">
        <v>3604</v>
      </c>
    </row>
    <row r="1419" spans="1:10" x14ac:dyDescent="0.2">
      <c r="A1419">
        <v>4.8364583882532198E-43</v>
      </c>
      <c r="B1419">
        <v>-1.6825633394967201</v>
      </c>
      <c r="C1419">
        <v>0.50800000000000001</v>
      </c>
      <c r="D1419">
        <v>0.85199999999999998</v>
      </c>
      <c r="E1419">
        <v>6.7217098679943306E-39</v>
      </c>
      <c r="F1419">
        <v>3</v>
      </c>
      <c r="G1419" t="s">
        <v>1275</v>
      </c>
      <c r="H1419" t="s">
        <v>1276</v>
      </c>
      <c r="I1419" t="str">
        <f>HYPERLINK("https://zfin.org/ZDB-GENE-050522-73")</f>
        <v>https://zfin.org/ZDB-GENE-050522-73</v>
      </c>
      <c r="J1419" t="s">
        <v>1277</v>
      </c>
    </row>
    <row r="1420" spans="1:10" x14ac:dyDescent="0.2">
      <c r="A1420">
        <v>6.7690919268918902E-43</v>
      </c>
      <c r="B1420">
        <v>0.71883411044840995</v>
      </c>
      <c r="C1420">
        <v>0.55300000000000005</v>
      </c>
      <c r="D1420">
        <v>0.123</v>
      </c>
      <c r="E1420">
        <v>9.4076839599943497E-39</v>
      </c>
      <c r="F1420">
        <v>3</v>
      </c>
      <c r="G1420" t="s">
        <v>3605</v>
      </c>
      <c r="H1420" t="s">
        <v>3606</v>
      </c>
      <c r="I1420" t="str">
        <f>HYPERLINK("https://zfin.org/ZDB-GENE-040426-2043")</f>
        <v>https://zfin.org/ZDB-GENE-040426-2043</v>
      </c>
      <c r="J1420" t="s">
        <v>3607</v>
      </c>
    </row>
    <row r="1421" spans="1:10" x14ac:dyDescent="0.2">
      <c r="A1421">
        <v>7.9653842614890197E-43</v>
      </c>
      <c r="B1421">
        <v>1.0638342618947101</v>
      </c>
      <c r="C1421">
        <v>0.53800000000000003</v>
      </c>
      <c r="D1421">
        <v>0.13</v>
      </c>
      <c r="E1421">
        <v>1.10702910466174E-38</v>
      </c>
      <c r="F1421">
        <v>3</v>
      </c>
      <c r="G1421" t="s">
        <v>3608</v>
      </c>
      <c r="H1421" t="s">
        <v>3609</v>
      </c>
      <c r="I1421" t="str">
        <f>HYPERLINK("https://zfin.org/ZDB-GENE-040426-1016")</f>
        <v>https://zfin.org/ZDB-GENE-040426-1016</v>
      </c>
      <c r="J1421" t="s">
        <v>3610</v>
      </c>
    </row>
    <row r="1422" spans="1:10" x14ac:dyDescent="0.2">
      <c r="A1422">
        <v>8.9983751950043998E-43</v>
      </c>
      <c r="B1422">
        <v>0.79942982002856799</v>
      </c>
      <c r="C1422">
        <v>1</v>
      </c>
      <c r="D1422">
        <v>0.95699999999999996</v>
      </c>
      <c r="E1422">
        <v>1.25059418460171E-38</v>
      </c>
      <c r="F1422">
        <v>3</v>
      </c>
      <c r="G1422" t="s">
        <v>1293</v>
      </c>
      <c r="H1422" t="s">
        <v>1294</v>
      </c>
      <c r="I1422" t="str">
        <f>HYPERLINK("https://zfin.org/ZDB-GENE-030131-9744")</f>
        <v>https://zfin.org/ZDB-GENE-030131-9744</v>
      </c>
      <c r="J1422" t="s">
        <v>1295</v>
      </c>
    </row>
    <row r="1423" spans="1:10" x14ac:dyDescent="0.2">
      <c r="A1423">
        <v>2.27135235608189E-42</v>
      </c>
      <c r="B1423">
        <v>0.40247318541593302</v>
      </c>
      <c r="C1423">
        <v>0.13600000000000001</v>
      </c>
      <c r="D1423">
        <v>6.0000000000000001E-3</v>
      </c>
      <c r="E1423">
        <v>3.15672550448261E-38</v>
      </c>
      <c r="F1423">
        <v>3</v>
      </c>
      <c r="G1423" t="s">
        <v>3611</v>
      </c>
      <c r="H1423" t="s">
        <v>3612</v>
      </c>
      <c r="I1423" t="str">
        <f>HYPERLINK("https://zfin.org/")</f>
        <v>https://zfin.org/</v>
      </c>
    </row>
    <row r="1424" spans="1:10" x14ac:dyDescent="0.2">
      <c r="A1424">
        <v>2.3549023300263201E-42</v>
      </c>
      <c r="B1424">
        <v>1.03731531918308</v>
      </c>
      <c r="C1424">
        <v>0.74199999999999999</v>
      </c>
      <c r="D1424">
        <v>0.26800000000000002</v>
      </c>
      <c r="E1424">
        <v>3.27284325827057E-38</v>
      </c>
      <c r="F1424">
        <v>3</v>
      </c>
      <c r="G1424" t="s">
        <v>3435</v>
      </c>
      <c r="H1424" t="s">
        <v>3436</v>
      </c>
      <c r="I1424" t="str">
        <f>HYPERLINK("https://zfin.org/ZDB-GENE-040625-136")</f>
        <v>https://zfin.org/ZDB-GENE-040625-136</v>
      </c>
      <c r="J1424" t="s">
        <v>3437</v>
      </c>
    </row>
    <row r="1425" spans="1:10" x14ac:dyDescent="0.2">
      <c r="A1425">
        <v>2.5384342710490799E-41</v>
      </c>
      <c r="B1425">
        <v>0.89771731879696104</v>
      </c>
      <c r="C1425">
        <v>0.93899999999999995</v>
      </c>
      <c r="D1425">
        <v>0.503</v>
      </c>
      <c r="E1425">
        <v>3.52791594990402E-37</v>
      </c>
      <c r="F1425">
        <v>3</v>
      </c>
      <c r="G1425" t="s">
        <v>3613</v>
      </c>
      <c r="H1425" t="s">
        <v>3614</v>
      </c>
      <c r="I1425" t="str">
        <f>HYPERLINK("https://zfin.org/ZDB-GENE-040426-2682")</f>
        <v>https://zfin.org/ZDB-GENE-040426-2682</v>
      </c>
      <c r="J1425" t="s">
        <v>3615</v>
      </c>
    </row>
    <row r="1426" spans="1:10" x14ac:dyDescent="0.2">
      <c r="A1426">
        <v>2.8153004824611498E-41</v>
      </c>
      <c r="B1426">
        <v>0.50975288882500402</v>
      </c>
      <c r="C1426">
        <v>0.28799999999999998</v>
      </c>
      <c r="D1426">
        <v>3.5999999999999997E-2</v>
      </c>
      <c r="E1426">
        <v>3.9127046105245098E-37</v>
      </c>
      <c r="F1426">
        <v>3</v>
      </c>
      <c r="G1426" t="s">
        <v>3616</v>
      </c>
      <c r="H1426" t="s">
        <v>3617</v>
      </c>
      <c r="I1426" t="str">
        <f>HYPERLINK("https://zfin.org/ZDB-GENE-030219-167")</f>
        <v>https://zfin.org/ZDB-GENE-030219-167</v>
      </c>
      <c r="J1426" t="s">
        <v>3618</v>
      </c>
    </row>
    <row r="1427" spans="1:10" x14ac:dyDescent="0.2">
      <c r="A1427">
        <v>3.8567590287144298E-41</v>
      </c>
      <c r="B1427">
        <v>0.92718817434078704</v>
      </c>
      <c r="C1427">
        <v>0.96199999999999997</v>
      </c>
      <c r="D1427">
        <v>0.55800000000000005</v>
      </c>
      <c r="E1427">
        <v>5.3601236981073104E-37</v>
      </c>
      <c r="F1427">
        <v>3</v>
      </c>
      <c r="G1427" t="s">
        <v>2813</v>
      </c>
      <c r="H1427" t="s">
        <v>2814</v>
      </c>
      <c r="I1427" t="str">
        <f>HYPERLINK("https://zfin.org/ZDB-GENE-040426-1112")</f>
        <v>https://zfin.org/ZDB-GENE-040426-1112</v>
      </c>
      <c r="J1427" t="s">
        <v>2815</v>
      </c>
    </row>
    <row r="1428" spans="1:10" x14ac:dyDescent="0.2">
      <c r="A1428">
        <v>6.34214897677152E-41</v>
      </c>
      <c r="B1428">
        <v>0.39477235664934301</v>
      </c>
      <c r="C1428">
        <v>0.13600000000000001</v>
      </c>
      <c r="D1428">
        <v>6.0000000000000001E-3</v>
      </c>
      <c r="E1428">
        <v>8.8143186479170608E-37</v>
      </c>
      <c r="F1428">
        <v>3</v>
      </c>
      <c r="G1428" t="s">
        <v>3619</v>
      </c>
      <c r="H1428" t="s">
        <v>3620</v>
      </c>
      <c r="I1428" t="str">
        <f>HYPERLINK("https://zfin.org/ZDB-GENE-060815-4")</f>
        <v>https://zfin.org/ZDB-GENE-060815-4</v>
      </c>
      <c r="J1428" t="s">
        <v>3621</v>
      </c>
    </row>
    <row r="1429" spans="1:10" x14ac:dyDescent="0.2">
      <c r="A1429">
        <v>8.4453583273996697E-41</v>
      </c>
      <c r="B1429">
        <v>0.92670532419514895</v>
      </c>
      <c r="C1429">
        <v>0.79500000000000004</v>
      </c>
      <c r="D1429">
        <v>0.30399999999999999</v>
      </c>
      <c r="E1429">
        <v>1.17373590034201E-36</v>
      </c>
      <c r="F1429">
        <v>3</v>
      </c>
      <c r="G1429" t="s">
        <v>3622</v>
      </c>
      <c r="H1429" t="s">
        <v>3623</v>
      </c>
      <c r="I1429" t="str">
        <f>HYPERLINK("https://zfin.org/ZDB-GENE-030131-5541")</f>
        <v>https://zfin.org/ZDB-GENE-030131-5541</v>
      </c>
      <c r="J1429" t="s">
        <v>3624</v>
      </c>
    </row>
    <row r="1430" spans="1:10" x14ac:dyDescent="0.2">
      <c r="A1430">
        <v>8.4514586012664602E-41</v>
      </c>
      <c r="B1430">
        <v>0.59269312488655101</v>
      </c>
      <c r="C1430">
        <v>0.20499999999999999</v>
      </c>
      <c r="D1430">
        <v>1.7000000000000001E-2</v>
      </c>
      <c r="E1430">
        <v>1.17458371640401E-36</v>
      </c>
      <c r="F1430">
        <v>3</v>
      </c>
      <c r="G1430" t="s">
        <v>3625</v>
      </c>
      <c r="H1430" t="s">
        <v>3626</v>
      </c>
      <c r="I1430" t="str">
        <f>HYPERLINK("https://zfin.org/ZDB-GENE-050208-620")</f>
        <v>https://zfin.org/ZDB-GENE-050208-620</v>
      </c>
      <c r="J1430" t="s">
        <v>3627</v>
      </c>
    </row>
    <row r="1431" spans="1:10" x14ac:dyDescent="0.2">
      <c r="A1431">
        <v>1.18378698602497E-40</v>
      </c>
      <c r="B1431">
        <v>0.92850349313753699</v>
      </c>
      <c r="C1431">
        <v>0.68200000000000005</v>
      </c>
      <c r="D1431">
        <v>0.216</v>
      </c>
      <c r="E1431">
        <v>1.6452271531774999E-36</v>
      </c>
      <c r="F1431">
        <v>3</v>
      </c>
      <c r="G1431" t="s">
        <v>3432</v>
      </c>
      <c r="H1431" t="s">
        <v>3433</v>
      </c>
      <c r="I1431" t="str">
        <f>HYPERLINK("https://zfin.org/ZDB-GENE-030131-8279")</f>
        <v>https://zfin.org/ZDB-GENE-030131-8279</v>
      </c>
      <c r="J1431" t="s">
        <v>3434</v>
      </c>
    </row>
    <row r="1432" spans="1:10" x14ac:dyDescent="0.2">
      <c r="A1432">
        <v>1.79961119017371E-40</v>
      </c>
      <c r="B1432">
        <v>-1.19104223012518</v>
      </c>
      <c r="C1432">
        <v>0.80300000000000005</v>
      </c>
      <c r="D1432">
        <v>0.93400000000000005</v>
      </c>
      <c r="E1432">
        <v>2.50109963210342E-36</v>
      </c>
      <c r="F1432">
        <v>3</v>
      </c>
      <c r="G1432" t="s">
        <v>1305</v>
      </c>
      <c r="H1432" t="s">
        <v>1306</v>
      </c>
      <c r="I1432" t="str">
        <f>HYPERLINK("https://zfin.org/ZDB-GENE-030131-8304")</f>
        <v>https://zfin.org/ZDB-GENE-030131-8304</v>
      </c>
      <c r="J1432" t="s">
        <v>1307</v>
      </c>
    </row>
    <row r="1433" spans="1:10" x14ac:dyDescent="0.2">
      <c r="A1433">
        <v>2.11727269168339E-40</v>
      </c>
      <c r="B1433">
        <v>-1.5867070035322799</v>
      </c>
      <c r="C1433">
        <v>0.371</v>
      </c>
      <c r="D1433">
        <v>0.82</v>
      </c>
      <c r="E1433">
        <v>2.94258558690157E-36</v>
      </c>
      <c r="F1433">
        <v>3</v>
      </c>
      <c r="G1433" t="s">
        <v>1227</v>
      </c>
      <c r="H1433" t="s">
        <v>1228</v>
      </c>
      <c r="I1433" t="str">
        <f>HYPERLINK("https://zfin.org/ZDB-GENE-060316-3")</f>
        <v>https://zfin.org/ZDB-GENE-060316-3</v>
      </c>
      <c r="J1433" t="s">
        <v>1229</v>
      </c>
    </row>
    <row r="1434" spans="1:10" x14ac:dyDescent="0.2">
      <c r="A1434">
        <v>4.1563099794785096E-40</v>
      </c>
      <c r="B1434">
        <v>-1.2051594812562401</v>
      </c>
      <c r="C1434">
        <v>0.61399999999999999</v>
      </c>
      <c r="D1434">
        <v>0.88200000000000001</v>
      </c>
      <c r="E1434">
        <v>5.7764396094792303E-36</v>
      </c>
      <c r="F1434">
        <v>3</v>
      </c>
      <c r="G1434" t="s">
        <v>1149</v>
      </c>
      <c r="H1434" t="s">
        <v>1150</v>
      </c>
      <c r="I1434" t="str">
        <f>HYPERLINK("https://zfin.org/ZDB-GENE-040426-2768")</f>
        <v>https://zfin.org/ZDB-GENE-040426-2768</v>
      </c>
      <c r="J1434" t="s">
        <v>1151</v>
      </c>
    </row>
    <row r="1435" spans="1:10" x14ac:dyDescent="0.2">
      <c r="A1435">
        <v>4.4145862461549E-40</v>
      </c>
      <c r="B1435">
        <v>0.96775022337546501</v>
      </c>
      <c r="C1435">
        <v>0.93899999999999995</v>
      </c>
      <c r="D1435">
        <v>0.74299999999999999</v>
      </c>
      <c r="E1435">
        <v>6.1353919649060893E-36</v>
      </c>
      <c r="F1435">
        <v>3</v>
      </c>
      <c r="G1435" t="s">
        <v>909</v>
      </c>
      <c r="H1435" t="s">
        <v>910</v>
      </c>
      <c r="I1435" t="str">
        <f>HYPERLINK("https://zfin.org/ZDB-GENE-030326-2")</f>
        <v>https://zfin.org/ZDB-GENE-030326-2</v>
      </c>
      <c r="J1435" t="s">
        <v>911</v>
      </c>
    </row>
    <row r="1436" spans="1:10" x14ac:dyDescent="0.2">
      <c r="A1436">
        <v>5.4142610630145499E-40</v>
      </c>
      <c r="B1436">
        <v>1.05827881756269</v>
      </c>
      <c r="C1436">
        <v>0.68200000000000005</v>
      </c>
      <c r="D1436">
        <v>0.22</v>
      </c>
      <c r="E1436">
        <v>7.5247400253776106E-36</v>
      </c>
      <c r="F1436">
        <v>3</v>
      </c>
      <c r="G1436" t="s">
        <v>1074</v>
      </c>
      <c r="H1436" t="s">
        <v>1075</v>
      </c>
      <c r="I1436" t="str">
        <f>HYPERLINK("https://zfin.org/ZDB-GENE-030131-5590")</f>
        <v>https://zfin.org/ZDB-GENE-030131-5590</v>
      </c>
      <c r="J1436" t="s">
        <v>1076</v>
      </c>
    </row>
    <row r="1437" spans="1:10" x14ac:dyDescent="0.2">
      <c r="A1437">
        <v>5.6819584591502297E-40</v>
      </c>
      <c r="B1437">
        <v>0.295385067067234</v>
      </c>
      <c r="C1437">
        <v>0.129</v>
      </c>
      <c r="D1437">
        <v>6.0000000000000001E-3</v>
      </c>
      <c r="E1437">
        <v>7.8967858665269898E-36</v>
      </c>
      <c r="F1437">
        <v>3</v>
      </c>
      <c r="G1437" t="s">
        <v>3628</v>
      </c>
      <c r="H1437" t="s">
        <v>3629</v>
      </c>
      <c r="I1437" t="str">
        <f>HYPERLINK("https://zfin.org/ZDB-GENE-040426-752")</f>
        <v>https://zfin.org/ZDB-GENE-040426-752</v>
      </c>
      <c r="J1437" t="s">
        <v>3630</v>
      </c>
    </row>
    <row r="1438" spans="1:10" x14ac:dyDescent="0.2">
      <c r="A1438">
        <v>1.16397421370612E-39</v>
      </c>
      <c r="B1438">
        <v>1.3150632299321099</v>
      </c>
      <c r="C1438">
        <v>0.99199999999999999</v>
      </c>
      <c r="D1438">
        <v>0.91100000000000003</v>
      </c>
      <c r="E1438">
        <v>1.6176913622087701E-35</v>
      </c>
      <c r="F1438">
        <v>3</v>
      </c>
      <c r="G1438" t="s">
        <v>3631</v>
      </c>
      <c r="H1438" t="s">
        <v>3632</v>
      </c>
      <c r="I1438" t="str">
        <f>HYPERLINK("https://zfin.org/ZDB-GENE-051120-126")</f>
        <v>https://zfin.org/ZDB-GENE-051120-126</v>
      </c>
      <c r="J1438" t="s">
        <v>3633</v>
      </c>
    </row>
    <row r="1439" spans="1:10" x14ac:dyDescent="0.2">
      <c r="A1439">
        <v>1.30140424317388E-39</v>
      </c>
      <c r="B1439">
        <v>-1.3037393028497</v>
      </c>
      <c r="C1439">
        <v>0.79500000000000004</v>
      </c>
      <c r="D1439">
        <v>0.92500000000000004</v>
      </c>
      <c r="E1439">
        <v>1.8086916171630599E-35</v>
      </c>
      <c r="F1439">
        <v>3</v>
      </c>
      <c r="G1439" t="s">
        <v>1167</v>
      </c>
      <c r="H1439" t="s">
        <v>1168</v>
      </c>
      <c r="I1439" t="str">
        <f>HYPERLINK("https://zfin.org/ZDB-GENE-061201-9")</f>
        <v>https://zfin.org/ZDB-GENE-061201-9</v>
      </c>
      <c r="J1439" t="s">
        <v>1169</v>
      </c>
    </row>
    <row r="1440" spans="1:10" x14ac:dyDescent="0.2">
      <c r="A1440">
        <v>1.5178009608432799E-39</v>
      </c>
      <c r="B1440">
        <v>0.48070605125752602</v>
      </c>
      <c r="C1440">
        <v>0.26500000000000001</v>
      </c>
      <c r="D1440">
        <v>3.1E-2</v>
      </c>
      <c r="E1440">
        <v>2.10943977537999E-35</v>
      </c>
      <c r="F1440">
        <v>3</v>
      </c>
      <c r="G1440" t="s">
        <v>3634</v>
      </c>
      <c r="H1440" t="s">
        <v>3635</v>
      </c>
      <c r="I1440" t="str">
        <f>HYPERLINK("https://zfin.org/ZDB-GENE-041114-141")</f>
        <v>https://zfin.org/ZDB-GENE-041114-141</v>
      </c>
      <c r="J1440" t="s">
        <v>3636</v>
      </c>
    </row>
    <row r="1441" spans="1:10" x14ac:dyDescent="0.2">
      <c r="A1441">
        <v>1.6722264424386698E-39</v>
      </c>
      <c r="B1441">
        <v>0.81863350202485896</v>
      </c>
      <c r="C1441">
        <v>0.81100000000000005</v>
      </c>
      <c r="D1441">
        <v>0.28399999999999997</v>
      </c>
      <c r="E1441">
        <v>2.32406030970127E-35</v>
      </c>
      <c r="F1441">
        <v>3</v>
      </c>
      <c r="G1441" t="s">
        <v>3637</v>
      </c>
      <c r="H1441" t="s">
        <v>3638</v>
      </c>
      <c r="I1441" t="str">
        <f>HYPERLINK("https://zfin.org/ZDB-GENE-990714-24")</f>
        <v>https://zfin.org/ZDB-GENE-990714-24</v>
      </c>
      <c r="J1441" t="s">
        <v>3639</v>
      </c>
    </row>
    <row r="1442" spans="1:10" x14ac:dyDescent="0.2">
      <c r="A1442">
        <v>4.1440978332777901E-39</v>
      </c>
      <c r="B1442">
        <v>0.70273232297230703</v>
      </c>
      <c r="C1442">
        <v>0.44700000000000001</v>
      </c>
      <c r="D1442">
        <v>0.09</v>
      </c>
      <c r="E1442">
        <v>5.7594671686894704E-35</v>
      </c>
      <c r="F1442">
        <v>3</v>
      </c>
      <c r="G1442" t="s">
        <v>3640</v>
      </c>
      <c r="H1442" t="s">
        <v>3641</v>
      </c>
      <c r="I1442" t="str">
        <f>HYPERLINK("https://zfin.org/ZDB-GENE-040830-1")</f>
        <v>https://zfin.org/ZDB-GENE-040830-1</v>
      </c>
      <c r="J1442" t="s">
        <v>3642</v>
      </c>
    </row>
    <row r="1443" spans="1:10" x14ac:dyDescent="0.2">
      <c r="A1443">
        <v>9.7318924652363404E-39</v>
      </c>
      <c r="B1443">
        <v>0.95654778369676696</v>
      </c>
      <c r="C1443">
        <v>0.94699999999999995</v>
      </c>
      <c r="D1443">
        <v>0.60499999999999998</v>
      </c>
      <c r="E1443">
        <v>1.3525384148185499E-34</v>
      </c>
      <c r="F1443">
        <v>3</v>
      </c>
      <c r="G1443" t="s">
        <v>2442</v>
      </c>
      <c r="H1443" t="s">
        <v>2443</v>
      </c>
      <c r="I1443" t="str">
        <f>HYPERLINK("https://zfin.org/ZDB-GENE-040801-10")</f>
        <v>https://zfin.org/ZDB-GENE-040801-10</v>
      </c>
      <c r="J1443" t="s">
        <v>2444</v>
      </c>
    </row>
    <row r="1444" spans="1:10" x14ac:dyDescent="0.2">
      <c r="A1444">
        <v>9.7586814556278294E-39</v>
      </c>
      <c r="B1444">
        <v>0.836134502243567</v>
      </c>
      <c r="C1444">
        <v>0.79500000000000004</v>
      </c>
      <c r="D1444">
        <v>0.28899999999999998</v>
      </c>
      <c r="E1444">
        <v>1.3562615487031599E-34</v>
      </c>
      <c r="F1444">
        <v>3</v>
      </c>
      <c r="G1444" t="s">
        <v>3357</v>
      </c>
      <c r="H1444" t="s">
        <v>3358</v>
      </c>
      <c r="I1444" t="str">
        <f>HYPERLINK("https://zfin.org/ZDB-GENE-030131-693")</f>
        <v>https://zfin.org/ZDB-GENE-030131-693</v>
      </c>
      <c r="J1444" t="s">
        <v>3359</v>
      </c>
    </row>
    <row r="1445" spans="1:10" x14ac:dyDescent="0.2">
      <c r="A1445">
        <v>1.0166548918014699E-38</v>
      </c>
      <c r="B1445">
        <v>0.72939738254041797</v>
      </c>
      <c r="C1445">
        <v>0.40899999999999997</v>
      </c>
      <c r="D1445">
        <v>7.9000000000000001E-2</v>
      </c>
      <c r="E1445">
        <v>1.41294696862569E-34</v>
      </c>
      <c r="F1445">
        <v>3</v>
      </c>
      <c r="G1445" t="s">
        <v>1396</v>
      </c>
      <c r="H1445" t="s">
        <v>1397</v>
      </c>
      <c r="I1445" t="str">
        <f>HYPERLINK("https://zfin.org/ZDB-GENE-060825-166")</f>
        <v>https://zfin.org/ZDB-GENE-060825-166</v>
      </c>
      <c r="J1445" t="s">
        <v>1398</v>
      </c>
    </row>
    <row r="1446" spans="1:10" x14ac:dyDescent="0.2">
      <c r="A1446">
        <v>1.2209120985907599E-38</v>
      </c>
      <c r="B1446">
        <v>0.59046158694138995</v>
      </c>
      <c r="C1446">
        <v>0.25</v>
      </c>
      <c r="D1446">
        <v>2.9000000000000001E-2</v>
      </c>
      <c r="E1446">
        <v>1.69682363462143E-34</v>
      </c>
      <c r="F1446">
        <v>3</v>
      </c>
      <c r="G1446" t="s">
        <v>3643</v>
      </c>
      <c r="H1446" t="s">
        <v>3644</v>
      </c>
      <c r="I1446" t="str">
        <f>HYPERLINK("https://zfin.org/ZDB-GENE-060427-2")</f>
        <v>https://zfin.org/ZDB-GENE-060427-2</v>
      </c>
      <c r="J1446" t="s">
        <v>3645</v>
      </c>
    </row>
    <row r="1447" spans="1:10" x14ac:dyDescent="0.2">
      <c r="A1447">
        <v>2.06956625156871E-38</v>
      </c>
      <c r="B1447">
        <v>0.28433354497202501</v>
      </c>
      <c r="C1447">
        <v>0.114</v>
      </c>
      <c r="D1447">
        <v>4.0000000000000001E-3</v>
      </c>
      <c r="E1447">
        <v>2.8762831764301999E-34</v>
      </c>
      <c r="F1447">
        <v>3</v>
      </c>
      <c r="G1447" t="s">
        <v>3646</v>
      </c>
      <c r="H1447" t="s">
        <v>3647</v>
      </c>
      <c r="I1447" t="str">
        <f>HYPERLINK("https://zfin.org/ZDB-GENE-040801-125")</f>
        <v>https://zfin.org/ZDB-GENE-040801-125</v>
      </c>
      <c r="J1447" t="s">
        <v>3648</v>
      </c>
    </row>
    <row r="1448" spans="1:10" x14ac:dyDescent="0.2">
      <c r="A1448">
        <v>2.2845913206092399E-38</v>
      </c>
      <c r="B1448">
        <v>-1.5395271012502201</v>
      </c>
      <c r="C1448">
        <v>0.379</v>
      </c>
      <c r="D1448">
        <v>0.80100000000000005</v>
      </c>
      <c r="E1448">
        <v>3.17512501738272E-34</v>
      </c>
      <c r="F1448">
        <v>3</v>
      </c>
      <c r="G1448" t="s">
        <v>1405</v>
      </c>
      <c r="H1448" t="s">
        <v>1406</v>
      </c>
      <c r="I1448" t="str">
        <f>HYPERLINK("https://zfin.org/ZDB-GENE-031002-9")</f>
        <v>https://zfin.org/ZDB-GENE-031002-9</v>
      </c>
      <c r="J1448" t="s">
        <v>1407</v>
      </c>
    </row>
    <row r="1449" spans="1:10" x14ac:dyDescent="0.2">
      <c r="A1449">
        <v>4.2398215484699698E-38</v>
      </c>
      <c r="B1449">
        <v>0.64426409266849305</v>
      </c>
      <c r="C1449">
        <v>0.50800000000000001</v>
      </c>
      <c r="D1449">
        <v>0.114</v>
      </c>
      <c r="E1449">
        <v>5.8925039880635698E-34</v>
      </c>
      <c r="F1449">
        <v>3</v>
      </c>
      <c r="G1449" t="s">
        <v>3649</v>
      </c>
      <c r="H1449" t="s">
        <v>3650</v>
      </c>
      <c r="I1449" t="str">
        <f>HYPERLINK("https://zfin.org/ZDB-GENE-060825-43")</f>
        <v>https://zfin.org/ZDB-GENE-060825-43</v>
      </c>
      <c r="J1449" t="s">
        <v>3651</v>
      </c>
    </row>
    <row r="1450" spans="1:10" x14ac:dyDescent="0.2">
      <c r="A1450">
        <v>5.1718043173081899E-38</v>
      </c>
      <c r="B1450">
        <v>0.82884833923617696</v>
      </c>
      <c r="C1450">
        <v>0.65200000000000002</v>
      </c>
      <c r="D1450">
        <v>0.19500000000000001</v>
      </c>
      <c r="E1450">
        <v>7.1877736401949201E-34</v>
      </c>
      <c r="F1450">
        <v>3</v>
      </c>
      <c r="G1450" t="s">
        <v>3652</v>
      </c>
      <c r="H1450" t="s">
        <v>3653</v>
      </c>
      <c r="I1450" t="str">
        <f>HYPERLINK("https://zfin.org/ZDB-GENE-030828-5")</f>
        <v>https://zfin.org/ZDB-GENE-030828-5</v>
      </c>
      <c r="J1450" t="s">
        <v>3654</v>
      </c>
    </row>
    <row r="1451" spans="1:10" x14ac:dyDescent="0.2">
      <c r="A1451">
        <v>5.5314605764651204E-38</v>
      </c>
      <c r="B1451">
        <v>0.84435624093427897</v>
      </c>
      <c r="C1451">
        <v>0.85599999999999998</v>
      </c>
      <c r="D1451">
        <v>0.35699999999999998</v>
      </c>
      <c r="E1451">
        <v>7.6876239091712297E-34</v>
      </c>
      <c r="F1451">
        <v>3</v>
      </c>
      <c r="G1451" t="s">
        <v>3091</v>
      </c>
      <c r="H1451" t="s">
        <v>3092</v>
      </c>
      <c r="I1451" t="str">
        <f>HYPERLINK("https://zfin.org/ZDB-GENE-020717-1")</f>
        <v>https://zfin.org/ZDB-GENE-020717-1</v>
      </c>
      <c r="J1451" t="s">
        <v>3093</v>
      </c>
    </row>
    <row r="1452" spans="1:10" x14ac:dyDescent="0.2">
      <c r="A1452">
        <v>5.5368073084278602E-38</v>
      </c>
      <c r="B1452">
        <v>0.93228958151932195</v>
      </c>
      <c r="C1452">
        <v>0.93200000000000005</v>
      </c>
      <c r="D1452">
        <v>0.63100000000000001</v>
      </c>
      <c r="E1452">
        <v>7.6950547972530496E-34</v>
      </c>
      <c r="F1452">
        <v>3</v>
      </c>
      <c r="G1452" t="s">
        <v>996</v>
      </c>
      <c r="H1452" t="s">
        <v>997</v>
      </c>
      <c r="I1452" t="str">
        <f>HYPERLINK("https://zfin.org/ZDB-GENE-030131-5590")</f>
        <v>https://zfin.org/ZDB-GENE-030131-5590</v>
      </c>
      <c r="J1452" t="s">
        <v>998</v>
      </c>
    </row>
    <row r="1453" spans="1:10" x14ac:dyDescent="0.2">
      <c r="A1453">
        <v>5.7134953240708003E-38</v>
      </c>
      <c r="B1453">
        <v>0.90670688623291995</v>
      </c>
      <c r="C1453">
        <v>0.93899999999999995</v>
      </c>
      <c r="D1453">
        <v>0.71699999999999997</v>
      </c>
      <c r="E1453">
        <v>7.9406158013935992E-34</v>
      </c>
      <c r="F1453">
        <v>3</v>
      </c>
      <c r="G1453" t="s">
        <v>2544</v>
      </c>
      <c r="H1453" t="s">
        <v>2545</v>
      </c>
      <c r="I1453" t="str">
        <f>HYPERLINK("https://zfin.org/ZDB-GENE-030131-185")</f>
        <v>https://zfin.org/ZDB-GENE-030131-185</v>
      </c>
      <c r="J1453" t="s">
        <v>2546</v>
      </c>
    </row>
    <row r="1454" spans="1:10" x14ac:dyDescent="0.2">
      <c r="A1454">
        <v>6.6649224850478499E-38</v>
      </c>
      <c r="B1454">
        <v>0.91512218755350705</v>
      </c>
      <c r="C1454">
        <v>0.91700000000000004</v>
      </c>
      <c r="D1454">
        <v>0.502</v>
      </c>
      <c r="E1454">
        <v>9.2629092697195103E-34</v>
      </c>
      <c r="F1454">
        <v>3</v>
      </c>
      <c r="G1454" t="s">
        <v>3249</v>
      </c>
      <c r="H1454" t="s">
        <v>3250</v>
      </c>
      <c r="I1454" t="str">
        <f>HYPERLINK("https://zfin.org/ZDB-GENE-040618-2")</f>
        <v>https://zfin.org/ZDB-GENE-040618-2</v>
      </c>
      <c r="J1454" t="s">
        <v>3251</v>
      </c>
    </row>
    <row r="1455" spans="1:10" x14ac:dyDescent="0.2">
      <c r="A1455">
        <v>7.2862334842598198E-38</v>
      </c>
      <c r="B1455">
        <v>0.28675475857698801</v>
      </c>
      <c r="C1455">
        <v>0.121</v>
      </c>
      <c r="D1455">
        <v>5.0000000000000001E-3</v>
      </c>
      <c r="E1455">
        <v>1.0126407296424301E-33</v>
      </c>
      <c r="F1455">
        <v>3</v>
      </c>
      <c r="G1455" t="s">
        <v>3655</v>
      </c>
      <c r="H1455" t="s">
        <v>3656</v>
      </c>
      <c r="I1455" t="str">
        <f>HYPERLINK("https://zfin.org/ZDB-GENE-040426-1767")</f>
        <v>https://zfin.org/ZDB-GENE-040426-1767</v>
      </c>
      <c r="J1455" t="s">
        <v>3657</v>
      </c>
    </row>
    <row r="1456" spans="1:10" x14ac:dyDescent="0.2">
      <c r="A1456">
        <v>8.3414433361657201E-38</v>
      </c>
      <c r="B1456">
        <v>0.66954753324330796</v>
      </c>
      <c r="C1456">
        <v>0.36399999999999999</v>
      </c>
      <c r="D1456">
        <v>6.3E-2</v>
      </c>
      <c r="E1456">
        <v>1.15929379486031E-33</v>
      </c>
      <c r="F1456">
        <v>3</v>
      </c>
      <c r="G1456" t="s">
        <v>294</v>
      </c>
      <c r="H1456" t="s">
        <v>295</v>
      </c>
      <c r="I1456" t="str">
        <f>HYPERLINK("https://zfin.org/ZDB-GENE-040426-833")</f>
        <v>https://zfin.org/ZDB-GENE-040426-833</v>
      </c>
      <c r="J1456" t="s">
        <v>296</v>
      </c>
    </row>
    <row r="1457" spans="1:10" x14ac:dyDescent="0.2">
      <c r="A1457">
        <v>9.1762730136496999E-38</v>
      </c>
      <c r="B1457">
        <v>0.31897666973412803</v>
      </c>
      <c r="C1457">
        <v>0.14399999999999999</v>
      </c>
      <c r="D1457">
        <v>8.0000000000000002E-3</v>
      </c>
      <c r="E1457">
        <v>1.27531842343704E-33</v>
      </c>
      <c r="F1457">
        <v>3</v>
      </c>
      <c r="G1457" t="s">
        <v>3658</v>
      </c>
      <c r="H1457" t="s">
        <v>3659</v>
      </c>
      <c r="I1457" t="str">
        <f>HYPERLINK("https://zfin.org/")</f>
        <v>https://zfin.org/</v>
      </c>
      <c r="J1457" t="s">
        <v>3660</v>
      </c>
    </row>
    <row r="1458" spans="1:10" x14ac:dyDescent="0.2">
      <c r="A1458">
        <v>2.4556615186174698E-37</v>
      </c>
      <c r="B1458">
        <v>0.92202874998047801</v>
      </c>
      <c r="C1458">
        <v>0.86399999999999999</v>
      </c>
      <c r="D1458">
        <v>0.47</v>
      </c>
      <c r="E1458">
        <v>3.4128783785745603E-33</v>
      </c>
      <c r="F1458">
        <v>3</v>
      </c>
      <c r="G1458" t="s">
        <v>3661</v>
      </c>
      <c r="H1458" t="s">
        <v>3662</v>
      </c>
      <c r="I1458" t="str">
        <f>HYPERLINK("https://zfin.org/ZDB-GENE-020419-32")</f>
        <v>https://zfin.org/ZDB-GENE-020419-32</v>
      </c>
      <c r="J1458" t="s">
        <v>3663</v>
      </c>
    </row>
    <row r="1459" spans="1:10" x14ac:dyDescent="0.2">
      <c r="A1459">
        <v>2.84635509638345E-37</v>
      </c>
      <c r="B1459">
        <v>0.75739031808102797</v>
      </c>
      <c r="C1459">
        <v>0.52300000000000002</v>
      </c>
      <c r="D1459">
        <v>0.126</v>
      </c>
      <c r="E1459">
        <v>3.9558643129537199E-33</v>
      </c>
      <c r="F1459">
        <v>3</v>
      </c>
      <c r="G1459" t="s">
        <v>3664</v>
      </c>
      <c r="H1459" t="s">
        <v>3665</v>
      </c>
      <c r="I1459" t="str">
        <f>HYPERLINK("https://zfin.org/ZDB-GENE-040801-108")</f>
        <v>https://zfin.org/ZDB-GENE-040801-108</v>
      </c>
      <c r="J1459" t="s">
        <v>3666</v>
      </c>
    </row>
    <row r="1460" spans="1:10" x14ac:dyDescent="0.2">
      <c r="A1460">
        <v>3.0903768170714199E-37</v>
      </c>
      <c r="B1460">
        <v>0.79984090930538299</v>
      </c>
      <c r="C1460">
        <v>0.99199999999999999</v>
      </c>
      <c r="D1460">
        <v>0.85099999999999998</v>
      </c>
      <c r="E1460">
        <v>4.2950057003658601E-33</v>
      </c>
      <c r="F1460">
        <v>3</v>
      </c>
      <c r="G1460" t="s">
        <v>882</v>
      </c>
      <c r="H1460" t="s">
        <v>883</v>
      </c>
      <c r="I1460" t="str">
        <f>HYPERLINK("https://zfin.org/ZDB-GENE-030131-5590")</f>
        <v>https://zfin.org/ZDB-GENE-030131-5590</v>
      </c>
      <c r="J1460" t="s">
        <v>884</v>
      </c>
    </row>
    <row r="1461" spans="1:10" x14ac:dyDescent="0.2">
      <c r="A1461">
        <v>8.3000335183186402E-37</v>
      </c>
      <c r="B1461">
        <v>0.81551304333091501</v>
      </c>
      <c r="C1461">
        <v>0.871</v>
      </c>
      <c r="D1461">
        <v>0.35499999999999998</v>
      </c>
      <c r="E1461">
        <v>1.15353865837592E-32</v>
      </c>
      <c r="F1461">
        <v>3</v>
      </c>
      <c r="G1461" t="s">
        <v>984</v>
      </c>
      <c r="H1461" t="s">
        <v>985</v>
      </c>
      <c r="I1461" t="str">
        <f>HYPERLINK("https://zfin.org/ZDB-GENE-040718-162")</f>
        <v>https://zfin.org/ZDB-GENE-040718-162</v>
      </c>
      <c r="J1461" t="s">
        <v>986</v>
      </c>
    </row>
    <row r="1462" spans="1:10" x14ac:dyDescent="0.2">
      <c r="A1462">
        <v>2.4323226365091498E-36</v>
      </c>
      <c r="B1462">
        <v>1.0512740175144899</v>
      </c>
      <c r="C1462">
        <v>0.23499999999999999</v>
      </c>
      <c r="D1462">
        <v>2.8000000000000001E-2</v>
      </c>
      <c r="E1462">
        <v>3.3804420002204099E-32</v>
      </c>
      <c r="F1462">
        <v>3</v>
      </c>
      <c r="G1462" t="s">
        <v>3667</v>
      </c>
      <c r="H1462" t="s">
        <v>3668</v>
      </c>
      <c r="I1462" t="str">
        <f>HYPERLINK("https://zfin.org/ZDB-GENE-081022-132")</f>
        <v>https://zfin.org/ZDB-GENE-081022-132</v>
      </c>
      <c r="J1462" t="s">
        <v>3669</v>
      </c>
    </row>
    <row r="1463" spans="1:10" x14ac:dyDescent="0.2">
      <c r="A1463">
        <v>2.4619283892870199E-36</v>
      </c>
      <c r="B1463">
        <v>-1.4639523887005901</v>
      </c>
      <c r="C1463">
        <v>0.59099999999999997</v>
      </c>
      <c r="D1463">
        <v>0.876</v>
      </c>
      <c r="E1463">
        <v>3.4215880754311098E-32</v>
      </c>
      <c r="F1463">
        <v>3</v>
      </c>
      <c r="G1463" t="s">
        <v>1353</v>
      </c>
      <c r="H1463" t="s">
        <v>1354</v>
      </c>
      <c r="I1463" t="str">
        <f>HYPERLINK("https://zfin.org/")</f>
        <v>https://zfin.org/</v>
      </c>
    </row>
    <row r="1464" spans="1:10" x14ac:dyDescent="0.2">
      <c r="A1464">
        <v>3.3974148728230802E-36</v>
      </c>
      <c r="B1464">
        <v>0.86797436992134103</v>
      </c>
      <c r="C1464">
        <v>0.879</v>
      </c>
      <c r="D1464">
        <v>0.42199999999999999</v>
      </c>
      <c r="E1464">
        <v>4.7217271902495099E-32</v>
      </c>
      <c r="F1464">
        <v>3</v>
      </c>
      <c r="G1464" t="s">
        <v>3059</v>
      </c>
      <c r="H1464" t="s">
        <v>3060</v>
      </c>
      <c r="I1464" t="str">
        <f>HYPERLINK("https://zfin.org/ZDB-GENE-040930-9")</f>
        <v>https://zfin.org/ZDB-GENE-040930-9</v>
      </c>
      <c r="J1464" t="s">
        <v>3061</v>
      </c>
    </row>
    <row r="1465" spans="1:10" x14ac:dyDescent="0.2">
      <c r="A1465">
        <v>3.9707385536932899E-36</v>
      </c>
      <c r="B1465">
        <v>0.92987117341882197</v>
      </c>
      <c r="C1465">
        <v>0.80300000000000005</v>
      </c>
      <c r="D1465">
        <v>0.33500000000000002</v>
      </c>
      <c r="E1465">
        <v>5.5185324419229403E-32</v>
      </c>
      <c r="F1465">
        <v>3</v>
      </c>
      <c r="G1465" t="s">
        <v>3088</v>
      </c>
      <c r="H1465" t="s">
        <v>3089</v>
      </c>
      <c r="I1465" t="str">
        <f>HYPERLINK("https://zfin.org/ZDB-GENE-060503-618")</f>
        <v>https://zfin.org/ZDB-GENE-060503-618</v>
      </c>
      <c r="J1465" t="s">
        <v>3090</v>
      </c>
    </row>
    <row r="1466" spans="1:10" x14ac:dyDescent="0.2">
      <c r="A1466">
        <v>4.5056620598924203E-36</v>
      </c>
      <c r="B1466">
        <v>0.88858530651594902</v>
      </c>
      <c r="C1466">
        <v>0.64400000000000002</v>
      </c>
      <c r="D1466">
        <v>0.21099999999999999</v>
      </c>
      <c r="E1466">
        <v>6.2619691308384899E-32</v>
      </c>
      <c r="F1466">
        <v>3</v>
      </c>
      <c r="G1466" t="s">
        <v>3670</v>
      </c>
      <c r="H1466" t="s">
        <v>3671</v>
      </c>
      <c r="I1466" t="str">
        <f>HYPERLINK("https://zfin.org/ZDB-GENE-030131-8730")</f>
        <v>https://zfin.org/ZDB-GENE-030131-8730</v>
      </c>
      <c r="J1466" t="s">
        <v>3672</v>
      </c>
    </row>
    <row r="1467" spans="1:10" x14ac:dyDescent="0.2">
      <c r="A1467">
        <v>6.1916208326527904E-36</v>
      </c>
      <c r="B1467">
        <v>0.81399699073809495</v>
      </c>
      <c r="C1467">
        <v>0.92400000000000004</v>
      </c>
      <c r="D1467">
        <v>0.55400000000000005</v>
      </c>
      <c r="E1467">
        <v>8.6051146332208399E-32</v>
      </c>
      <c r="F1467">
        <v>3</v>
      </c>
      <c r="G1467" t="s">
        <v>3673</v>
      </c>
      <c r="H1467" t="s">
        <v>3674</v>
      </c>
      <c r="I1467" t="str">
        <f>HYPERLINK("https://zfin.org/ZDB-GENE-050306-51")</f>
        <v>https://zfin.org/ZDB-GENE-050306-51</v>
      </c>
      <c r="J1467" t="s">
        <v>3675</v>
      </c>
    </row>
    <row r="1468" spans="1:10" x14ac:dyDescent="0.2">
      <c r="A1468">
        <v>6.2130541989708796E-36</v>
      </c>
      <c r="B1468">
        <v>0.672464897748837</v>
      </c>
      <c r="C1468">
        <v>0.50800000000000001</v>
      </c>
      <c r="D1468">
        <v>0.121</v>
      </c>
      <c r="E1468">
        <v>8.6349027257297299E-32</v>
      </c>
      <c r="F1468">
        <v>3</v>
      </c>
      <c r="G1468" t="s">
        <v>3676</v>
      </c>
      <c r="H1468" t="s">
        <v>3677</v>
      </c>
      <c r="I1468" t="str">
        <f>HYPERLINK("https://zfin.org/ZDB-GENE-040625-127")</f>
        <v>https://zfin.org/ZDB-GENE-040625-127</v>
      </c>
      <c r="J1468" t="s">
        <v>3678</v>
      </c>
    </row>
    <row r="1469" spans="1:10" x14ac:dyDescent="0.2">
      <c r="A1469">
        <v>1.12393453751068E-35</v>
      </c>
      <c r="B1469">
        <v>0.65214869098755102</v>
      </c>
      <c r="C1469">
        <v>0.47699999999999998</v>
      </c>
      <c r="D1469">
        <v>0.11</v>
      </c>
      <c r="E1469">
        <v>1.56204422023234E-31</v>
      </c>
      <c r="F1469">
        <v>3</v>
      </c>
      <c r="G1469" t="s">
        <v>1740</v>
      </c>
      <c r="H1469" t="s">
        <v>1741</v>
      </c>
      <c r="I1469" t="str">
        <f>HYPERLINK("https://zfin.org/ZDB-GENE-030131-7696")</f>
        <v>https://zfin.org/ZDB-GENE-030131-7696</v>
      </c>
      <c r="J1469" t="s">
        <v>1742</v>
      </c>
    </row>
    <row r="1470" spans="1:10" x14ac:dyDescent="0.2">
      <c r="A1470">
        <v>1.53476975535924E-35</v>
      </c>
      <c r="B1470">
        <v>0.27084175698699697</v>
      </c>
      <c r="C1470">
        <v>0.114</v>
      </c>
      <c r="D1470">
        <v>5.0000000000000001E-3</v>
      </c>
      <c r="E1470">
        <v>2.1330230059982701E-31</v>
      </c>
      <c r="F1470">
        <v>3</v>
      </c>
      <c r="G1470" t="s">
        <v>3679</v>
      </c>
      <c r="H1470" t="s">
        <v>3680</v>
      </c>
      <c r="I1470" t="str">
        <f>HYPERLINK("https://zfin.org/ZDB-GENE-131121-219")</f>
        <v>https://zfin.org/ZDB-GENE-131121-219</v>
      </c>
      <c r="J1470" t="s">
        <v>3681</v>
      </c>
    </row>
    <row r="1471" spans="1:10" x14ac:dyDescent="0.2">
      <c r="A1471">
        <v>1.7672615021890401E-35</v>
      </c>
      <c r="B1471">
        <v>0.77195071656358905</v>
      </c>
      <c r="C1471">
        <v>0.57599999999999996</v>
      </c>
      <c r="D1471">
        <v>0.16200000000000001</v>
      </c>
      <c r="E1471">
        <v>2.45614003574233E-31</v>
      </c>
      <c r="F1471">
        <v>3</v>
      </c>
      <c r="G1471" t="s">
        <v>2066</v>
      </c>
      <c r="H1471" t="s">
        <v>2067</v>
      </c>
      <c r="I1471" t="str">
        <f>HYPERLINK("https://zfin.org/ZDB-GENE-030616-72")</f>
        <v>https://zfin.org/ZDB-GENE-030616-72</v>
      </c>
      <c r="J1471" t="s">
        <v>2068</v>
      </c>
    </row>
    <row r="1472" spans="1:10" x14ac:dyDescent="0.2">
      <c r="A1472">
        <v>2.1692138787057E-35</v>
      </c>
      <c r="B1472">
        <v>0.27447691816389402</v>
      </c>
      <c r="C1472">
        <v>0.114</v>
      </c>
      <c r="D1472">
        <v>5.0000000000000001E-3</v>
      </c>
      <c r="E1472">
        <v>3.0147734486251802E-31</v>
      </c>
      <c r="F1472">
        <v>3</v>
      </c>
      <c r="G1472" t="s">
        <v>3682</v>
      </c>
      <c r="H1472" t="s">
        <v>3683</v>
      </c>
      <c r="I1472" t="str">
        <f>HYPERLINK("https://zfin.org/ZDB-GENE-050417-421")</f>
        <v>https://zfin.org/ZDB-GENE-050417-421</v>
      </c>
      <c r="J1472" t="s">
        <v>3684</v>
      </c>
    </row>
    <row r="1473" spans="1:10" x14ac:dyDescent="0.2">
      <c r="A1473">
        <v>2.4345207061743398E-35</v>
      </c>
      <c r="B1473">
        <v>0.53916134520108105</v>
      </c>
      <c r="C1473">
        <v>0.27300000000000002</v>
      </c>
      <c r="D1473">
        <v>3.7999999999999999E-2</v>
      </c>
      <c r="E1473">
        <v>3.3834968774411001E-31</v>
      </c>
      <c r="F1473">
        <v>3</v>
      </c>
      <c r="G1473" t="s">
        <v>227</v>
      </c>
      <c r="H1473" t="s">
        <v>228</v>
      </c>
      <c r="I1473" t="str">
        <f>HYPERLINK("https://zfin.org/ZDB-GENE-040724-235")</f>
        <v>https://zfin.org/ZDB-GENE-040724-235</v>
      </c>
      <c r="J1473" t="s">
        <v>229</v>
      </c>
    </row>
    <row r="1474" spans="1:10" x14ac:dyDescent="0.2">
      <c r="A1474">
        <v>2.9337288940490901E-35</v>
      </c>
      <c r="B1474">
        <v>0.87727660262930696</v>
      </c>
      <c r="C1474">
        <v>0.73499999999999999</v>
      </c>
      <c r="D1474">
        <v>0.27400000000000002</v>
      </c>
      <c r="E1474">
        <v>4.0772964169494203E-31</v>
      </c>
      <c r="F1474">
        <v>3</v>
      </c>
      <c r="G1474" t="s">
        <v>2147</v>
      </c>
      <c r="H1474" t="s">
        <v>2148</v>
      </c>
      <c r="I1474" t="str">
        <f>HYPERLINK("https://zfin.org/ZDB-GENE-030131-304")</f>
        <v>https://zfin.org/ZDB-GENE-030131-304</v>
      </c>
      <c r="J1474" t="s">
        <v>2149</v>
      </c>
    </row>
    <row r="1475" spans="1:10" x14ac:dyDescent="0.2">
      <c r="A1475">
        <v>3.7521314674984099E-35</v>
      </c>
      <c r="B1475">
        <v>0.81654581334444098</v>
      </c>
      <c r="C1475">
        <v>0.86399999999999999</v>
      </c>
      <c r="D1475">
        <v>0.372</v>
      </c>
      <c r="E1475">
        <v>5.2147123135292902E-31</v>
      </c>
      <c r="F1475">
        <v>3</v>
      </c>
      <c r="G1475" t="s">
        <v>3172</v>
      </c>
      <c r="H1475" t="s">
        <v>3173</v>
      </c>
      <c r="I1475" t="str">
        <f>HYPERLINK("https://zfin.org/")</f>
        <v>https://zfin.org/</v>
      </c>
    </row>
    <row r="1476" spans="1:10" x14ac:dyDescent="0.2">
      <c r="A1476">
        <v>5.8620001930126004E-35</v>
      </c>
      <c r="B1476">
        <v>0.84386957812947505</v>
      </c>
      <c r="C1476">
        <v>0.69699999999999995</v>
      </c>
      <c r="D1476">
        <v>0.24099999999999999</v>
      </c>
      <c r="E1476">
        <v>8.1470078682489205E-31</v>
      </c>
      <c r="F1476">
        <v>3</v>
      </c>
      <c r="G1476" t="s">
        <v>3685</v>
      </c>
      <c r="H1476" t="s">
        <v>3686</v>
      </c>
      <c r="I1476" t="str">
        <f>HYPERLINK("https://zfin.org/ZDB-GENE-040426-1327")</f>
        <v>https://zfin.org/ZDB-GENE-040426-1327</v>
      </c>
      <c r="J1476" t="s">
        <v>3687</v>
      </c>
    </row>
    <row r="1477" spans="1:10" x14ac:dyDescent="0.2">
      <c r="A1477">
        <v>7.4744924496513901E-35</v>
      </c>
      <c r="B1477">
        <v>0.58899360934957601</v>
      </c>
      <c r="C1477">
        <v>0.5</v>
      </c>
      <c r="D1477">
        <v>0.11700000000000001</v>
      </c>
      <c r="E1477">
        <v>1.0388049606525501E-30</v>
      </c>
      <c r="F1477">
        <v>3</v>
      </c>
      <c r="G1477" t="s">
        <v>603</v>
      </c>
      <c r="H1477" t="s">
        <v>604</v>
      </c>
      <c r="I1477" t="str">
        <f>HYPERLINK("https://zfin.org/ZDB-GENE-040718-169")</f>
        <v>https://zfin.org/ZDB-GENE-040718-169</v>
      </c>
      <c r="J1477" t="s">
        <v>605</v>
      </c>
    </row>
    <row r="1478" spans="1:10" x14ac:dyDescent="0.2">
      <c r="A1478">
        <v>1.1992843877314501E-34</v>
      </c>
      <c r="B1478">
        <v>0.40878984033337701</v>
      </c>
      <c r="C1478">
        <v>0.27300000000000002</v>
      </c>
      <c r="D1478">
        <v>3.7999999999999999E-2</v>
      </c>
      <c r="E1478">
        <v>1.6667654420691699E-30</v>
      </c>
      <c r="F1478">
        <v>3</v>
      </c>
      <c r="G1478" t="s">
        <v>3688</v>
      </c>
      <c r="H1478" t="s">
        <v>3689</v>
      </c>
      <c r="I1478" t="str">
        <f>HYPERLINK("https://zfin.org/ZDB-GENE-030131-5923")</f>
        <v>https://zfin.org/ZDB-GENE-030131-5923</v>
      </c>
      <c r="J1478" t="s">
        <v>3690</v>
      </c>
    </row>
    <row r="1479" spans="1:10" x14ac:dyDescent="0.2">
      <c r="A1479">
        <v>1.3463008578241701E-34</v>
      </c>
      <c r="B1479">
        <v>0.85786482271884101</v>
      </c>
      <c r="C1479">
        <v>0.73499999999999999</v>
      </c>
      <c r="D1479">
        <v>0.27300000000000002</v>
      </c>
      <c r="E1479">
        <v>1.87108893220403E-30</v>
      </c>
      <c r="F1479">
        <v>3</v>
      </c>
      <c r="G1479" t="s">
        <v>3333</v>
      </c>
      <c r="H1479" t="s">
        <v>3334</v>
      </c>
      <c r="I1479" t="str">
        <f>HYPERLINK("https://zfin.org/ZDB-GENE-040718-181")</f>
        <v>https://zfin.org/ZDB-GENE-040718-181</v>
      </c>
      <c r="J1479" t="s">
        <v>3335</v>
      </c>
    </row>
    <row r="1480" spans="1:10" x14ac:dyDescent="0.2">
      <c r="A1480">
        <v>1.4498792547988101E-34</v>
      </c>
      <c r="B1480">
        <v>0.65374963007082298</v>
      </c>
      <c r="C1480">
        <v>0.99199999999999999</v>
      </c>
      <c r="D1480">
        <v>0.91200000000000003</v>
      </c>
      <c r="E1480">
        <v>2.0150421883193801E-30</v>
      </c>
      <c r="F1480">
        <v>3</v>
      </c>
      <c r="G1480" t="s">
        <v>2595</v>
      </c>
      <c r="H1480" t="s">
        <v>2596</v>
      </c>
      <c r="I1480" t="str">
        <f>HYPERLINK("https://zfin.org/ZDB-GENE-050417-65")</f>
        <v>https://zfin.org/ZDB-GENE-050417-65</v>
      </c>
      <c r="J1480" t="s">
        <v>2597</v>
      </c>
    </row>
    <row r="1481" spans="1:10" x14ac:dyDescent="0.2">
      <c r="A1481">
        <v>1.8195074550334001E-34</v>
      </c>
      <c r="B1481">
        <v>0.87129030505855598</v>
      </c>
      <c r="C1481">
        <v>0.871</v>
      </c>
      <c r="D1481">
        <v>0.41599999999999998</v>
      </c>
      <c r="E1481">
        <v>2.5287514610054202E-30</v>
      </c>
      <c r="F1481">
        <v>3</v>
      </c>
      <c r="G1481" t="s">
        <v>2268</v>
      </c>
      <c r="H1481" t="s">
        <v>2269</v>
      </c>
      <c r="I1481" t="str">
        <f>HYPERLINK("https://zfin.org/ZDB-GENE-060503-941")</f>
        <v>https://zfin.org/ZDB-GENE-060503-941</v>
      </c>
      <c r="J1481" t="s">
        <v>2270</v>
      </c>
    </row>
    <row r="1482" spans="1:10" x14ac:dyDescent="0.2">
      <c r="A1482">
        <v>3.4967098229918599E-34</v>
      </c>
      <c r="B1482">
        <v>0.87994173211611404</v>
      </c>
      <c r="C1482">
        <v>0.79500000000000004</v>
      </c>
      <c r="D1482">
        <v>0.34399999999999997</v>
      </c>
      <c r="E1482">
        <v>4.8597273119940897E-30</v>
      </c>
      <c r="F1482">
        <v>3</v>
      </c>
      <c r="G1482" t="s">
        <v>3691</v>
      </c>
      <c r="H1482" t="s">
        <v>3692</v>
      </c>
      <c r="I1482" t="str">
        <f>HYPERLINK("https://zfin.org/ZDB-GENE-040625-96")</f>
        <v>https://zfin.org/ZDB-GENE-040625-96</v>
      </c>
      <c r="J1482" t="s">
        <v>3693</v>
      </c>
    </row>
    <row r="1483" spans="1:10" x14ac:dyDescent="0.2">
      <c r="A1483">
        <v>3.8513770047461902E-34</v>
      </c>
      <c r="B1483">
        <v>0.59654771726104605</v>
      </c>
      <c r="C1483">
        <v>0.40899999999999997</v>
      </c>
      <c r="D1483">
        <v>8.4000000000000005E-2</v>
      </c>
      <c r="E1483">
        <v>5.3526437611962502E-30</v>
      </c>
      <c r="F1483">
        <v>3</v>
      </c>
      <c r="G1483" t="s">
        <v>3694</v>
      </c>
      <c r="H1483" t="s">
        <v>3695</v>
      </c>
      <c r="I1483" t="str">
        <f>HYPERLINK("https://zfin.org/ZDB-GENE-040912-123")</f>
        <v>https://zfin.org/ZDB-GENE-040912-123</v>
      </c>
      <c r="J1483" t="s">
        <v>3696</v>
      </c>
    </row>
    <row r="1484" spans="1:10" x14ac:dyDescent="0.2">
      <c r="A1484">
        <v>4.6698457420620396E-34</v>
      </c>
      <c r="B1484">
        <v>0.603635941961709</v>
      </c>
      <c r="C1484">
        <v>0.32600000000000001</v>
      </c>
      <c r="D1484">
        <v>5.6000000000000001E-2</v>
      </c>
      <c r="E1484">
        <v>6.4901516123178298E-30</v>
      </c>
      <c r="F1484">
        <v>3</v>
      </c>
      <c r="G1484" t="s">
        <v>2220</v>
      </c>
      <c r="H1484" t="s">
        <v>2221</v>
      </c>
      <c r="I1484" t="str">
        <f>HYPERLINK("https://zfin.org/ZDB-GENE-030131-2081")</f>
        <v>https://zfin.org/ZDB-GENE-030131-2081</v>
      </c>
      <c r="J1484" t="s">
        <v>2222</v>
      </c>
    </row>
    <row r="1485" spans="1:10" x14ac:dyDescent="0.2">
      <c r="A1485">
        <v>9.1880293613237494E-34</v>
      </c>
      <c r="B1485">
        <v>0.78433665504387895</v>
      </c>
      <c r="C1485">
        <v>0.63600000000000001</v>
      </c>
      <c r="D1485">
        <v>0.2</v>
      </c>
      <c r="E1485">
        <v>1.2769523206367701E-29</v>
      </c>
      <c r="F1485">
        <v>3</v>
      </c>
      <c r="G1485" t="s">
        <v>2340</v>
      </c>
      <c r="H1485" t="s">
        <v>2341</v>
      </c>
      <c r="I1485" t="str">
        <f>HYPERLINK("https://zfin.org/ZDB-GENE-040426-1444")</f>
        <v>https://zfin.org/ZDB-GENE-040426-1444</v>
      </c>
      <c r="J1485" t="s">
        <v>2342</v>
      </c>
    </row>
    <row r="1486" spans="1:10" x14ac:dyDescent="0.2">
      <c r="A1486">
        <v>1.45050135320191E-33</v>
      </c>
      <c r="B1486">
        <v>0.96934250198392502</v>
      </c>
      <c r="C1486">
        <v>0.85599999999999998</v>
      </c>
      <c r="D1486">
        <v>0.53600000000000003</v>
      </c>
      <c r="E1486">
        <v>2.0159067806800099E-29</v>
      </c>
      <c r="F1486">
        <v>3</v>
      </c>
      <c r="G1486" t="s">
        <v>3297</v>
      </c>
      <c r="H1486" t="s">
        <v>3298</v>
      </c>
      <c r="I1486" t="str">
        <f>HYPERLINK("https://zfin.org/ZDB-GENE-030131-2221")</f>
        <v>https://zfin.org/ZDB-GENE-030131-2221</v>
      </c>
      <c r="J1486" t="s">
        <v>3299</v>
      </c>
    </row>
    <row r="1487" spans="1:10" x14ac:dyDescent="0.2">
      <c r="A1487">
        <v>1.58238282849867E-33</v>
      </c>
      <c r="B1487">
        <v>0.72089853543078397</v>
      </c>
      <c r="C1487">
        <v>0.39400000000000002</v>
      </c>
      <c r="D1487">
        <v>8.1000000000000003E-2</v>
      </c>
      <c r="E1487">
        <v>2.1991956550474501E-29</v>
      </c>
      <c r="F1487">
        <v>3</v>
      </c>
      <c r="G1487" t="s">
        <v>3697</v>
      </c>
      <c r="H1487" t="s">
        <v>3698</v>
      </c>
      <c r="I1487" t="str">
        <f>HYPERLINK("https://zfin.org/ZDB-GENE-020424-2")</f>
        <v>https://zfin.org/ZDB-GENE-020424-2</v>
      </c>
      <c r="J1487" t="s">
        <v>3699</v>
      </c>
    </row>
    <row r="1488" spans="1:10" x14ac:dyDescent="0.2">
      <c r="A1488">
        <v>2.0742166973664701E-33</v>
      </c>
      <c r="B1488">
        <v>0.85437958308843998</v>
      </c>
      <c r="C1488">
        <v>0.76500000000000001</v>
      </c>
      <c r="D1488">
        <v>0.32100000000000001</v>
      </c>
      <c r="E1488">
        <v>2.8827463659999197E-29</v>
      </c>
      <c r="F1488">
        <v>3</v>
      </c>
      <c r="G1488" t="s">
        <v>3700</v>
      </c>
      <c r="H1488" t="s">
        <v>3701</v>
      </c>
      <c r="I1488" t="str">
        <f>HYPERLINK("https://zfin.org/ZDB-GENE-040426-2345")</f>
        <v>https://zfin.org/ZDB-GENE-040426-2345</v>
      </c>
      <c r="J1488" t="s">
        <v>3702</v>
      </c>
    </row>
    <row r="1489" spans="1:10" x14ac:dyDescent="0.2">
      <c r="A1489">
        <v>3.8388749949086797E-33</v>
      </c>
      <c r="B1489">
        <v>0.33345076960231101</v>
      </c>
      <c r="C1489">
        <v>0.152</v>
      </c>
      <c r="D1489">
        <v>1.2E-2</v>
      </c>
      <c r="E1489">
        <v>5.3352684679240896E-29</v>
      </c>
      <c r="F1489">
        <v>3</v>
      </c>
      <c r="G1489" t="s">
        <v>3703</v>
      </c>
      <c r="H1489" t="s">
        <v>3704</v>
      </c>
      <c r="I1489" t="str">
        <f>HYPERLINK("https://zfin.org/ZDB-GENE-041014-359")</f>
        <v>https://zfin.org/ZDB-GENE-041014-359</v>
      </c>
      <c r="J1489" t="s">
        <v>3705</v>
      </c>
    </row>
    <row r="1490" spans="1:10" x14ac:dyDescent="0.2">
      <c r="A1490">
        <v>4.4311149792755799E-33</v>
      </c>
      <c r="B1490">
        <v>0.27540438992420702</v>
      </c>
      <c r="C1490">
        <v>0.13600000000000001</v>
      </c>
      <c r="D1490">
        <v>8.9999999999999993E-3</v>
      </c>
      <c r="E1490">
        <v>6.1583635981971998E-29</v>
      </c>
      <c r="F1490">
        <v>3</v>
      </c>
      <c r="G1490" t="s">
        <v>3706</v>
      </c>
      <c r="H1490" t="s">
        <v>3707</v>
      </c>
      <c r="I1490" t="str">
        <f>HYPERLINK("https://zfin.org/ZDB-GENE-091204-186")</f>
        <v>https://zfin.org/ZDB-GENE-091204-186</v>
      </c>
      <c r="J1490" t="s">
        <v>3708</v>
      </c>
    </row>
    <row r="1491" spans="1:10" x14ac:dyDescent="0.2">
      <c r="A1491">
        <v>4.6116186444832001E-33</v>
      </c>
      <c r="B1491">
        <v>0.45239467356685398</v>
      </c>
      <c r="C1491">
        <v>0.182</v>
      </c>
      <c r="D1491">
        <v>1.7000000000000001E-2</v>
      </c>
      <c r="E1491">
        <v>6.4092275921027505E-29</v>
      </c>
      <c r="F1491">
        <v>3</v>
      </c>
      <c r="G1491" t="s">
        <v>3709</v>
      </c>
      <c r="H1491" t="s">
        <v>3710</v>
      </c>
      <c r="I1491" t="str">
        <f>HYPERLINK("https://zfin.org/ZDB-GENE-081022-187")</f>
        <v>https://zfin.org/ZDB-GENE-081022-187</v>
      </c>
      <c r="J1491" t="s">
        <v>3711</v>
      </c>
    </row>
    <row r="1492" spans="1:10" x14ac:dyDescent="0.2">
      <c r="A1492">
        <v>4.9187107881904201E-33</v>
      </c>
      <c r="B1492">
        <v>0.86854932778855798</v>
      </c>
      <c r="C1492">
        <v>0.90200000000000002</v>
      </c>
      <c r="D1492">
        <v>0.53400000000000003</v>
      </c>
      <c r="E1492">
        <v>6.8360242534270501E-29</v>
      </c>
      <c r="F1492">
        <v>3</v>
      </c>
      <c r="G1492" t="s">
        <v>3712</v>
      </c>
      <c r="H1492" t="s">
        <v>3713</v>
      </c>
      <c r="I1492" t="str">
        <f>HYPERLINK("https://zfin.org/ZDB-GENE-071005-2")</f>
        <v>https://zfin.org/ZDB-GENE-071005-2</v>
      </c>
      <c r="J1492" t="s">
        <v>3714</v>
      </c>
    </row>
    <row r="1493" spans="1:10" x14ac:dyDescent="0.2">
      <c r="A1493">
        <v>8.0112131603655605E-33</v>
      </c>
      <c r="B1493">
        <v>0.58121286208177003</v>
      </c>
      <c r="C1493">
        <v>0.23499999999999999</v>
      </c>
      <c r="D1493">
        <v>0.03</v>
      </c>
      <c r="E1493">
        <v>1.1133984050276101E-28</v>
      </c>
      <c r="F1493">
        <v>3</v>
      </c>
      <c r="G1493" t="s">
        <v>1462</v>
      </c>
      <c r="H1493" t="s">
        <v>1463</v>
      </c>
      <c r="I1493" t="str">
        <f>HYPERLINK("https://zfin.org/ZDB-GENE-040426-2848")</f>
        <v>https://zfin.org/ZDB-GENE-040426-2848</v>
      </c>
      <c r="J1493" t="s">
        <v>1464</v>
      </c>
    </row>
    <row r="1494" spans="1:10" x14ac:dyDescent="0.2">
      <c r="A1494">
        <v>1.02983851710449E-32</v>
      </c>
      <c r="B1494">
        <v>0.86337659558796098</v>
      </c>
      <c r="C1494">
        <v>0.76500000000000001</v>
      </c>
      <c r="D1494">
        <v>0.30599999999999999</v>
      </c>
      <c r="E1494">
        <v>1.4312695710718299E-28</v>
      </c>
      <c r="F1494">
        <v>3</v>
      </c>
      <c r="G1494" t="s">
        <v>3715</v>
      </c>
      <c r="H1494" t="s">
        <v>3716</v>
      </c>
      <c r="I1494" t="str">
        <f>HYPERLINK("https://zfin.org/ZDB-GENE-040426-1004")</f>
        <v>https://zfin.org/ZDB-GENE-040426-1004</v>
      </c>
      <c r="J1494" t="s">
        <v>3717</v>
      </c>
    </row>
    <row r="1495" spans="1:10" x14ac:dyDescent="0.2">
      <c r="A1495">
        <v>1.1696706007917099E-32</v>
      </c>
      <c r="B1495">
        <v>0.83822370026887105</v>
      </c>
      <c r="C1495">
        <v>0.879</v>
      </c>
      <c r="D1495">
        <v>0.47099999999999997</v>
      </c>
      <c r="E1495">
        <v>1.62560820098032E-28</v>
      </c>
      <c r="F1495">
        <v>3</v>
      </c>
      <c r="G1495" t="s">
        <v>3718</v>
      </c>
      <c r="H1495" t="s">
        <v>3719</v>
      </c>
      <c r="I1495" t="str">
        <f>HYPERLINK("https://zfin.org/ZDB-GENE-040801-15")</f>
        <v>https://zfin.org/ZDB-GENE-040801-15</v>
      </c>
      <c r="J1495" t="s">
        <v>3720</v>
      </c>
    </row>
    <row r="1496" spans="1:10" x14ac:dyDescent="0.2">
      <c r="A1496">
        <v>1.6236251232396301E-32</v>
      </c>
      <c r="B1496">
        <v>0.59512740023035304</v>
      </c>
      <c r="C1496">
        <v>0.379</v>
      </c>
      <c r="D1496">
        <v>7.4999999999999997E-2</v>
      </c>
      <c r="E1496">
        <v>2.2565141962784302E-28</v>
      </c>
      <c r="F1496">
        <v>3</v>
      </c>
      <c r="G1496" t="s">
        <v>3721</v>
      </c>
      <c r="H1496" t="s">
        <v>3722</v>
      </c>
      <c r="I1496" t="str">
        <f>HYPERLINK("https://zfin.org/ZDB-GENE-040718-47")</f>
        <v>https://zfin.org/ZDB-GENE-040718-47</v>
      </c>
      <c r="J1496" t="s">
        <v>3723</v>
      </c>
    </row>
    <row r="1497" spans="1:10" x14ac:dyDescent="0.2">
      <c r="A1497">
        <v>1.7466915959187701E-32</v>
      </c>
      <c r="B1497">
        <v>0.72618708404464005</v>
      </c>
      <c r="C1497">
        <v>0.65900000000000003</v>
      </c>
      <c r="D1497">
        <v>0.216</v>
      </c>
      <c r="E1497">
        <v>2.4275519800079102E-28</v>
      </c>
      <c r="F1497">
        <v>3</v>
      </c>
      <c r="G1497" t="s">
        <v>3724</v>
      </c>
      <c r="H1497" t="s">
        <v>3725</v>
      </c>
      <c r="I1497" t="str">
        <f>HYPERLINK("https://zfin.org/ZDB-GENE-041010-25")</f>
        <v>https://zfin.org/ZDB-GENE-041010-25</v>
      </c>
      <c r="J1497" t="s">
        <v>3726</v>
      </c>
    </row>
    <row r="1498" spans="1:10" x14ac:dyDescent="0.2">
      <c r="A1498">
        <v>2.6521061678969901E-32</v>
      </c>
      <c r="B1498">
        <v>0.68754037895406594</v>
      </c>
      <c r="C1498">
        <v>0.70499999999999996</v>
      </c>
      <c r="D1498">
        <v>0.23799999999999999</v>
      </c>
      <c r="E1498">
        <v>3.6858971521432401E-28</v>
      </c>
      <c r="F1498">
        <v>3</v>
      </c>
      <c r="G1498" t="s">
        <v>3727</v>
      </c>
      <c r="H1498" t="s">
        <v>3728</v>
      </c>
      <c r="I1498" t="str">
        <f>HYPERLINK("https://zfin.org/ZDB-GENE-040426-1038")</f>
        <v>https://zfin.org/ZDB-GENE-040426-1038</v>
      </c>
      <c r="J1498" t="s">
        <v>3729</v>
      </c>
    </row>
    <row r="1499" spans="1:10" x14ac:dyDescent="0.2">
      <c r="A1499">
        <v>3.0127284204617299E-32</v>
      </c>
      <c r="B1499">
        <v>0.80195756650747896</v>
      </c>
      <c r="C1499">
        <v>0.84799999999999998</v>
      </c>
      <c r="D1499">
        <v>0.36899999999999999</v>
      </c>
      <c r="E1499">
        <v>4.1870899587577097E-28</v>
      </c>
      <c r="F1499">
        <v>3</v>
      </c>
      <c r="G1499" t="s">
        <v>740</v>
      </c>
      <c r="H1499" t="s">
        <v>741</v>
      </c>
      <c r="I1499" t="str">
        <f>HYPERLINK("https://zfin.org/ZDB-GENE-040426-1986")</f>
        <v>https://zfin.org/ZDB-GENE-040426-1986</v>
      </c>
      <c r="J1499" t="s">
        <v>742</v>
      </c>
    </row>
    <row r="1500" spans="1:10" x14ac:dyDescent="0.2">
      <c r="A1500">
        <v>3.3806742341209802E-32</v>
      </c>
      <c r="B1500">
        <v>0.79584656473492299</v>
      </c>
      <c r="C1500">
        <v>0.92400000000000004</v>
      </c>
      <c r="D1500">
        <v>0.66</v>
      </c>
      <c r="E1500">
        <v>4.6984610505813398E-28</v>
      </c>
      <c r="F1500">
        <v>3</v>
      </c>
      <c r="G1500" t="s">
        <v>2514</v>
      </c>
      <c r="H1500" t="s">
        <v>2515</v>
      </c>
      <c r="I1500" t="str">
        <f>HYPERLINK("https://zfin.org/ZDB-GENE-000210-25")</f>
        <v>https://zfin.org/ZDB-GENE-000210-25</v>
      </c>
      <c r="J1500" t="s">
        <v>2516</v>
      </c>
    </row>
    <row r="1501" spans="1:10" x14ac:dyDescent="0.2">
      <c r="A1501">
        <v>3.5248066621133299E-32</v>
      </c>
      <c r="B1501">
        <v>0.797583876934157</v>
      </c>
      <c r="C1501">
        <v>0.75800000000000001</v>
      </c>
      <c r="D1501">
        <v>0.28699999999999998</v>
      </c>
      <c r="E1501">
        <v>4.8987762990051099E-28</v>
      </c>
      <c r="F1501">
        <v>3</v>
      </c>
      <c r="G1501" t="s">
        <v>3730</v>
      </c>
      <c r="H1501" t="s">
        <v>3731</v>
      </c>
      <c r="I1501" t="str">
        <f>HYPERLINK("https://zfin.org/ZDB-GENE-030131-5408")</f>
        <v>https://zfin.org/ZDB-GENE-030131-5408</v>
      </c>
      <c r="J1501" t="s">
        <v>3732</v>
      </c>
    </row>
    <row r="1502" spans="1:10" x14ac:dyDescent="0.2">
      <c r="A1502">
        <v>3.8745803430882701E-32</v>
      </c>
      <c r="B1502">
        <v>-1.44063862920493</v>
      </c>
      <c r="C1502">
        <v>0.57599999999999996</v>
      </c>
      <c r="D1502">
        <v>0.83399999999999996</v>
      </c>
      <c r="E1502">
        <v>5.3848917608240802E-28</v>
      </c>
      <c r="F1502">
        <v>3</v>
      </c>
      <c r="G1502" t="s">
        <v>1519</v>
      </c>
      <c r="H1502" t="s">
        <v>1520</v>
      </c>
      <c r="I1502" t="str">
        <f>HYPERLINK("https://zfin.org/ZDB-GENE-990715-6")</f>
        <v>https://zfin.org/ZDB-GENE-990715-6</v>
      </c>
      <c r="J1502" t="s">
        <v>1521</v>
      </c>
    </row>
    <row r="1503" spans="1:10" x14ac:dyDescent="0.2">
      <c r="A1503">
        <v>8.4195226344634195E-32</v>
      </c>
      <c r="B1503">
        <v>-1.1767320900206399</v>
      </c>
      <c r="C1503">
        <v>0.50800000000000001</v>
      </c>
      <c r="D1503">
        <v>0.82099999999999995</v>
      </c>
      <c r="E1503">
        <v>1.1701452557377301E-27</v>
      </c>
      <c r="F1503">
        <v>3</v>
      </c>
      <c r="G1503" t="s">
        <v>1341</v>
      </c>
      <c r="H1503" t="s">
        <v>1342</v>
      </c>
      <c r="I1503" t="str">
        <f>HYPERLINK("https://zfin.org/ZDB-GENE-011210-2")</f>
        <v>https://zfin.org/ZDB-GENE-011210-2</v>
      </c>
      <c r="J1503" t="s">
        <v>1343</v>
      </c>
    </row>
    <row r="1504" spans="1:10" x14ac:dyDescent="0.2">
      <c r="A1504">
        <v>1.03518841787131E-31</v>
      </c>
      <c r="B1504">
        <v>0.85283813819272103</v>
      </c>
      <c r="C1504">
        <v>0.68200000000000005</v>
      </c>
      <c r="D1504">
        <v>0.245</v>
      </c>
      <c r="E1504">
        <v>1.4387048631575501E-27</v>
      </c>
      <c r="F1504">
        <v>3</v>
      </c>
      <c r="G1504" t="s">
        <v>2948</v>
      </c>
      <c r="H1504" t="s">
        <v>2949</v>
      </c>
      <c r="I1504" t="str">
        <f>HYPERLINK("https://zfin.org/ZDB-GENE-031006-14")</f>
        <v>https://zfin.org/ZDB-GENE-031006-14</v>
      </c>
      <c r="J1504" t="s">
        <v>2950</v>
      </c>
    </row>
    <row r="1505" spans="1:10" x14ac:dyDescent="0.2">
      <c r="A1505">
        <v>1.15959763295656E-31</v>
      </c>
      <c r="B1505">
        <v>0.36993415886616698</v>
      </c>
      <c r="C1505">
        <v>1</v>
      </c>
      <c r="D1505">
        <v>1</v>
      </c>
      <c r="E1505">
        <v>1.61160879028303E-27</v>
      </c>
      <c r="F1505">
        <v>3</v>
      </c>
      <c r="G1505" t="s">
        <v>1620</v>
      </c>
      <c r="H1505" t="s">
        <v>1621</v>
      </c>
      <c r="I1505" t="str">
        <f>HYPERLINK("https://zfin.org/ZDB-GENE-030131-7528")</f>
        <v>https://zfin.org/ZDB-GENE-030131-7528</v>
      </c>
      <c r="J1505" t="s">
        <v>1622</v>
      </c>
    </row>
    <row r="1506" spans="1:10" x14ac:dyDescent="0.2">
      <c r="A1506">
        <v>1.4367021435028801E-31</v>
      </c>
      <c r="B1506">
        <v>0.31421982869780701</v>
      </c>
      <c r="C1506">
        <v>0.14399999999999999</v>
      </c>
      <c r="D1506">
        <v>1.0999999999999999E-2</v>
      </c>
      <c r="E1506">
        <v>1.9967286390402998E-27</v>
      </c>
      <c r="F1506">
        <v>3</v>
      </c>
      <c r="G1506" t="s">
        <v>3733</v>
      </c>
      <c r="H1506" t="s">
        <v>3734</v>
      </c>
      <c r="I1506" t="str">
        <f>HYPERLINK("https://zfin.org/ZDB-GENE-030131-3271")</f>
        <v>https://zfin.org/ZDB-GENE-030131-3271</v>
      </c>
      <c r="J1506" t="s">
        <v>3735</v>
      </c>
    </row>
    <row r="1507" spans="1:10" x14ac:dyDescent="0.2">
      <c r="A1507">
        <v>2.2748412894277601E-31</v>
      </c>
      <c r="B1507">
        <v>-1.3996523896013899</v>
      </c>
      <c r="C1507">
        <v>0.32600000000000001</v>
      </c>
      <c r="D1507">
        <v>0.73499999999999999</v>
      </c>
      <c r="E1507">
        <v>3.16157442404671E-27</v>
      </c>
      <c r="F1507">
        <v>3</v>
      </c>
      <c r="G1507" t="s">
        <v>1719</v>
      </c>
      <c r="H1507" t="s">
        <v>1720</v>
      </c>
      <c r="I1507" t="str">
        <f>HYPERLINK("https://zfin.org/ZDB-GENE-030131-2524")</f>
        <v>https://zfin.org/ZDB-GENE-030131-2524</v>
      </c>
      <c r="J1507" t="s">
        <v>1721</v>
      </c>
    </row>
    <row r="1508" spans="1:10" x14ac:dyDescent="0.2">
      <c r="A1508">
        <v>2.3888256746247899E-31</v>
      </c>
      <c r="B1508">
        <v>0.81635715561733402</v>
      </c>
      <c r="C1508">
        <v>0.80300000000000005</v>
      </c>
      <c r="D1508">
        <v>0.35799999999999998</v>
      </c>
      <c r="E1508">
        <v>3.3199899225935397E-27</v>
      </c>
      <c r="F1508">
        <v>3</v>
      </c>
      <c r="G1508" t="s">
        <v>3736</v>
      </c>
      <c r="H1508" t="s">
        <v>3737</v>
      </c>
      <c r="I1508" t="str">
        <f>HYPERLINK("https://zfin.org/ZDB-GENE-040426-2902")</f>
        <v>https://zfin.org/ZDB-GENE-040426-2902</v>
      </c>
      <c r="J1508" t="s">
        <v>3738</v>
      </c>
    </row>
    <row r="1509" spans="1:10" x14ac:dyDescent="0.2">
      <c r="A1509">
        <v>2.4919150090459398E-31</v>
      </c>
      <c r="B1509">
        <v>0.65973965514083099</v>
      </c>
      <c r="C1509">
        <v>0.54500000000000004</v>
      </c>
      <c r="D1509">
        <v>0.154</v>
      </c>
      <c r="E1509">
        <v>3.4632634795720498E-27</v>
      </c>
      <c r="F1509">
        <v>3</v>
      </c>
      <c r="G1509" t="s">
        <v>3739</v>
      </c>
      <c r="H1509" t="s">
        <v>3740</v>
      </c>
      <c r="I1509" t="str">
        <f>HYPERLINK("https://zfin.org/ZDB-GENE-030131-666")</f>
        <v>https://zfin.org/ZDB-GENE-030131-666</v>
      </c>
      <c r="J1509" t="s">
        <v>3741</v>
      </c>
    </row>
    <row r="1510" spans="1:10" x14ac:dyDescent="0.2">
      <c r="A1510">
        <v>2.7832003665002299E-31</v>
      </c>
      <c r="B1510">
        <v>0.455522340727958</v>
      </c>
      <c r="C1510">
        <v>0.99199999999999999</v>
      </c>
      <c r="D1510">
        <v>0.97299999999999998</v>
      </c>
      <c r="E1510">
        <v>3.8680918693620203E-27</v>
      </c>
      <c r="F1510">
        <v>3</v>
      </c>
      <c r="G1510" t="s">
        <v>1985</v>
      </c>
      <c r="H1510" t="s">
        <v>1986</v>
      </c>
      <c r="I1510" t="str">
        <f>HYPERLINK("https://zfin.org/ZDB-GENE-010724-15")</f>
        <v>https://zfin.org/ZDB-GENE-010724-15</v>
      </c>
      <c r="J1510" t="s">
        <v>1987</v>
      </c>
    </row>
    <row r="1511" spans="1:10" x14ac:dyDescent="0.2">
      <c r="A1511">
        <v>2.8986305427703299E-31</v>
      </c>
      <c r="B1511">
        <v>0.47394709750208303</v>
      </c>
      <c r="C1511">
        <v>0.21199999999999999</v>
      </c>
      <c r="D1511">
        <v>2.5999999999999999E-2</v>
      </c>
      <c r="E1511">
        <v>4.0285167283422103E-27</v>
      </c>
      <c r="F1511">
        <v>3</v>
      </c>
      <c r="G1511" t="s">
        <v>642</v>
      </c>
      <c r="H1511" t="s">
        <v>643</v>
      </c>
      <c r="I1511" t="str">
        <f>HYPERLINK("https://zfin.org/ZDB-GENE-131121-564")</f>
        <v>https://zfin.org/ZDB-GENE-131121-564</v>
      </c>
      <c r="J1511" t="s">
        <v>644</v>
      </c>
    </row>
    <row r="1512" spans="1:10" x14ac:dyDescent="0.2">
      <c r="A1512">
        <v>3.2017083958372902E-31</v>
      </c>
      <c r="B1512">
        <v>0.75737388951944895</v>
      </c>
      <c r="C1512">
        <v>0.74199999999999999</v>
      </c>
      <c r="D1512">
        <v>0.28599999999999998</v>
      </c>
      <c r="E1512">
        <v>4.4497343285346601E-27</v>
      </c>
      <c r="F1512">
        <v>3</v>
      </c>
      <c r="G1512" t="s">
        <v>3742</v>
      </c>
      <c r="H1512" t="s">
        <v>3743</v>
      </c>
      <c r="I1512" t="str">
        <f>HYPERLINK("https://zfin.org/ZDB-GENE-020419-5")</f>
        <v>https://zfin.org/ZDB-GENE-020419-5</v>
      </c>
      <c r="J1512" t="s">
        <v>3744</v>
      </c>
    </row>
    <row r="1513" spans="1:10" x14ac:dyDescent="0.2">
      <c r="A1513">
        <v>3.9890371557907097E-31</v>
      </c>
      <c r="B1513">
        <v>0.75135783354210794</v>
      </c>
      <c r="C1513">
        <v>0.71199999999999997</v>
      </c>
      <c r="D1513">
        <v>0.26200000000000001</v>
      </c>
      <c r="E1513">
        <v>5.54396383911794E-27</v>
      </c>
      <c r="F1513">
        <v>3</v>
      </c>
      <c r="G1513" t="s">
        <v>3318</v>
      </c>
      <c r="H1513" t="s">
        <v>3319</v>
      </c>
      <c r="I1513" t="str">
        <f>HYPERLINK("https://zfin.org/ZDB-GENE-070410-56")</f>
        <v>https://zfin.org/ZDB-GENE-070410-56</v>
      </c>
      <c r="J1513" t="s">
        <v>3320</v>
      </c>
    </row>
    <row r="1514" spans="1:10" x14ac:dyDescent="0.2">
      <c r="A1514">
        <v>4.2597307056009E-31</v>
      </c>
      <c r="B1514">
        <v>0.44779478014360602</v>
      </c>
      <c r="C1514">
        <v>1</v>
      </c>
      <c r="D1514">
        <v>0.98</v>
      </c>
      <c r="E1514">
        <v>5.9201737346441402E-27</v>
      </c>
      <c r="F1514">
        <v>3</v>
      </c>
      <c r="G1514" t="s">
        <v>1883</v>
      </c>
      <c r="H1514" t="s">
        <v>1884</v>
      </c>
      <c r="I1514" t="str">
        <f>HYPERLINK("https://zfin.org/ZDB-GENE-070327-2")</f>
        <v>https://zfin.org/ZDB-GENE-070327-2</v>
      </c>
      <c r="J1514" t="s">
        <v>1885</v>
      </c>
    </row>
    <row r="1515" spans="1:10" x14ac:dyDescent="0.2">
      <c r="A1515">
        <v>4.44382924924846E-31</v>
      </c>
      <c r="B1515">
        <v>0.83222478437667702</v>
      </c>
      <c r="C1515">
        <v>0.81799999999999995</v>
      </c>
      <c r="D1515">
        <v>0.35799999999999998</v>
      </c>
      <c r="E1515">
        <v>6.1760338906055E-27</v>
      </c>
      <c r="F1515">
        <v>3</v>
      </c>
      <c r="G1515" t="s">
        <v>3745</v>
      </c>
      <c r="H1515" t="s">
        <v>3746</v>
      </c>
      <c r="I1515" t="str">
        <f>HYPERLINK("https://zfin.org/ZDB-GENE-030131-9796")</f>
        <v>https://zfin.org/ZDB-GENE-030131-9796</v>
      </c>
      <c r="J1515" t="s">
        <v>3747</v>
      </c>
    </row>
    <row r="1516" spans="1:10" x14ac:dyDescent="0.2">
      <c r="A1516">
        <v>5.1650950961147097E-31</v>
      </c>
      <c r="B1516">
        <v>-1.6929129697238601</v>
      </c>
      <c r="C1516">
        <v>9.8000000000000004E-2</v>
      </c>
      <c r="D1516">
        <v>0.63200000000000001</v>
      </c>
      <c r="E1516">
        <v>7.1784491645802204E-27</v>
      </c>
      <c r="F1516">
        <v>3</v>
      </c>
      <c r="G1516" t="s">
        <v>1558</v>
      </c>
      <c r="H1516" t="s">
        <v>1559</v>
      </c>
      <c r="I1516" t="str">
        <f>HYPERLINK("https://zfin.org/")</f>
        <v>https://zfin.org/</v>
      </c>
    </row>
    <row r="1517" spans="1:10" x14ac:dyDescent="0.2">
      <c r="A1517">
        <v>6.1279700068481799E-31</v>
      </c>
      <c r="B1517">
        <v>0.40699541243288101</v>
      </c>
      <c r="C1517">
        <v>0.14399999999999999</v>
      </c>
      <c r="D1517">
        <v>1.0999999999999999E-2</v>
      </c>
      <c r="E1517">
        <v>8.5166527155175997E-27</v>
      </c>
      <c r="F1517">
        <v>3</v>
      </c>
      <c r="G1517" t="s">
        <v>3748</v>
      </c>
      <c r="H1517" t="s">
        <v>3749</v>
      </c>
      <c r="I1517" t="str">
        <f>HYPERLINK("https://zfin.org/ZDB-GENE-040801-161")</f>
        <v>https://zfin.org/ZDB-GENE-040801-161</v>
      </c>
      <c r="J1517" t="s">
        <v>3750</v>
      </c>
    </row>
    <row r="1518" spans="1:10" x14ac:dyDescent="0.2">
      <c r="A1518">
        <v>7.7234102607653803E-31</v>
      </c>
      <c r="B1518">
        <v>0.71808374350315296</v>
      </c>
      <c r="C1518">
        <v>0.44700000000000001</v>
      </c>
      <c r="D1518">
        <v>0.111</v>
      </c>
      <c r="E1518">
        <v>1.0733995580411699E-26</v>
      </c>
      <c r="F1518">
        <v>3</v>
      </c>
      <c r="G1518" t="s">
        <v>1278</v>
      </c>
      <c r="H1518" t="s">
        <v>1279</v>
      </c>
      <c r="I1518" t="str">
        <f>HYPERLINK("https://zfin.org/ZDB-GENE-040426-1753")</f>
        <v>https://zfin.org/ZDB-GENE-040426-1753</v>
      </c>
      <c r="J1518" t="s">
        <v>1280</v>
      </c>
    </row>
    <row r="1519" spans="1:10" x14ac:dyDescent="0.2">
      <c r="A1519">
        <v>1.25753327658825E-30</v>
      </c>
      <c r="B1519">
        <v>0.72718813923855397</v>
      </c>
      <c r="C1519">
        <v>0.22700000000000001</v>
      </c>
      <c r="D1519">
        <v>3.1E-2</v>
      </c>
      <c r="E1519">
        <v>1.7477197478023501E-26</v>
      </c>
      <c r="F1519">
        <v>3</v>
      </c>
      <c r="G1519" t="s">
        <v>3751</v>
      </c>
      <c r="H1519" t="s">
        <v>3752</v>
      </c>
      <c r="I1519" t="str">
        <f>HYPERLINK("https://zfin.org/ZDB-GENE-021115-7")</f>
        <v>https://zfin.org/ZDB-GENE-021115-7</v>
      </c>
      <c r="J1519" t="s">
        <v>3753</v>
      </c>
    </row>
    <row r="1520" spans="1:10" x14ac:dyDescent="0.2">
      <c r="A1520">
        <v>1.45555731582791E-30</v>
      </c>
      <c r="B1520">
        <v>-2.1150794714055001</v>
      </c>
      <c r="C1520">
        <v>0.47699999999999998</v>
      </c>
      <c r="D1520">
        <v>0.76200000000000001</v>
      </c>
      <c r="E1520">
        <v>2.02293355753762E-26</v>
      </c>
      <c r="F1520">
        <v>3</v>
      </c>
      <c r="G1520" t="s">
        <v>1701</v>
      </c>
      <c r="H1520" t="s">
        <v>1702</v>
      </c>
      <c r="I1520" t="str">
        <f>HYPERLINK("https://zfin.org/ZDB-GENE-111109-2")</f>
        <v>https://zfin.org/ZDB-GENE-111109-2</v>
      </c>
      <c r="J1520" t="s">
        <v>1703</v>
      </c>
    </row>
    <row r="1521" spans="1:10" x14ac:dyDescent="0.2">
      <c r="A1521">
        <v>1.4914542334178699E-30</v>
      </c>
      <c r="B1521">
        <v>0.74278247352798299</v>
      </c>
      <c r="C1521">
        <v>0.79500000000000004</v>
      </c>
      <c r="D1521">
        <v>0.33800000000000002</v>
      </c>
      <c r="E1521">
        <v>2.0728230936041601E-26</v>
      </c>
      <c r="F1521">
        <v>3</v>
      </c>
      <c r="G1521" t="s">
        <v>3082</v>
      </c>
      <c r="H1521" t="s">
        <v>3083</v>
      </c>
      <c r="I1521" t="str">
        <f>HYPERLINK("https://zfin.org/ZDB-GENE-040426-1421")</f>
        <v>https://zfin.org/ZDB-GENE-040426-1421</v>
      </c>
      <c r="J1521" t="s">
        <v>3084</v>
      </c>
    </row>
    <row r="1522" spans="1:10" x14ac:dyDescent="0.2">
      <c r="A1522">
        <v>5.1749031708979999E-30</v>
      </c>
      <c r="B1522">
        <v>-1.14789999258308</v>
      </c>
      <c r="C1522">
        <v>0.82599999999999996</v>
      </c>
      <c r="D1522">
        <v>0.88700000000000001</v>
      </c>
      <c r="E1522">
        <v>7.1920804269140405E-26</v>
      </c>
      <c r="F1522">
        <v>3</v>
      </c>
      <c r="G1522" t="s">
        <v>1344</v>
      </c>
      <c r="H1522" t="s">
        <v>1345</v>
      </c>
      <c r="I1522" t="str">
        <f>HYPERLINK("https://zfin.org/ZDB-GENE-141222-6")</f>
        <v>https://zfin.org/ZDB-GENE-141222-6</v>
      </c>
      <c r="J1522" t="s">
        <v>1346</v>
      </c>
    </row>
    <row r="1523" spans="1:10" x14ac:dyDescent="0.2">
      <c r="A1523">
        <v>5.8811848244432099E-30</v>
      </c>
      <c r="B1523">
        <v>0.76184335217711097</v>
      </c>
      <c r="C1523">
        <v>0.55300000000000005</v>
      </c>
      <c r="D1523">
        <v>0.16800000000000001</v>
      </c>
      <c r="E1523">
        <v>8.1736706690111699E-26</v>
      </c>
      <c r="F1523">
        <v>3</v>
      </c>
      <c r="G1523" t="s">
        <v>3754</v>
      </c>
      <c r="H1523" t="s">
        <v>3755</v>
      </c>
      <c r="I1523" t="str">
        <f>HYPERLINK("https://zfin.org/ZDB-GENE-031002-50")</f>
        <v>https://zfin.org/ZDB-GENE-031002-50</v>
      </c>
      <c r="J1523" t="s">
        <v>3756</v>
      </c>
    </row>
    <row r="1524" spans="1:10" x14ac:dyDescent="0.2">
      <c r="A1524">
        <v>6.2721501343437399E-30</v>
      </c>
      <c r="B1524">
        <v>0.56711829002541603</v>
      </c>
      <c r="C1524">
        <v>0.46200000000000002</v>
      </c>
      <c r="D1524">
        <v>0.115</v>
      </c>
      <c r="E1524">
        <v>8.7170342567109302E-26</v>
      </c>
      <c r="F1524">
        <v>3</v>
      </c>
      <c r="G1524" t="s">
        <v>1414</v>
      </c>
      <c r="H1524" t="s">
        <v>1415</v>
      </c>
      <c r="I1524" t="str">
        <f>HYPERLINK("https://zfin.org/ZDB-GENE-040426-2807")</f>
        <v>https://zfin.org/ZDB-GENE-040426-2807</v>
      </c>
      <c r="J1524" t="s">
        <v>1416</v>
      </c>
    </row>
    <row r="1525" spans="1:10" x14ac:dyDescent="0.2">
      <c r="A1525">
        <v>1.05000682169547E-29</v>
      </c>
      <c r="B1525">
        <v>0.87212524272619396</v>
      </c>
      <c r="C1525">
        <v>0.70499999999999996</v>
      </c>
      <c r="D1525">
        <v>0.29799999999999999</v>
      </c>
      <c r="E1525">
        <v>1.4592994807923699E-25</v>
      </c>
      <c r="F1525">
        <v>3</v>
      </c>
      <c r="G1525" t="s">
        <v>3273</v>
      </c>
      <c r="H1525" t="s">
        <v>3274</v>
      </c>
      <c r="I1525" t="str">
        <f>HYPERLINK("https://zfin.org/ZDB-GENE-030131-5083")</f>
        <v>https://zfin.org/ZDB-GENE-030131-5083</v>
      </c>
      <c r="J1525" t="s">
        <v>3275</v>
      </c>
    </row>
    <row r="1526" spans="1:10" x14ac:dyDescent="0.2">
      <c r="A1526">
        <v>1.1040019039211699E-29</v>
      </c>
      <c r="B1526">
        <v>0.47186493178524902</v>
      </c>
      <c r="C1526">
        <v>0.318</v>
      </c>
      <c r="D1526">
        <v>5.8000000000000003E-2</v>
      </c>
      <c r="E1526">
        <v>1.5343418460696399E-25</v>
      </c>
      <c r="F1526">
        <v>3</v>
      </c>
      <c r="G1526" t="s">
        <v>1806</v>
      </c>
      <c r="H1526" t="s">
        <v>1807</v>
      </c>
      <c r="I1526" t="str">
        <f>HYPERLINK("https://zfin.org/ZDB-GENE-130109-1")</f>
        <v>https://zfin.org/ZDB-GENE-130109-1</v>
      </c>
      <c r="J1526" t="s">
        <v>1808</v>
      </c>
    </row>
    <row r="1527" spans="1:10" x14ac:dyDescent="0.2">
      <c r="A1527">
        <v>1.11471350283789E-29</v>
      </c>
      <c r="B1527">
        <v>0.64920812333156797</v>
      </c>
      <c r="C1527">
        <v>0.5</v>
      </c>
      <c r="D1527">
        <v>0.13700000000000001</v>
      </c>
      <c r="E1527">
        <v>1.5492288262441001E-25</v>
      </c>
      <c r="F1527">
        <v>3</v>
      </c>
      <c r="G1527" t="s">
        <v>1501</v>
      </c>
      <c r="H1527" t="s">
        <v>1502</v>
      </c>
      <c r="I1527" t="str">
        <f>HYPERLINK("https://zfin.org/ZDB-GENE-030131-5299")</f>
        <v>https://zfin.org/ZDB-GENE-030131-5299</v>
      </c>
      <c r="J1527" t="s">
        <v>1503</v>
      </c>
    </row>
    <row r="1528" spans="1:10" x14ac:dyDescent="0.2">
      <c r="A1528">
        <v>1.58688380352315E-29</v>
      </c>
      <c r="B1528">
        <v>0.60378196369772896</v>
      </c>
      <c r="C1528">
        <v>0.22700000000000001</v>
      </c>
      <c r="D1528">
        <v>3.2000000000000001E-2</v>
      </c>
      <c r="E1528">
        <v>2.2054511101364701E-25</v>
      </c>
      <c r="F1528">
        <v>3</v>
      </c>
      <c r="G1528" t="s">
        <v>3757</v>
      </c>
      <c r="H1528" t="s">
        <v>3758</v>
      </c>
      <c r="I1528" t="str">
        <f>HYPERLINK("https://zfin.org/ZDB-GENE-040912-160")</f>
        <v>https://zfin.org/ZDB-GENE-040912-160</v>
      </c>
      <c r="J1528" t="s">
        <v>3759</v>
      </c>
    </row>
    <row r="1529" spans="1:10" x14ac:dyDescent="0.2">
      <c r="A1529">
        <v>1.69041384611582E-29</v>
      </c>
      <c r="B1529">
        <v>-0.88296374728987603</v>
      </c>
      <c r="C1529">
        <v>0.80300000000000005</v>
      </c>
      <c r="D1529">
        <v>0.90600000000000003</v>
      </c>
      <c r="E1529">
        <v>2.3493371633317701E-25</v>
      </c>
      <c r="F1529">
        <v>3</v>
      </c>
      <c r="G1529" t="s">
        <v>1332</v>
      </c>
      <c r="H1529" t="s">
        <v>1333</v>
      </c>
      <c r="I1529" t="str">
        <f>HYPERLINK("https://zfin.org/ZDB-GENE-040426-2740")</f>
        <v>https://zfin.org/ZDB-GENE-040426-2740</v>
      </c>
      <c r="J1529" t="s">
        <v>1334</v>
      </c>
    </row>
    <row r="1530" spans="1:10" x14ac:dyDescent="0.2">
      <c r="A1530">
        <v>2.0577226895054401E-29</v>
      </c>
      <c r="B1530">
        <v>0.74931068678568302</v>
      </c>
      <c r="C1530">
        <v>0.75800000000000001</v>
      </c>
      <c r="D1530">
        <v>0.311</v>
      </c>
      <c r="E1530">
        <v>2.8598229938746598E-25</v>
      </c>
      <c r="F1530">
        <v>3</v>
      </c>
      <c r="G1530" t="s">
        <v>3183</v>
      </c>
      <c r="H1530" t="s">
        <v>3184</v>
      </c>
      <c r="I1530" t="str">
        <f>HYPERLINK("https://zfin.org/ZDB-GENE-030131-6547")</f>
        <v>https://zfin.org/ZDB-GENE-030131-6547</v>
      </c>
      <c r="J1530" t="s">
        <v>3185</v>
      </c>
    </row>
    <row r="1531" spans="1:10" x14ac:dyDescent="0.2">
      <c r="A1531">
        <v>2.1814777216818701E-29</v>
      </c>
      <c r="B1531">
        <v>0.81009752025774995</v>
      </c>
      <c r="C1531">
        <v>0.83299999999999996</v>
      </c>
      <c r="D1531">
        <v>0.42499999999999999</v>
      </c>
      <c r="E1531">
        <v>3.0318177375934602E-25</v>
      </c>
      <c r="F1531">
        <v>3</v>
      </c>
      <c r="G1531" t="s">
        <v>2538</v>
      </c>
      <c r="H1531" t="s">
        <v>2539</v>
      </c>
      <c r="I1531" t="str">
        <f>HYPERLINK("https://zfin.org/ZDB-GENE-040426-2194")</f>
        <v>https://zfin.org/ZDB-GENE-040426-2194</v>
      </c>
      <c r="J1531" t="s">
        <v>2540</v>
      </c>
    </row>
    <row r="1532" spans="1:10" x14ac:dyDescent="0.2">
      <c r="A1532">
        <v>2.3704727203010499E-29</v>
      </c>
      <c r="B1532">
        <v>-1.3989222774544401</v>
      </c>
      <c r="C1532">
        <v>0.24199999999999999</v>
      </c>
      <c r="D1532">
        <v>0.68500000000000005</v>
      </c>
      <c r="E1532">
        <v>3.2944829866744099E-25</v>
      </c>
      <c r="F1532">
        <v>3</v>
      </c>
      <c r="G1532" t="s">
        <v>1638</v>
      </c>
      <c r="H1532" t="s">
        <v>1639</v>
      </c>
      <c r="I1532" t="str">
        <f>HYPERLINK("https://zfin.org/ZDB-GENE-010129-1")</f>
        <v>https://zfin.org/ZDB-GENE-010129-1</v>
      </c>
      <c r="J1532" t="s">
        <v>1640</v>
      </c>
    </row>
    <row r="1533" spans="1:10" x14ac:dyDescent="0.2">
      <c r="A1533">
        <v>2.6702894382685998E-29</v>
      </c>
      <c r="B1533">
        <v>0.38988443806881001</v>
      </c>
      <c r="C1533">
        <v>0.22</v>
      </c>
      <c r="D1533">
        <v>2.9000000000000001E-2</v>
      </c>
      <c r="E1533">
        <v>3.7111682613057098E-25</v>
      </c>
      <c r="F1533">
        <v>3</v>
      </c>
      <c r="G1533" t="s">
        <v>3760</v>
      </c>
      <c r="H1533" t="s">
        <v>3761</v>
      </c>
      <c r="I1533" t="str">
        <f>HYPERLINK("https://zfin.org/ZDB-GENE-060810-13")</f>
        <v>https://zfin.org/ZDB-GENE-060810-13</v>
      </c>
      <c r="J1533" t="s">
        <v>3762</v>
      </c>
    </row>
    <row r="1534" spans="1:10" x14ac:dyDescent="0.2">
      <c r="A1534">
        <v>2.7772523627137298E-29</v>
      </c>
      <c r="B1534">
        <v>0.62243544448393395</v>
      </c>
      <c r="C1534">
        <v>0.40200000000000002</v>
      </c>
      <c r="D1534">
        <v>9.2999999999999999E-2</v>
      </c>
      <c r="E1534">
        <v>3.85982533369954E-25</v>
      </c>
      <c r="F1534">
        <v>3</v>
      </c>
      <c r="G1534" t="s">
        <v>3763</v>
      </c>
      <c r="H1534" t="s">
        <v>3764</v>
      </c>
      <c r="I1534" t="str">
        <f>HYPERLINK("https://zfin.org/ZDB-GENE-991008-16")</f>
        <v>https://zfin.org/ZDB-GENE-991008-16</v>
      </c>
      <c r="J1534" t="s">
        <v>3765</v>
      </c>
    </row>
    <row r="1535" spans="1:10" x14ac:dyDescent="0.2">
      <c r="A1535">
        <v>3.3336089258057502E-29</v>
      </c>
      <c r="B1535">
        <v>0.73699481164278402</v>
      </c>
      <c r="C1535">
        <v>0.84799999999999998</v>
      </c>
      <c r="D1535">
        <v>0.41199999999999998</v>
      </c>
      <c r="E1535">
        <v>4.6330496850848296E-25</v>
      </c>
      <c r="F1535">
        <v>3</v>
      </c>
      <c r="G1535" t="s">
        <v>3766</v>
      </c>
      <c r="H1535" t="s">
        <v>3767</v>
      </c>
      <c r="I1535" t="str">
        <f>HYPERLINK("https://zfin.org/ZDB-GENE-030131-4275")</f>
        <v>https://zfin.org/ZDB-GENE-030131-4275</v>
      </c>
      <c r="J1535" t="s">
        <v>3768</v>
      </c>
    </row>
    <row r="1536" spans="1:10" x14ac:dyDescent="0.2">
      <c r="A1536">
        <v>3.6337141807766297E-29</v>
      </c>
      <c r="B1536">
        <v>0.359402055262592</v>
      </c>
      <c r="C1536">
        <v>0.19700000000000001</v>
      </c>
      <c r="D1536">
        <v>2.3E-2</v>
      </c>
      <c r="E1536">
        <v>5.0501359684433596E-25</v>
      </c>
      <c r="F1536">
        <v>3</v>
      </c>
      <c r="G1536" t="s">
        <v>3769</v>
      </c>
      <c r="H1536" t="s">
        <v>3770</v>
      </c>
      <c r="I1536" t="str">
        <f>HYPERLINK("https://zfin.org/ZDB-GENE-130603-106")</f>
        <v>https://zfin.org/ZDB-GENE-130603-106</v>
      </c>
      <c r="J1536" t="s">
        <v>3771</v>
      </c>
    </row>
    <row r="1537" spans="1:10" x14ac:dyDescent="0.2">
      <c r="A1537">
        <v>3.6370972493480803E-29</v>
      </c>
      <c r="B1537">
        <v>1.1178043598221601</v>
      </c>
      <c r="C1537">
        <v>0.34100000000000003</v>
      </c>
      <c r="D1537">
        <v>7.0999999999999994E-2</v>
      </c>
      <c r="E1537">
        <v>5.0548377571439602E-25</v>
      </c>
      <c r="F1537">
        <v>3</v>
      </c>
      <c r="G1537" t="s">
        <v>3772</v>
      </c>
      <c r="H1537" t="s">
        <v>3773</v>
      </c>
      <c r="I1537" t="str">
        <f>HYPERLINK("https://zfin.org/ZDB-GENE-051030-48")</f>
        <v>https://zfin.org/ZDB-GENE-051030-48</v>
      </c>
      <c r="J1537" t="s">
        <v>3774</v>
      </c>
    </row>
    <row r="1538" spans="1:10" x14ac:dyDescent="0.2">
      <c r="A1538">
        <v>4.09015177732017E-29</v>
      </c>
      <c r="B1538">
        <v>0.62386905661592595</v>
      </c>
      <c r="C1538">
        <v>0.30299999999999999</v>
      </c>
      <c r="D1538">
        <v>5.6000000000000001E-2</v>
      </c>
      <c r="E1538">
        <v>5.6844929401195803E-25</v>
      </c>
      <c r="F1538">
        <v>3</v>
      </c>
      <c r="G1538" t="s">
        <v>3775</v>
      </c>
      <c r="H1538" t="s">
        <v>3776</v>
      </c>
      <c r="I1538" t="str">
        <f>HYPERLINK("https://zfin.org/ZDB-GENE-040704-75")</f>
        <v>https://zfin.org/ZDB-GENE-040704-75</v>
      </c>
      <c r="J1538" t="s">
        <v>3777</v>
      </c>
    </row>
    <row r="1539" spans="1:10" x14ac:dyDescent="0.2">
      <c r="A1539">
        <v>6.2196883085983497E-29</v>
      </c>
      <c r="B1539">
        <v>0.70545024263155398</v>
      </c>
      <c r="C1539">
        <v>0.93200000000000005</v>
      </c>
      <c r="D1539">
        <v>0.77400000000000002</v>
      </c>
      <c r="E1539">
        <v>8.6441228112899805E-25</v>
      </c>
      <c r="F1539">
        <v>3</v>
      </c>
      <c r="G1539" t="s">
        <v>2117</v>
      </c>
      <c r="H1539" t="s">
        <v>2118</v>
      </c>
      <c r="I1539" t="str">
        <f>HYPERLINK("https://zfin.org/ZDB-GENE-030131-618")</f>
        <v>https://zfin.org/ZDB-GENE-030131-618</v>
      </c>
      <c r="J1539" t="s">
        <v>2119</v>
      </c>
    </row>
    <row r="1540" spans="1:10" x14ac:dyDescent="0.2">
      <c r="A1540">
        <v>7.36727286113986E-29</v>
      </c>
      <c r="B1540">
        <v>0.57804753045603297</v>
      </c>
      <c r="C1540">
        <v>0.42399999999999999</v>
      </c>
      <c r="D1540">
        <v>0.1</v>
      </c>
      <c r="E1540">
        <v>1.02390358224122E-24</v>
      </c>
      <c r="F1540">
        <v>3</v>
      </c>
      <c r="G1540" t="s">
        <v>3778</v>
      </c>
      <c r="H1540" t="s">
        <v>3779</v>
      </c>
      <c r="I1540" t="str">
        <f>HYPERLINK("https://zfin.org/ZDB-GENE-030131-2426")</f>
        <v>https://zfin.org/ZDB-GENE-030131-2426</v>
      </c>
      <c r="J1540" t="s">
        <v>3780</v>
      </c>
    </row>
    <row r="1541" spans="1:10" x14ac:dyDescent="0.2">
      <c r="A1541">
        <v>8.9625412769356504E-29</v>
      </c>
      <c r="B1541">
        <v>0.41727505270371301</v>
      </c>
      <c r="C1541">
        <v>0.16700000000000001</v>
      </c>
      <c r="D1541">
        <v>1.7000000000000001E-2</v>
      </c>
      <c r="E1541">
        <v>1.2456139866685199E-24</v>
      </c>
      <c r="F1541">
        <v>3</v>
      </c>
      <c r="G1541" t="s">
        <v>3781</v>
      </c>
      <c r="H1541" t="s">
        <v>3782</v>
      </c>
      <c r="I1541" t="str">
        <f>HYPERLINK("https://zfin.org/ZDB-GENE-030616-400")</f>
        <v>https://zfin.org/ZDB-GENE-030616-400</v>
      </c>
      <c r="J1541" t="s">
        <v>3783</v>
      </c>
    </row>
    <row r="1542" spans="1:10" x14ac:dyDescent="0.2">
      <c r="A1542">
        <v>1.2858258124016301E-28</v>
      </c>
      <c r="B1542">
        <v>0.51718419530343596</v>
      </c>
      <c r="C1542">
        <v>0.22</v>
      </c>
      <c r="D1542">
        <v>0.03</v>
      </c>
      <c r="E1542">
        <v>1.7870407140757801E-24</v>
      </c>
      <c r="F1542">
        <v>3</v>
      </c>
      <c r="G1542" t="s">
        <v>3784</v>
      </c>
      <c r="H1542" t="s">
        <v>3785</v>
      </c>
      <c r="I1542" t="str">
        <f>HYPERLINK("https://zfin.org/ZDB-GENE-050522-456")</f>
        <v>https://zfin.org/ZDB-GENE-050522-456</v>
      </c>
      <c r="J1542" t="s">
        <v>3786</v>
      </c>
    </row>
    <row r="1543" spans="1:10" x14ac:dyDescent="0.2">
      <c r="A1543">
        <v>1.51710135054878E-28</v>
      </c>
      <c r="B1543">
        <v>-1.62268099962698</v>
      </c>
      <c r="C1543">
        <v>0.35599999999999998</v>
      </c>
      <c r="D1543">
        <v>0.72</v>
      </c>
      <c r="E1543">
        <v>2.1084674569926901E-24</v>
      </c>
      <c r="F1543">
        <v>3</v>
      </c>
      <c r="G1543" t="s">
        <v>1689</v>
      </c>
      <c r="H1543" t="s">
        <v>1690</v>
      </c>
      <c r="I1543" t="str">
        <f>HYPERLINK("https://zfin.org/ZDB-GENE-101011-2")</f>
        <v>https://zfin.org/ZDB-GENE-101011-2</v>
      </c>
      <c r="J1543" t="s">
        <v>1691</v>
      </c>
    </row>
    <row r="1544" spans="1:10" x14ac:dyDescent="0.2">
      <c r="A1544">
        <v>1.635425535736E-28</v>
      </c>
      <c r="B1544">
        <v>0.59631537791877198</v>
      </c>
      <c r="C1544">
        <v>0.36399999999999999</v>
      </c>
      <c r="D1544">
        <v>0.08</v>
      </c>
      <c r="E1544">
        <v>2.2729144095658999E-24</v>
      </c>
      <c r="F1544">
        <v>3</v>
      </c>
      <c r="G1544" t="s">
        <v>3787</v>
      </c>
      <c r="H1544" t="s">
        <v>3788</v>
      </c>
      <c r="I1544" t="str">
        <f>HYPERLINK("https://zfin.org/ZDB-GENE-030131-617")</f>
        <v>https://zfin.org/ZDB-GENE-030131-617</v>
      </c>
      <c r="J1544" t="s">
        <v>3789</v>
      </c>
    </row>
    <row r="1545" spans="1:10" x14ac:dyDescent="0.2">
      <c r="A1545">
        <v>1.91933098036125E-28</v>
      </c>
      <c r="B1545">
        <v>-1.4939734892431999</v>
      </c>
      <c r="C1545">
        <v>0.67400000000000004</v>
      </c>
      <c r="D1545">
        <v>0.84699999999999998</v>
      </c>
      <c r="E1545">
        <v>2.6674861965060702E-24</v>
      </c>
      <c r="F1545">
        <v>3</v>
      </c>
      <c r="G1545" t="s">
        <v>1857</v>
      </c>
      <c r="H1545" t="s">
        <v>1858</v>
      </c>
      <c r="I1545" t="str">
        <f>HYPERLINK("https://zfin.org/ZDB-GENE-030131-8599")</f>
        <v>https://zfin.org/ZDB-GENE-030131-8599</v>
      </c>
      <c r="J1545" t="s">
        <v>1859</v>
      </c>
    </row>
    <row r="1546" spans="1:10" x14ac:dyDescent="0.2">
      <c r="A1546">
        <v>2.0089573871181899E-28</v>
      </c>
      <c r="B1546">
        <v>0.66139535839186103</v>
      </c>
      <c r="C1546">
        <v>0.72699999999999998</v>
      </c>
      <c r="D1546">
        <v>0.28799999999999998</v>
      </c>
      <c r="E1546">
        <v>2.7920489766168601E-24</v>
      </c>
      <c r="F1546">
        <v>3</v>
      </c>
      <c r="G1546" t="s">
        <v>3790</v>
      </c>
      <c r="H1546" t="s">
        <v>3791</v>
      </c>
      <c r="I1546" t="str">
        <f>HYPERLINK("https://zfin.org/ZDB-GENE-040426-899")</f>
        <v>https://zfin.org/ZDB-GENE-040426-899</v>
      </c>
      <c r="J1546" t="s">
        <v>3792</v>
      </c>
    </row>
    <row r="1547" spans="1:10" x14ac:dyDescent="0.2">
      <c r="A1547">
        <v>2.2266906567107501E-28</v>
      </c>
      <c r="B1547">
        <v>0.49835875220822901</v>
      </c>
      <c r="C1547">
        <v>0.159</v>
      </c>
      <c r="D1547">
        <v>1.6E-2</v>
      </c>
      <c r="E1547">
        <v>3.0946546746965999E-24</v>
      </c>
      <c r="F1547">
        <v>3</v>
      </c>
      <c r="G1547" t="s">
        <v>3793</v>
      </c>
      <c r="H1547" t="s">
        <v>3794</v>
      </c>
      <c r="I1547" t="str">
        <f>HYPERLINK("https://zfin.org/ZDB-GENE-060929-684")</f>
        <v>https://zfin.org/ZDB-GENE-060929-684</v>
      </c>
      <c r="J1547" t="s">
        <v>3795</v>
      </c>
    </row>
    <row r="1548" spans="1:10" x14ac:dyDescent="0.2">
      <c r="A1548">
        <v>2.5586873893523601E-28</v>
      </c>
      <c r="B1548">
        <v>0.34750364897934</v>
      </c>
      <c r="C1548">
        <v>0.182</v>
      </c>
      <c r="D1548">
        <v>0.02</v>
      </c>
      <c r="E1548">
        <v>3.5560637337219E-24</v>
      </c>
      <c r="F1548">
        <v>3</v>
      </c>
      <c r="G1548" t="s">
        <v>3796</v>
      </c>
      <c r="H1548" t="s">
        <v>3797</v>
      </c>
      <c r="I1548" t="str">
        <f>HYPERLINK("https://zfin.org/ZDB-GENE-071004-41")</f>
        <v>https://zfin.org/ZDB-GENE-071004-41</v>
      </c>
      <c r="J1548" t="s">
        <v>3798</v>
      </c>
    </row>
    <row r="1549" spans="1:10" x14ac:dyDescent="0.2">
      <c r="A1549">
        <v>3.7109589065976902E-28</v>
      </c>
      <c r="B1549">
        <v>0.534588241673707</v>
      </c>
      <c r="C1549">
        <v>0.432</v>
      </c>
      <c r="D1549">
        <v>0.106</v>
      </c>
      <c r="E1549">
        <v>5.1574906883894703E-24</v>
      </c>
      <c r="F1549">
        <v>3</v>
      </c>
      <c r="G1549" t="s">
        <v>3799</v>
      </c>
      <c r="H1549" t="s">
        <v>3800</v>
      </c>
      <c r="I1549" t="str">
        <f>HYPERLINK("https://zfin.org/ZDB-GENE-050417-398")</f>
        <v>https://zfin.org/ZDB-GENE-050417-398</v>
      </c>
      <c r="J1549" t="s">
        <v>3801</v>
      </c>
    </row>
    <row r="1550" spans="1:10" x14ac:dyDescent="0.2">
      <c r="A1550">
        <v>4.61666067887047E-28</v>
      </c>
      <c r="B1550">
        <v>0.51451273286562904</v>
      </c>
      <c r="C1550">
        <v>1</v>
      </c>
      <c r="D1550">
        <v>0.92500000000000004</v>
      </c>
      <c r="E1550">
        <v>6.4162350114941804E-24</v>
      </c>
      <c r="F1550">
        <v>3</v>
      </c>
      <c r="G1550" t="s">
        <v>3802</v>
      </c>
      <c r="H1550" t="s">
        <v>3803</v>
      </c>
      <c r="I1550" t="str">
        <f>HYPERLINK("https://zfin.org/ZDB-GENE-990415-95")</f>
        <v>https://zfin.org/ZDB-GENE-990415-95</v>
      </c>
      <c r="J1550" t="s">
        <v>3804</v>
      </c>
    </row>
    <row r="1551" spans="1:10" x14ac:dyDescent="0.2">
      <c r="A1551">
        <v>5.1959557711185803E-28</v>
      </c>
      <c r="B1551">
        <v>0.73609160651325101</v>
      </c>
      <c r="C1551">
        <v>0.47699999999999998</v>
      </c>
      <c r="D1551">
        <v>0.13300000000000001</v>
      </c>
      <c r="E1551">
        <v>7.2213393307006095E-24</v>
      </c>
      <c r="F1551">
        <v>3</v>
      </c>
      <c r="G1551" t="s">
        <v>3805</v>
      </c>
      <c r="H1551" t="s">
        <v>3806</v>
      </c>
      <c r="I1551" t="str">
        <f>HYPERLINK("https://zfin.org/ZDB-GENE-030131-9687")</f>
        <v>https://zfin.org/ZDB-GENE-030131-9687</v>
      </c>
      <c r="J1551" t="s">
        <v>3807</v>
      </c>
    </row>
    <row r="1552" spans="1:10" x14ac:dyDescent="0.2">
      <c r="A1552">
        <v>8.6343215843311206E-28</v>
      </c>
      <c r="B1552">
        <v>0.25670373294561299</v>
      </c>
      <c r="C1552">
        <v>0.114</v>
      </c>
      <c r="D1552">
        <v>7.0000000000000001E-3</v>
      </c>
      <c r="E1552">
        <v>1.19999801379034E-23</v>
      </c>
      <c r="F1552">
        <v>3</v>
      </c>
      <c r="G1552" t="s">
        <v>3808</v>
      </c>
      <c r="H1552" t="s">
        <v>3809</v>
      </c>
      <c r="I1552" t="str">
        <f>HYPERLINK("https://zfin.org/ZDB-GENE-040426-777")</f>
        <v>https://zfin.org/ZDB-GENE-040426-777</v>
      </c>
      <c r="J1552" t="s">
        <v>3810</v>
      </c>
    </row>
    <row r="1553" spans="1:10" x14ac:dyDescent="0.2">
      <c r="A1553">
        <v>8.99284656209955E-28</v>
      </c>
      <c r="B1553">
        <v>0.42620319179557198</v>
      </c>
      <c r="C1553">
        <v>0.24199999999999999</v>
      </c>
      <c r="D1553">
        <v>3.7999999999999999E-2</v>
      </c>
      <c r="E1553">
        <v>1.2498258152006E-23</v>
      </c>
      <c r="F1553">
        <v>3</v>
      </c>
      <c r="G1553" t="s">
        <v>3811</v>
      </c>
      <c r="H1553" t="s">
        <v>3812</v>
      </c>
      <c r="I1553" t="str">
        <f>HYPERLINK("https://zfin.org/ZDB-GENE-010816-1")</f>
        <v>https://zfin.org/ZDB-GENE-010816-1</v>
      </c>
      <c r="J1553" t="s">
        <v>3813</v>
      </c>
    </row>
    <row r="1554" spans="1:10" x14ac:dyDescent="0.2">
      <c r="A1554">
        <v>1.01649323452525E-27</v>
      </c>
      <c r="B1554">
        <v>0.52015469589026897</v>
      </c>
      <c r="C1554">
        <v>0.44700000000000001</v>
      </c>
      <c r="D1554">
        <v>0.113</v>
      </c>
      <c r="E1554">
        <v>1.41272229734319E-23</v>
      </c>
      <c r="F1554">
        <v>3</v>
      </c>
      <c r="G1554" t="s">
        <v>3814</v>
      </c>
      <c r="H1554" t="s">
        <v>3815</v>
      </c>
      <c r="I1554" t="str">
        <f>HYPERLINK("https://zfin.org/ZDB-GENE-040426-978")</f>
        <v>https://zfin.org/ZDB-GENE-040426-978</v>
      </c>
      <c r="J1554" t="s">
        <v>3816</v>
      </c>
    </row>
    <row r="1555" spans="1:10" x14ac:dyDescent="0.2">
      <c r="A1555">
        <v>1.0400717464796E-27</v>
      </c>
      <c r="B1555">
        <v>0.69842257928593898</v>
      </c>
      <c r="C1555">
        <v>0.67400000000000004</v>
      </c>
      <c r="D1555">
        <v>0.24399999999999999</v>
      </c>
      <c r="E1555">
        <v>1.4454917132573399E-23</v>
      </c>
      <c r="F1555">
        <v>3</v>
      </c>
      <c r="G1555" t="s">
        <v>3073</v>
      </c>
      <c r="H1555" t="s">
        <v>3074</v>
      </c>
      <c r="I1555" t="str">
        <f>HYPERLINK("https://zfin.org/ZDB-GENE-030131-1921")</f>
        <v>https://zfin.org/ZDB-GENE-030131-1921</v>
      </c>
      <c r="J1555" t="s">
        <v>3075</v>
      </c>
    </row>
    <row r="1556" spans="1:10" x14ac:dyDescent="0.2">
      <c r="A1556">
        <v>1.32590148294046E-27</v>
      </c>
      <c r="B1556">
        <v>0.63221034187286895</v>
      </c>
      <c r="C1556">
        <v>0.621</v>
      </c>
      <c r="D1556">
        <v>0.21199999999999999</v>
      </c>
      <c r="E1556">
        <v>1.84273788099065E-23</v>
      </c>
      <c r="F1556">
        <v>3</v>
      </c>
      <c r="G1556" t="s">
        <v>3817</v>
      </c>
      <c r="H1556" t="s">
        <v>3818</v>
      </c>
      <c r="I1556" t="str">
        <f>HYPERLINK("https://zfin.org/ZDB-GENE-011018-2")</f>
        <v>https://zfin.org/ZDB-GENE-011018-2</v>
      </c>
      <c r="J1556" t="s">
        <v>3819</v>
      </c>
    </row>
    <row r="1557" spans="1:10" x14ac:dyDescent="0.2">
      <c r="A1557">
        <v>1.4403229429098501E-27</v>
      </c>
      <c r="B1557">
        <v>0.62812623540197898</v>
      </c>
      <c r="C1557">
        <v>0.53</v>
      </c>
      <c r="D1557">
        <v>0.158</v>
      </c>
      <c r="E1557">
        <v>2.0017608260561E-23</v>
      </c>
      <c r="F1557">
        <v>3</v>
      </c>
      <c r="G1557" t="s">
        <v>3820</v>
      </c>
      <c r="H1557" t="s">
        <v>3821</v>
      </c>
      <c r="I1557" t="str">
        <f>HYPERLINK("https://zfin.org/ZDB-GENE-030131-2841")</f>
        <v>https://zfin.org/ZDB-GENE-030131-2841</v>
      </c>
      <c r="J1557" t="s">
        <v>3822</v>
      </c>
    </row>
    <row r="1558" spans="1:10" x14ac:dyDescent="0.2">
      <c r="A1558">
        <v>1.52596377048599E-27</v>
      </c>
      <c r="B1558">
        <v>0.363106712443868</v>
      </c>
      <c r="C1558">
        <v>0.13600000000000001</v>
      </c>
      <c r="D1558">
        <v>1.2E-2</v>
      </c>
      <c r="E1558">
        <v>2.1207844482214301E-23</v>
      </c>
      <c r="F1558">
        <v>3</v>
      </c>
      <c r="G1558" t="s">
        <v>3823</v>
      </c>
      <c r="H1558" t="s">
        <v>3824</v>
      </c>
      <c r="I1558" t="str">
        <f>HYPERLINK("https://zfin.org/ZDB-GENE-071004-17")</f>
        <v>https://zfin.org/ZDB-GENE-071004-17</v>
      </c>
      <c r="J1558" t="s">
        <v>3825</v>
      </c>
    </row>
    <row r="1559" spans="1:10" x14ac:dyDescent="0.2">
      <c r="A1559">
        <v>1.64323704751087E-27</v>
      </c>
      <c r="B1559">
        <v>0.81197773127017703</v>
      </c>
      <c r="C1559">
        <v>0.97699999999999998</v>
      </c>
      <c r="D1559">
        <v>0.749</v>
      </c>
      <c r="E1559">
        <v>2.2837708486306099E-23</v>
      </c>
      <c r="F1559">
        <v>3</v>
      </c>
      <c r="G1559" t="s">
        <v>1976</v>
      </c>
      <c r="H1559" t="s">
        <v>1977</v>
      </c>
      <c r="I1559" t="str">
        <f>HYPERLINK("https://zfin.org/ZDB-GENE-040426-1961")</f>
        <v>https://zfin.org/ZDB-GENE-040426-1961</v>
      </c>
      <c r="J1559" t="s">
        <v>1978</v>
      </c>
    </row>
    <row r="1560" spans="1:10" x14ac:dyDescent="0.2">
      <c r="A1560">
        <v>1.6444562300860901E-27</v>
      </c>
      <c r="B1560">
        <v>0.65627218894036499</v>
      </c>
      <c r="C1560">
        <v>0.50800000000000001</v>
      </c>
      <c r="D1560">
        <v>0.14899999999999999</v>
      </c>
      <c r="E1560">
        <v>2.2854652685736499E-23</v>
      </c>
      <c r="F1560">
        <v>3</v>
      </c>
      <c r="G1560" t="s">
        <v>3826</v>
      </c>
      <c r="H1560" t="s">
        <v>3827</v>
      </c>
      <c r="I1560" t="str">
        <f>HYPERLINK("https://zfin.org/ZDB-GENE-040625-69")</f>
        <v>https://zfin.org/ZDB-GENE-040625-69</v>
      </c>
      <c r="J1560" t="s">
        <v>3828</v>
      </c>
    </row>
    <row r="1561" spans="1:10" x14ac:dyDescent="0.2">
      <c r="A1561">
        <v>1.8991575192349401E-27</v>
      </c>
      <c r="B1561">
        <v>0.73103467918064302</v>
      </c>
      <c r="C1561">
        <v>0.88600000000000001</v>
      </c>
      <c r="D1561">
        <v>0.47499999999999998</v>
      </c>
      <c r="E1561">
        <v>2.6394491202327199E-23</v>
      </c>
      <c r="F1561">
        <v>3</v>
      </c>
      <c r="G1561" t="s">
        <v>3053</v>
      </c>
      <c r="H1561" t="s">
        <v>3054</v>
      </c>
      <c r="I1561" t="str">
        <f>HYPERLINK("https://zfin.org/ZDB-GENE-040914-10")</f>
        <v>https://zfin.org/ZDB-GENE-040914-10</v>
      </c>
      <c r="J1561" t="s">
        <v>3055</v>
      </c>
    </row>
    <row r="1562" spans="1:10" x14ac:dyDescent="0.2">
      <c r="A1562">
        <v>1.9998497382260502E-27</v>
      </c>
      <c r="B1562">
        <v>0.67109315309240403</v>
      </c>
      <c r="C1562">
        <v>0.66700000000000004</v>
      </c>
      <c r="D1562">
        <v>0.24399999999999999</v>
      </c>
      <c r="E1562">
        <v>2.7793911661865698E-23</v>
      </c>
      <c r="F1562">
        <v>3</v>
      </c>
      <c r="G1562" t="s">
        <v>663</v>
      </c>
      <c r="H1562" t="s">
        <v>664</v>
      </c>
      <c r="I1562" t="str">
        <f>HYPERLINK("https://zfin.org/ZDB-GENE-060825-160")</f>
        <v>https://zfin.org/ZDB-GENE-060825-160</v>
      </c>
      <c r="J1562" t="s">
        <v>665</v>
      </c>
    </row>
    <row r="1563" spans="1:10" x14ac:dyDescent="0.2">
      <c r="A1563">
        <v>2.56938155091827E-27</v>
      </c>
      <c r="B1563">
        <v>0.51089057967645501</v>
      </c>
      <c r="C1563">
        <v>0.38600000000000001</v>
      </c>
      <c r="D1563">
        <v>0.09</v>
      </c>
      <c r="E1563">
        <v>3.5709264794662103E-23</v>
      </c>
      <c r="F1563">
        <v>3</v>
      </c>
      <c r="G1563" t="s">
        <v>3829</v>
      </c>
      <c r="H1563" t="s">
        <v>3830</v>
      </c>
      <c r="I1563" t="str">
        <f>HYPERLINK("https://zfin.org/ZDB-GENE-060929-1046")</f>
        <v>https://zfin.org/ZDB-GENE-060929-1046</v>
      </c>
      <c r="J1563" t="s">
        <v>3831</v>
      </c>
    </row>
    <row r="1564" spans="1:10" x14ac:dyDescent="0.2">
      <c r="A1564">
        <v>2.92511398385539E-27</v>
      </c>
      <c r="B1564">
        <v>0.45054461543894397</v>
      </c>
      <c r="C1564">
        <v>0.35599999999999998</v>
      </c>
      <c r="D1564">
        <v>7.8E-2</v>
      </c>
      <c r="E1564">
        <v>4.0653234147622099E-23</v>
      </c>
      <c r="F1564">
        <v>3</v>
      </c>
      <c r="G1564" t="s">
        <v>1089</v>
      </c>
      <c r="H1564" t="s">
        <v>1090</v>
      </c>
      <c r="I1564" t="str">
        <f>HYPERLINK("https://zfin.org/ZDB-GENE-030131-5906")</f>
        <v>https://zfin.org/ZDB-GENE-030131-5906</v>
      </c>
      <c r="J1564" t="s">
        <v>1091</v>
      </c>
    </row>
    <row r="1565" spans="1:10" x14ac:dyDescent="0.2">
      <c r="A1565">
        <v>4.0264379613307998E-27</v>
      </c>
      <c r="B1565">
        <v>0.57800168988202405</v>
      </c>
      <c r="C1565">
        <v>0.311</v>
      </c>
      <c r="D1565">
        <v>6.2E-2</v>
      </c>
      <c r="E1565">
        <v>5.59594347865755E-23</v>
      </c>
      <c r="F1565">
        <v>3</v>
      </c>
      <c r="G1565" t="s">
        <v>618</v>
      </c>
      <c r="H1565" t="s">
        <v>619</v>
      </c>
      <c r="I1565" t="str">
        <f>HYPERLINK("https://zfin.org/ZDB-GENE-040930-8")</f>
        <v>https://zfin.org/ZDB-GENE-040930-8</v>
      </c>
      <c r="J1565" t="s">
        <v>620</v>
      </c>
    </row>
    <row r="1566" spans="1:10" x14ac:dyDescent="0.2">
      <c r="A1566">
        <v>4.5247105904107797E-27</v>
      </c>
      <c r="B1566">
        <v>-1.4435595126195</v>
      </c>
      <c r="C1566">
        <v>0.182</v>
      </c>
      <c r="D1566">
        <v>0.63400000000000001</v>
      </c>
      <c r="E1566">
        <v>6.2884427785529103E-23</v>
      </c>
      <c r="F1566">
        <v>3</v>
      </c>
      <c r="G1566" t="s">
        <v>1997</v>
      </c>
      <c r="H1566" t="s">
        <v>1998</v>
      </c>
      <c r="I1566" t="str">
        <f>HYPERLINK("https://zfin.org/ZDB-GENE-030131-9")</f>
        <v>https://zfin.org/ZDB-GENE-030131-9</v>
      </c>
      <c r="J1566" t="s">
        <v>1999</v>
      </c>
    </row>
    <row r="1567" spans="1:10" x14ac:dyDescent="0.2">
      <c r="A1567">
        <v>4.5255000350252698E-27</v>
      </c>
      <c r="B1567">
        <v>0.70934666886606801</v>
      </c>
      <c r="C1567">
        <v>0.91700000000000004</v>
      </c>
      <c r="D1567">
        <v>0.56000000000000005</v>
      </c>
      <c r="E1567">
        <v>6.2895399486781303E-23</v>
      </c>
      <c r="F1567">
        <v>3</v>
      </c>
      <c r="G1567" t="s">
        <v>3282</v>
      </c>
      <c r="H1567" t="s">
        <v>3283</v>
      </c>
      <c r="I1567" t="str">
        <f>HYPERLINK("https://zfin.org/ZDB-GENE-040426-2133")</f>
        <v>https://zfin.org/ZDB-GENE-040426-2133</v>
      </c>
      <c r="J1567" t="s">
        <v>3284</v>
      </c>
    </row>
    <row r="1568" spans="1:10" x14ac:dyDescent="0.2">
      <c r="A1568">
        <v>4.6296958134930601E-27</v>
      </c>
      <c r="B1568">
        <v>0.42275399804361202</v>
      </c>
      <c r="C1568">
        <v>0.25</v>
      </c>
      <c r="D1568">
        <v>4.1000000000000002E-2</v>
      </c>
      <c r="E1568">
        <v>6.4343512415926603E-23</v>
      </c>
      <c r="F1568">
        <v>3</v>
      </c>
      <c r="G1568" t="s">
        <v>3832</v>
      </c>
      <c r="H1568" t="s">
        <v>3833</v>
      </c>
      <c r="I1568" t="str">
        <f>HYPERLINK("https://zfin.org/ZDB-GENE-040912-20")</f>
        <v>https://zfin.org/ZDB-GENE-040912-20</v>
      </c>
      <c r="J1568" t="s">
        <v>3834</v>
      </c>
    </row>
    <row r="1569" spans="1:10" x14ac:dyDescent="0.2">
      <c r="A1569">
        <v>4.7735263500411599E-27</v>
      </c>
      <c r="B1569">
        <v>0.72576637357721696</v>
      </c>
      <c r="C1569">
        <v>0.621</v>
      </c>
      <c r="D1569">
        <v>0.22800000000000001</v>
      </c>
      <c r="E1569">
        <v>6.6342469212871996E-23</v>
      </c>
      <c r="F1569">
        <v>3</v>
      </c>
      <c r="G1569" t="s">
        <v>1674</v>
      </c>
      <c r="H1569" t="s">
        <v>1675</v>
      </c>
      <c r="I1569" t="str">
        <f>HYPERLINK("https://zfin.org/ZDB-GENE-040426-730")</f>
        <v>https://zfin.org/ZDB-GENE-040426-730</v>
      </c>
      <c r="J1569" t="s">
        <v>1676</v>
      </c>
    </row>
    <row r="1570" spans="1:10" x14ac:dyDescent="0.2">
      <c r="A1570">
        <v>5.0895437541211698E-27</v>
      </c>
      <c r="B1570">
        <v>-1.0636662291855301</v>
      </c>
      <c r="C1570">
        <v>0.68899999999999995</v>
      </c>
      <c r="D1570">
        <v>0.86399999999999999</v>
      </c>
      <c r="E1570">
        <v>7.07344790947761E-23</v>
      </c>
      <c r="F1570">
        <v>3</v>
      </c>
      <c r="G1570" t="s">
        <v>1269</v>
      </c>
      <c r="H1570" t="s">
        <v>1270</v>
      </c>
      <c r="I1570" t="str">
        <f>HYPERLINK("https://zfin.org/ZDB-GENE-061111-1")</f>
        <v>https://zfin.org/ZDB-GENE-061111-1</v>
      </c>
      <c r="J1570" t="s">
        <v>1271</v>
      </c>
    </row>
    <row r="1571" spans="1:10" x14ac:dyDescent="0.2">
      <c r="A1571">
        <v>5.1174933163978103E-27</v>
      </c>
      <c r="B1571">
        <v>0.79631955225346895</v>
      </c>
      <c r="C1571">
        <v>0.89400000000000002</v>
      </c>
      <c r="D1571">
        <v>0.59499999999999997</v>
      </c>
      <c r="E1571">
        <v>7.1122922111296703E-23</v>
      </c>
      <c r="F1571">
        <v>3</v>
      </c>
      <c r="G1571" t="s">
        <v>2942</v>
      </c>
      <c r="H1571" t="s">
        <v>2943</v>
      </c>
      <c r="I1571" t="str">
        <f>HYPERLINK("https://zfin.org/ZDB-GENE-030131-6154")</f>
        <v>https://zfin.org/ZDB-GENE-030131-6154</v>
      </c>
      <c r="J1571" t="s">
        <v>2944</v>
      </c>
    </row>
    <row r="1572" spans="1:10" x14ac:dyDescent="0.2">
      <c r="A1572">
        <v>6.3134309056401E-27</v>
      </c>
      <c r="B1572">
        <v>0.65267208074499194</v>
      </c>
      <c r="C1572">
        <v>0.44700000000000001</v>
      </c>
      <c r="D1572">
        <v>0.122</v>
      </c>
      <c r="E1572">
        <v>8.7744062726586101E-23</v>
      </c>
      <c r="F1572">
        <v>3</v>
      </c>
      <c r="G1572" t="s">
        <v>2108</v>
      </c>
      <c r="H1572" t="s">
        <v>2109</v>
      </c>
      <c r="I1572" t="str">
        <f>HYPERLINK("https://zfin.org/ZDB-GENE-130530-870")</f>
        <v>https://zfin.org/ZDB-GENE-130530-870</v>
      </c>
      <c r="J1572" t="s">
        <v>2110</v>
      </c>
    </row>
    <row r="1573" spans="1:10" x14ac:dyDescent="0.2">
      <c r="A1573">
        <v>7.1495948142126799E-27</v>
      </c>
      <c r="B1573">
        <v>0.31323337273556501</v>
      </c>
      <c r="C1573">
        <v>0.13600000000000001</v>
      </c>
      <c r="D1573">
        <v>1.2E-2</v>
      </c>
      <c r="E1573">
        <v>9.9365068727927801E-23</v>
      </c>
      <c r="F1573">
        <v>3</v>
      </c>
      <c r="G1573" t="s">
        <v>3835</v>
      </c>
      <c r="H1573" t="s">
        <v>3836</v>
      </c>
      <c r="I1573" t="str">
        <f>HYPERLINK("https://zfin.org/ZDB-GENE-070912-492")</f>
        <v>https://zfin.org/ZDB-GENE-070912-492</v>
      </c>
      <c r="J1573" t="s">
        <v>3837</v>
      </c>
    </row>
    <row r="1574" spans="1:10" x14ac:dyDescent="0.2">
      <c r="A1574">
        <v>8.5202986276753095E-27</v>
      </c>
      <c r="B1574">
        <v>-2.2890896828406602</v>
      </c>
      <c r="C1574">
        <v>0.59099999999999997</v>
      </c>
      <c r="D1574">
        <v>0.78100000000000003</v>
      </c>
      <c r="E1574">
        <v>1.1841511032743101E-22</v>
      </c>
      <c r="F1574">
        <v>3</v>
      </c>
      <c r="G1574" t="s">
        <v>1892</v>
      </c>
      <c r="H1574" t="s">
        <v>1893</v>
      </c>
      <c r="I1574" t="str">
        <f>HYPERLINK("https://zfin.org/ZDB-GENE-121214-200")</f>
        <v>https://zfin.org/ZDB-GENE-121214-200</v>
      </c>
      <c r="J1574" t="s">
        <v>1894</v>
      </c>
    </row>
    <row r="1575" spans="1:10" x14ac:dyDescent="0.2">
      <c r="A1575">
        <v>9.1844957922118598E-27</v>
      </c>
      <c r="B1575">
        <v>0.72230274327327204</v>
      </c>
      <c r="C1575">
        <v>0.68899999999999995</v>
      </c>
      <c r="D1575">
        <v>0.28100000000000003</v>
      </c>
      <c r="E1575">
        <v>1.2764612252016E-22</v>
      </c>
      <c r="F1575">
        <v>3</v>
      </c>
      <c r="G1575" t="s">
        <v>2238</v>
      </c>
      <c r="H1575" t="s">
        <v>2239</v>
      </c>
      <c r="I1575" t="str">
        <f>HYPERLINK("https://zfin.org/ZDB-GENE-020419-7")</f>
        <v>https://zfin.org/ZDB-GENE-020419-7</v>
      </c>
      <c r="J1575" t="s">
        <v>2240</v>
      </c>
    </row>
    <row r="1576" spans="1:10" x14ac:dyDescent="0.2">
      <c r="A1576">
        <v>9.7957061297297398E-27</v>
      </c>
      <c r="B1576">
        <v>-1.25776216604001</v>
      </c>
      <c r="C1576">
        <v>0.34100000000000003</v>
      </c>
      <c r="D1576">
        <v>0.70099999999999996</v>
      </c>
      <c r="E1576">
        <v>1.3614072379098399E-22</v>
      </c>
      <c r="F1576">
        <v>3</v>
      </c>
      <c r="G1576" t="s">
        <v>1851</v>
      </c>
      <c r="H1576" t="s">
        <v>1852</v>
      </c>
      <c r="I1576" t="str">
        <f>HYPERLINK("https://zfin.org/ZDB-GENE-071205-8")</f>
        <v>https://zfin.org/ZDB-GENE-071205-8</v>
      </c>
      <c r="J1576" t="s">
        <v>1853</v>
      </c>
    </row>
    <row r="1577" spans="1:10" x14ac:dyDescent="0.2">
      <c r="A1577">
        <v>1.3654535104468899E-26</v>
      </c>
      <c r="B1577">
        <v>0.48703892332203302</v>
      </c>
      <c r="C1577">
        <v>0.311</v>
      </c>
      <c r="D1577">
        <v>6.2E-2</v>
      </c>
      <c r="E1577">
        <v>1.89770728881908E-22</v>
      </c>
      <c r="F1577">
        <v>3</v>
      </c>
      <c r="G1577" t="s">
        <v>3838</v>
      </c>
      <c r="H1577" t="s">
        <v>3839</v>
      </c>
      <c r="I1577" t="str">
        <f>HYPERLINK("https://zfin.org/ZDB-GENE-040625-21")</f>
        <v>https://zfin.org/ZDB-GENE-040625-21</v>
      </c>
      <c r="J1577" t="s">
        <v>3840</v>
      </c>
    </row>
    <row r="1578" spans="1:10" x14ac:dyDescent="0.2">
      <c r="A1578">
        <v>1.50398892607674E-26</v>
      </c>
      <c r="B1578">
        <v>0.62278394094062395</v>
      </c>
      <c r="C1578">
        <v>0.95499999999999996</v>
      </c>
      <c r="D1578">
        <v>0.77300000000000002</v>
      </c>
      <c r="E1578">
        <v>2.0902438094614499E-22</v>
      </c>
      <c r="F1578">
        <v>3</v>
      </c>
      <c r="G1578" t="s">
        <v>1737</v>
      </c>
      <c r="H1578" t="s">
        <v>1738</v>
      </c>
      <c r="I1578" t="str">
        <f>HYPERLINK("https://zfin.org/ZDB-GENE-030131-6602")</f>
        <v>https://zfin.org/ZDB-GENE-030131-6602</v>
      </c>
      <c r="J1578" t="s">
        <v>1739</v>
      </c>
    </row>
    <row r="1579" spans="1:10" x14ac:dyDescent="0.2">
      <c r="A1579">
        <v>1.5910309935495601E-26</v>
      </c>
      <c r="B1579">
        <v>0.67414749766669702</v>
      </c>
      <c r="C1579">
        <v>0.90900000000000003</v>
      </c>
      <c r="D1579">
        <v>0.52800000000000002</v>
      </c>
      <c r="E1579">
        <v>2.2112148748351801E-22</v>
      </c>
      <c r="F1579">
        <v>3</v>
      </c>
      <c r="G1579" t="s">
        <v>924</v>
      </c>
      <c r="H1579" t="s">
        <v>925</v>
      </c>
      <c r="I1579" t="str">
        <f>HYPERLINK("https://zfin.org/ZDB-GENE-050522-153")</f>
        <v>https://zfin.org/ZDB-GENE-050522-153</v>
      </c>
      <c r="J1579" t="s">
        <v>926</v>
      </c>
    </row>
    <row r="1580" spans="1:10" x14ac:dyDescent="0.2">
      <c r="A1580">
        <v>1.7824004498175199E-26</v>
      </c>
      <c r="B1580">
        <v>0.63745328321198202</v>
      </c>
      <c r="C1580">
        <v>0.46200000000000002</v>
      </c>
      <c r="D1580">
        <v>0.128</v>
      </c>
      <c r="E1580">
        <v>2.4771801451563898E-22</v>
      </c>
      <c r="F1580">
        <v>3</v>
      </c>
      <c r="G1580" t="s">
        <v>3841</v>
      </c>
      <c r="H1580" t="s">
        <v>3842</v>
      </c>
      <c r="I1580" t="str">
        <f>HYPERLINK("https://zfin.org/ZDB-GENE-030131-3777")</f>
        <v>https://zfin.org/ZDB-GENE-030131-3777</v>
      </c>
      <c r="J1580" t="s">
        <v>3843</v>
      </c>
    </row>
    <row r="1581" spans="1:10" x14ac:dyDescent="0.2">
      <c r="A1581">
        <v>1.91603781016813E-26</v>
      </c>
      <c r="B1581">
        <v>0.68815209545405098</v>
      </c>
      <c r="C1581">
        <v>0.64400000000000002</v>
      </c>
      <c r="D1581">
        <v>0.23499999999999999</v>
      </c>
      <c r="E1581">
        <v>2.66290934857167E-22</v>
      </c>
      <c r="F1581">
        <v>3</v>
      </c>
      <c r="G1581" t="s">
        <v>1504</v>
      </c>
      <c r="H1581" t="s">
        <v>1505</v>
      </c>
      <c r="I1581" t="str">
        <f>HYPERLINK("https://zfin.org/ZDB-GENE-040426-1861")</f>
        <v>https://zfin.org/ZDB-GENE-040426-1861</v>
      </c>
      <c r="J1581" t="s">
        <v>1506</v>
      </c>
    </row>
    <row r="1582" spans="1:10" x14ac:dyDescent="0.2">
      <c r="A1582">
        <v>2.62675505361339E-26</v>
      </c>
      <c r="B1582">
        <v>0.73967085092352203</v>
      </c>
      <c r="C1582">
        <v>0.85599999999999998</v>
      </c>
      <c r="D1582">
        <v>0.443</v>
      </c>
      <c r="E1582">
        <v>3.6506641735118799E-22</v>
      </c>
      <c r="F1582">
        <v>3</v>
      </c>
      <c r="G1582" t="s">
        <v>3844</v>
      </c>
      <c r="H1582" t="s">
        <v>3845</v>
      </c>
      <c r="I1582" t="str">
        <f>HYPERLINK("https://zfin.org/ZDB-GENE-030131-4862")</f>
        <v>https://zfin.org/ZDB-GENE-030131-4862</v>
      </c>
      <c r="J1582" t="s">
        <v>3846</v>
      </c>
    </row>
    <row r="1583" spans="1:10" x14ac:dyDescent="0.2">
      <c r="A1583">
        <v>3.1830428865562501E-26</v>
      </c>
      <c r="B1583">
        <v>0.630581492868168</v>
      </c>
      <c r="C1583">
        <v>0.97</v>
      </c>
      <c r="D1583">
        <v>0.64100000000000001</v>
      </c>
      <c r="E1583">
        <v>4.4237930037358797E-22</v>
      </c>
      <c r="F1583">
        <v>3</v>
      </c>
      <c r="G1583" t="s">
        <v>2855</v>
      </c>
      <c r="H1583" t="s">
        <v>2856</v>
      </c>
      <c r="I1583" t="str">
        <f>HYPERLINK("https://zfin.org/ZDB-GENE-061027-176")</f>
        <v>https://zfin.org/ZDB-GENE-061027-176</v>
      </c>
      <c r="J1583" t="s">
        <v>2857</v>
      </c>
    </row>
    <row r="1584" spans="1:10" x14ac:dyDescent="0.2">
      <c r="A1584">
        <v>4.7152972400682301E-26</v>
      </c>
      <c r="B1584">
        <v>-1.09013874974854</v>
      </c>
      <c r="C1584">
        <v>0.56100000000000005</v>
      </c>
      <c r="D1584">
        <v>0.80200000000000005</v>
      </c>
      <c r="E1584">
        <v>6.5533201042468302E-22</v>
      </c>
      <c r="F1584">
        <v>3</v>
      </c>
      <c r="G1584" t="s">
        <v>1662</v>
      </c>
      <c r="H1584" t="s">
        <v>1663</v>
      </c>
      <c r="I1584" t="str">
        <f>HYPERLINK("https://zfin.org/ZDB-GENE-000511-4")</f>
        <v>https://zfin.org/ZDB-GENE-000511-4</v>
      </c>
      <c r="J1584" t="s">
        <v>1664</v>
      </c>
    </row>
    <row r="1585" spans="1:10" x14ac:dyDescent="0.2">
      <c r="A1585">
        <v>4.8901085998102398E-26</v>
      </c>
      <c r="B1585">
        <v>0.27066003951749801</v>
      </c>
      <c r="C1585">
        <v>0.121</v>
      </c>
      <c r="D1585">
        <v>0.01</v>
      </c>
      <c r="E1585">
        <v>6.7962729320162697E-22</v>
      </c>
      <c r="F1585">
        <v>3</v>
      </c>
      <c r="G1585" t="s">
        <v>3847</v>
      </c>
      <c r="H1585" t="s">
        <v>3848</v>
      </c>
      <c r="I1585" t="str">
        <f>HYPERLINK("https://zfin.org/ZDB-GENE-070928-7")</f>
        <v>https://zfin.org/ZDB-GENE-070928-7</v>
      </c>
      <c r="J1585" t="s">
        <v>3849</v>
      </c>
    </row>
    <row r="1586" spans="1:10" x14ac:dyDescent="0.2">
      <c r="A1586">
        <v>6.4815304327059301E-26</v>
      </c>
      <c r="B1586">
        <v>-1.5686187663578399</v>
      </c>
      <c r="C1586">
        <v>0.19700000000000001</v>
      </c>
      <c r="D1586">
        <v>0.61899999999999999</v>
      </c>
      <c r="E1586">
        <v>9.0080309953747107E-22</v>
      </c>
      <c r="F1586">
        <v>3</v>
      </c>
      <c r="G1586" t="s">
        <v>2039</v>
      </c>
      <c r="H1586" t="s">
        <v>2040</v>
      </c>
      <c r="I1586" t="str">
        <f>HYPERLINK("https://zfin.org/ZDB-GENE-050308-1")</f>
        <v>https://zfin.org/ZDB-GENE-050308-1</v>
      </c>
      <c r="J1586" t="s">
        <v>2041</v>
      </c>
    </row>
    <row r="1587" spans="1:10" x14ac:dyDescent="0.2">
      <c r="A1587">
        <v>6.8305945974817397E-26</v>
      </c>
      <c r="B1587">
        <v>0.70138270032209604</v>
      </c>
      <c r="C1587">
        <v>0.73499999999999999</v>
      </c>
      <c r="D1587">
        <v>0.315</v>
      </c>
      <c r="E1587">
        <v>9.4931603715801199E-22</v>
      </c>
      <c r="F1587">
        <v>3</v>
      </c>
      <c r="G1587" t="s">
        <v>3154</v>
      </c>
      <c r="H1587" t="s">
        <v>3155</v>
      </c>
      <c r="I1587" t="str">
        <f>HYPERLINK("https://zfin.org/ZDB-GENE-050522-479")</f>
        <v>https://zfin.org/ZDB-GENE-050522-479</v>
      </c>
      <c r="J1587" t="s">
        <v>3156</v>
      </c>
    </row>
    <row r="1588" spans="1:10" x14ac:dyDescent="0.2">
      <c r="A1588">
        <v>9.5610576979445094E-26</v>
      </c>
      <c r="B1588">
        <v>0.56944208068601798</v>
      </c>
      <c r="C1588">
        <v>0.55300000000000005</v>
      </c>
      <c r="D1588">
        <v>0.16900000000000001</v>
      </c>
      <c r="E1588">
        <v>1.3287957988603301E-21</v>
      </c>
      <c r="F1588">
        <v>3</v>
      </c>
      <c r="G1588" t="s">
        <v>2957</v>
      </c>
      <c r="H1588" t="s">
        <v>2958</v>
      </c>
      <c r="I1588" t="str">
        <f>HYPERLINK("https://zfin.org/ZDB-GENE-141212-376")</f>
        <v>https://zfin.org/ZDB-GENE-141212-376</v>
      </c>
      <c r="J1588" t="s">
        <v>2959</v>
      </c>
    </row>
    <row r="1589" spans="1:10" x14ac:dyDescent="0.2">
      <c r="A1589">
        <v>9.8145202022034198E-26</v>
      </c>
      <c r="B1589">
        <v>0.50128347138790597</v>
      </c>
      <c r="C1589">
        <v>0.22700000000000001</v>
      </c>
      <c r="D1589">
        <v>3.5999999999999997E-2</v>
      </c>
      <c r="E1589">
        <v>1.36402201770223E-21</v>
      </c>
      <c r="F1589">
        <v>3</v>
      </c>
      <c r="G1589" t="s">
        <v>393</v>
      </c>
      <c r="H1589" t="s">
        <v>394</v>
      </c>
      <c r="I1589" t="str">
        <f>HYPERLINK("https://zfin.org/ZDB-GENE-050419-235")</f>
        <v>https://zfin.org/ZDB-GENE-050419-235</v>
      </c>
      <c r="J1589" t="s">
        <v>395</v>
      </c>
    </row>
    <row r="1590" spans="1:10" x14ac:dyDescent="0.2">
      <c r="A1590">
        <v>1.01340776336654E-25</v>
      </c>
      <c r="B1590">
        <v>0.264922339397899</v>
      </c>
      <c r="C1590">
        <v>0.159</v>
      </c>
      <c r="D1590">
        <v>1.7000000000000001E-2</v>
      </c>
      <c r="E1590">
        <v>1.4084341095268099E-21</v>
      </c>
      <c r="F1590">
        <v>3</v>
      </c>
      <c r="G1590" t="s">
        <v>3850</v>
      </c>
      <c r="H1590" t="s">
        <v>3851</v>
      </c>
      <c r="I1590" t="str">
        <f>HYPERLINK("https://zfin.org/ZDB-GENE-070410-38")</f>
        <v>https://zfin.org/ZDB-GENE-070410-38</v>
      </c>
      <c r="J1590" t="s">
        <v>3852</v>
      </c>
    </row>
    <row r="1591" spans="1:10" x14ac:dyDescent="0.2">
      <c r="A1591">
        <v>1.59418262929413E-25</v>
      </c>
      <c r="B1591">
        <v>-2.4249591214317401</v>
      </c>
      <c r="C1591">
        <v>0.71199999999999997</v>
      </c>
      <c r="D1591">
        <v>0.85299999999999998</v>
      </c>
      <c r="E1591">
        <v>2.2155950181929901E-21</v>
      </c>
      <c r="F1591">
        <v>3</v>
      </c>
      <c r="G1591" t="s">
        <v>1967</v>
      </c>
      <c r="H1591" t="s">
        <v>1968</v>
      </c>
      <c r="I1591" t="str">
        <f>HYPERLINK("https://zfin.org/ZDB-GENE-070705-532")</f>
        <v>https://zfin.org/ZDB-GENE-070705-532</v>
      </c>
      <c r="J1591" t="s">
        <v>1969</v>
      </c>
    </row>
    <row r="1592" spans="1:10" x14ac:dyDescent="0.2">
      <c r="A1592">
        <v>1.82451498405435E-25</v>
      </c>
      <c r="B1592">
        <v>0.45901143710041398</v>
      </c>
      <c r="C1592">
        <v>0.16700000000000001</v>
      </c>
      <c r="D1592">
        <v>0.02</v>
      </c>
      <c r="E1592">
        <v>2.5357109248387401E-21</v>
      </c>
      <c r="F1592">
        <v>3</v>
      </c>
      <c r="G1592" t="s">
        <v>1044</v>
      </c>
      <c r="H1592" t="s">
        <v>1045</v>
      </c>
      <c r="I1592" t="str">
        <f>HYPERLINK("https://zfin.org/ZDB-GENE-060130-108")</f>
        <v>https://zfin.org/ZDB-GENE-060130-108</v>
      </c>
      <c r="J1592" t="s">
        <v>1046</v>
      </c>
    </row>
    <row r="1593" spans="1:10" x14ac:dyDescent="0.2">
      <c r="A1593">
        <v>1.9004803593812601E-25</v>
      </c>
      <c r="B1593">
        <v>0.70759593345094096</v>
      </c>
      <c r="C1593">
        <v>0.77300000000000002</v>
      </c>
      <c r="D1593">
        <v>0.35299999999999998</v>
      </c>
      <c r="E1593">
        <v>2.6412876034680799E-21</v>
      </c>
      <c r="F1593">
        <v>3</v>
      </c>
      <c r="G1593" t="s">
        <v>2337</v>
      </c>
      <c r="H1593" t="s">
        <v>2338</v>
      </c>
      <c r="I1593" t="str">
        <f>HYPERLINK("https://zfin.org/ZDB-GENE-040625-50")</f>
        <v>https://zfin.org/ZDB-GENE-040625-50</v>
      </c>
      <c r="J1593" t="s">
        <v>2339</v>
      </c>
    </row>
    <row r="1594" spans="1:10" x14ac:dyDescent="0.2">
      <c r="A1594">
        <v>1.9090520592922399E-25</v>
      </c>
      <c r="B1594">
        <v>0.75854037315690004</v>
      </c>
      <c r="C1594">
        <v>0.64400000000000002</v>
      </c>
      <c r="D1594">
        <v>0.249</v>
      </c>
      <c r="E1594">
        <v>2.6532005520043601E-21</v>
      </c>
      <c r="F1594">
        <v>3</v>
      </c>
      <c r="G1594" t="s">
        <v>3853</v>
      </c>
      <c r="H1594" t="s">
        <v>3854</v>
      </c>
      <c r="I1594" t="str">
        <f>HYPERLINK("https://zfin.org/ZDB-GENE-030131-461")</f>
        <v>https://zfin.org/ZDB-GENE-030131-461</v>
      </c>
      <c r="J1594" t="s">
        <v>3855</v>
      </c>
    </row>
    <row r="1595" spans="1:10" x14ac:dyDescent="0.2">
      <c r="A1595">
        <v>2.1706383839823001E-25</v>
      </c>
      <c r="B1595">
        <v>0.62537407699060199</v>
      </c>
      <c r="C1595">
        <v>0.74199999999999999</v>
      </c>
      <c r="D1595">
        <v>0.29099999999999998</v>
      </c>
      <c r="E1595">
        <v>3.0167532260585999E-21</v>
      </c>
      <c r="F1595">
        <v>3</v>
      </c>
      <c r="G1595" t="s">
        <v>3856</v>
      </c>
      <c r="H1595" t="s">
        <v>3857</v>
      </c>
      <c r="I1595" t="str">
        <f>HYPERLINK("https://zfin.org/ZDB-GENE-040718-124")</f>
        <v>https://zfin.org/ZDB-GENE-040718-124</v>
      </c>
      <c r="J1595" t="s">
        <v>3858</v>
      </c>
    </row>
    <row r="1596" spans="1:10" x14ac:dyDescent="0.2">
      <c r="A1596">
        <v>2.2828730211710001E-25</v>
      </c>
      <c r="B1596">
        <v>0.609977624899807</v>
      </c>
      <c r="C1596">
        <v>0.879</v>
      </c>
      <c r="D1596">
        <v>0.46</v>
      </c>
      <c r="E1596">
        <v>3.1727369248234498E-21</v>
      </c>
      <c r="F1596">
        <v>3</v>
      </c>
      <c r="G1596" t="s">
        <v>3044</v>
      </c>
      <c r="H1596" t="s">
        <v>3045</v>
      </c>
      <c r="I1596" t="str">
        <f>HYPERLINK("https://zfin.org/ZDB-GENE-040426-1819")</f>
        <v>https://zfin.org/ZDB-GENE-040426-1819</v>
      </c>
      <c r="J1596" t="s">
        <v>3046</v>
      </c>
    </row>
    <row r="1597" spans="1:10" x14ac:dyDescent="0.2">
      <c r="A1597">
        <v>2.53995260210782E-25</v>
      </c>
      <c r="B1597">
        <v>0.66609840059527603</v>
      </c>
      <c r="C1597">
        <v>0.59799999999999998</v>
      </c>
      <c r="D1597">
        <v>0.219</v>
      </c>
      <c r="E1597">
        <v>3.53002612640944E-21</v>
      </c>
      <c r="F1597">
        <v>3</v>
      </c>
      <c r="G1597" t="s">
        <v>3859</v>
      </c>
      <c r="H1597" t="s">
        <v>3860</v>
      </c>
      <c r="I1597" t="str">
        <f>HYPERLINK("https://zfin.org/ZDB-GENE-050417-96")</f>
        <v>https://zfin.org/ZDB-GENE-050417-96</v>
      </c>
      <c r="J1597" t="s">
        <v>3861</v>
      </c>
    </row>
    <row r="1598" spans="1:10" x14ac:dyDescent="0.2">
      <c r="A1598">
        <v>2.6412975780318498E-25</v>
      </c>
      <c r="B1598">
        <v>-1.2257726321114599</v>
      </c>
      <c r="C1598">
        <v>0.23499999999999999</v>
      </c>
      <c r="D1598">
        <v>0.65900000000000003</v>
      </c>
      <c r="E1598">
        <v>3.6708753739486601E-21</v>
      </c>
      <c r="F1598">
        <v>3</v>
      </c>
      <c r="G1598" t="s">
        <v>2364</v>
      </c>
      <c r="H1598" t="s">
        <v>2365</v>
      </c>
      <c r="I1598" t="str">
        <f>HYPERLINK("https://zfin.org/ZDB-GENE-080204-124")</f>
        <v>https://zfin.org/ZDB-GENE-080204-124</v>
      </c>
      <c r="J1598" t="s">
        <v>2366</v>
      </c>
    </row>
    <row r="1599" spans="1:10" x14ac:dyDescent="0.2">
      <c r="A1599">
        <v>3.0040854377744399E-25</v>
      </c>
      <c r="B1599">
        <v>0.31297656415421399</v>
      </c>
      <c r="C1599">
        <v>0.159</v>
      </c>
      <c r="D1599">
        <v>1.7999999999999999E-2</v>
      </c>
      <c r="E1599">
        <v>4.1750779414189197E-21</v>
      </c>
      <c r="F1599">
        <v>3</v>
      </c>
      <c r="G1599" t="s">
        <v>3862</v>
      </c>
      <c r="H1599" t="s">
        <v>3863</v>
      </c>
      <c r="I1599" t="str">
        <f>HYPERLINK("https://zfin.org/ZDB-GENE-010328-1")</f>
        <v>https://zfin.org/ZDB-GENE-010328-1</v>
      </c>
      <c r="J1599" t="s">
        <v>3864</v>
      </c>
    </row>
    <row r="1600" spans="1:10" x14ac:dyDescent="0.2">
      <c r="A1600">
        <v>3.7675207371362502E-25</v>
      </c>
      <c r="B1600">
        <v>0.41520964247710102</v>
      </c>
      <c r="C1600">
        <v>0.159</v>
      </c>
      <c r="D1600">
        <v>1.7999999999999999E-2</v>
      </c>
      <c r="E1600">
        <v>5.2361003204719599E-21</v>
      </c>
      <c r="F1600">
        <v>3</v>
      </c>
      <c r="G1600" t="s">
        <v>802</v>
      </c>
      <c r="H1600" t="s">
        <v>803</v>
      </c>
      <c r="I1600" t="str">
        <f>HYPERLINK("https://zfin.org/")</f>
        <v>https://zfin.org/</v>
      </c>
    </row>
    <row r="1601" spans="1:10" x14ac:dyDescent="0.2">
      <c r="A1601">
        <v>3.7934891027757802E-25</v>
      </c>
      <c r="B1601">
        <v>-1.28796753219214</v>
      </c>
      <c r="C1601">
        <v>0.50800000000000001</v>
      </c>
      <c r="D1601">
        <v>0.76700000000000002</v>
      </c>
      <c r="E1601">
        <v>5.27219115503778E-21</v>
      </c>
      <c r="F1601">
        <v>3</v>
      </c>
      <c r="G1601" t="s">
        <v>2093</v>
      </c>
      <c r="H1601" t="s">
        <v>2094</v>
      </c>
      <c r="I1601" t="str">
        <f>HYPERLINK("https://zfin.org/ZDB-GENE-040426-2931")</f>
        <v>https://zfin.org/ZDB-GENE-040426-2931</v>
      </c>
      <c r="J1601" t="s">
        <v>2095</v>
      </c>
    </row>
    <row r="1602" spans="1:10" x14ac:dyDescent="0.2">
      <c r="A1602">
        <v>5.3002745703690199E-25</v>
      </c>
      <c r="B1602">
        <v>0.29403991942121599</v>
      </c>
      <c r="C1602">
        <v>0.121</v>
      </c>
      <c r="D1602">
        <v>0.01</v>
      </c>
      <c r="E1602">
        <v>7.3663215978988595E-21</v>
      </c>
      <c r="F1602">
        <v>3</v>
      </c>
      <c r="G1602" t="s">
        <v>1382</v>
      </c>
      <c r="H1602" t="s">
        <v>1383</v>
      </c>
      <c r="I1602" t="str">
        <f>HYPERLINK("https://zfin.org/ZDB-GENE-040426-1758")</f>
        <v>https://zfin.org/ZDB-GENE-040426-1758</v>
      </c>
      <c r="J1602" t="s">
        <v>1384</v>
      </c>
    </row>
    <row r="1603" spans="1:10" x14ac:dyDescent="0.2">
      <c r="A1603">
        <v>5.6816258088370601E-25</v>
      </c>
      <c r="B1603">
        <v>0.57510045076739802</v>
      </c>
      <c r="C1603">
        <v>0.48499999999999999</v>
      </c>
      <c r="D1603">
        <v>0.14299999999999999</v>
      </c>
      <c r="E1603">
        <v>7.8963235491217504E-21</v>
      </c>
      <c r="F1603">
        <v>3</v>
      </c>
      <c r="G1603" t="s">
        <v>3865</v>
      </c>
      <c r="H1603" t="s">
        <v>3866</v>
      </c>
      <c r="I1603" t="str">
        <f>HYPERLINK("https://zfin.org/ZDB-GENE-050517-31")</f>
        <v>https://zfin.org/ZDB-GENE-050517-31</v>
      </c>
      <c r="J1603" t="s">
        <v>3867</v>
      </c>
    </row>
    <row r="1604" spans="1:10" x14ac:dyDescent="0.2">
      <c r="A1604">
        <v>5.6946330792266702E-25</v>
      </c>
      <c r="B1604">
        <v>0.89315900744341703</v>
      </c>
      <c r="C1604">
        <v>0.51500000000000001</v>
      </c>
      <c r="D1604">
        <v>0.16500000000000001</v>
      </c>
      <c r="E1604">
        <v>7.9144010535092206E-21</v>
      </c>
      <c r="F1604">
        <v>3</v>
      </c>
      <c r="G1604" t="s">
        <v>2972</v>
      </c>
      <c r="H1604" t="s">
        <v>2973</v>
      </c>
      <c r="I1604" t="str">
        <f>HYPERLINK("https://zfin.org/ZDB-GENE-980526-29")</f>
        <v>https://zfin.org/ZDB-GENE-980526-29</v>
      </c>
      <c r="J1604" t="s">
        <v>2974</v>
      </c>
    </row>
    <row r="1605" spans="1:10" x14ac:dyDescent="0.2">
      <c r="A1605">
        <v>6.4709959450862604E-25</v>
      </c>
      <c r="B1605">
        <v>0.70574638400886103</v>
      </c>
      <c r="C1605">
        <v>0.77300000000000002</v>
      </c>
      <c r="D1605">
        <v>0.35299999999999998</v>
      </c>
      <c r="E1605">
        <v>8.9933901644808898E-21</v>
      </c>
      <c r="F1605">
        <v>3</v>
      </c>
      <c r="G1605" t="s">
        <v>3868</v>
      </c>
      <c r="H1605" t="s">
        <v>3869</v>
      </c>
      <c r="I1605" t="str">
        <f>HYPERLINK("https://zfin.org/ZDB-GENE-040912-105")</f>
        <v>https://zfin.org/ZDB-GENE-040912-105</v>
      </c>
      <c r="J1605" t="s">
        <v>3870</v>
      </c>
    </row>
    <row r="1606" spans="1:10" x14ac:dyDescent="0.2">
      <c r="A1606">
        <v>6.9496394222977402E-25</v>
      </c>
      <c r="B1606">
        <v>0.48846546929845203</v>
      </c>
      <c r="C1606">
        <v>0.29499999999999998</v>
      </c>
      <c r="D1606">
        <v>6.0999999999999999E-2</v>
      </c>
      <c r="E1606">
        <v>9.6586088691093995E-21</v>
      </c>
      <c r="F1606">
        <v>3</v>
      </c>
      <c r="G1606" t="s">
        <v>867</v>
      </c>
      <c r="H1606" t="s">
        <v>868</v>
      </c>
      <c r="I1606" t="str">
        <f>HYPERLINK("https://zfin.org/ZDB-GENE-040625-150")</f>
        <v>https://zfin.org/ZDB-GENE-040625-150</v>
      </c>
      <c r="J1606" t="s">
        <v>869</v>
      </c>
    </row>
    <row r="1607" spans="1:10" x14ac:dyDescent="0.2">
      <c r="A1607">
        <v>8.5672236972652692E-25</v>
      </c>
      <c r="B1607">
        <v>0.33721345305209399</v>
      </c>
      <c r="C1607">
        <v>0.14399999999999999</v>
      </c>
      <c r="D1607">
        <v>1.4999999999999999E-2</v>
      </c>
      <c r="E1607">
        <v>1.19067274944593E-20</v>
      </c>
      <c r="F1607">
        <v>3</v>
      </c>
      <c r="G1607" t="s">
        <v>3871</v>
      </c>
      <c r="H1607" t="s">
        <v>3872</v>
      </c>
      <c r="I1607" t="str">
        <f>HYPERLINK("https://zfin.org/ZDB-GENE-050616-1")</f>
        <v>https://zfin.org/ZDB-GENE-050616-1</v>
      </c>
      <c r="J1607" t="s">
        <v>3873</v>
      </c>
    </row>
    <row r="1608" spans="1:10" x14ac:dyDescent="0.2">
      <c r="A1608">
        <v>1.0387071968941E-24</v>
      </c>
      <c r="B1608">
        <v>0.62708511418639501</v>
      </c>
      <c r="C1608">
        <v>0.75800000000000001</v>
      </c>
      <c r="D1608">
        <v>0.32300000000000001</v>
      </c>
      <c r="E1608">
        <v>1.44359526224342E-20</v>
      </c>
      <c r="F1608">
        <v>3</v>
      </c>
      <c r="G1608" t="s">
        <v>2897</v>
      </c>
      <c r="H1608" t="s">
        <v>2898</v>
      </c>
      <c r="I1608" t="str">
        <f>HYPERLINK("https://zfin.org/ZDB-GENE-000906-2")</f>
        <v>https://zfin.org/ZDB-GENE-000906-2</v>
      </c>
      <c r="J1608" t="s">
        <v>2899</v>
      </c>
    </row>
    <row r="1609" spans="1:10" x14ac:dyDescent="0.2">
      <c r="A1609">
        <v>1.14518009547225E-24</v>
      </c>
      <c r="B1609">
        <v>0.53646761378789898</v>
      </c>
      <c r="C1609">
        <v>0.24199999999999999</v>
      </c>
      <c r="D1609">
        <v>4.2000000000000003E-2</v>
      </c>
      <c r="E1609">
        <v>1.5915712966873299E-20</v>
      </c>
      <c r="F1609">
        <v>3</v>
      </c>
      <c r="G1609" t="s">
        <v>3874</v>
      </c>
      <c r="H1609" t="s">
        <v>3875</v>
      </c>
      <c r="I1609" t="str">
        <f>HYPERLINK("https://zfin.org/ZDB-GENE-040426-2334")</f>
        <v>https://zfin.org/ZDB-GENE-040426-2334</v>
      </c>
      <c r="J1609" t="s">
        <v>3876</v>
      </c>
    </row>
    <row r="1610" spans="1:10" x14ac:dyDescent="0.2">
      <c r="A1610">
        <v>1.18819733530363E-24</v>
      </c>
      <c r="B1610">
        <v>-1.32928114581301</v>
      </c>
      <c r="C1610">
        <v>0.22</v>
      </c>
      <c r="D1610">
        <v>0.624</v>
      </c>
      <c r="E1610">
        <v>1.6513566566049801E-20</v>
      </c>
      <c r="F1610">
        <v>3</v>
      </c>
      <c r="G1610" t="s">
        <v>1895</v>
      </c>
      <c r="H1610" t="s">
        <v>1896</v>
      </c>
      <c r="I1610" t="str">
        <f>HYPERLINK("https://zfin.org/ZDB-GENE-030131-2391")</f>
        <v>https://zfin.org/ZDB-GENE-030131-2391</v>
      </c>
      <c r="J1610" t="s">
        <v>1897</v>
      </c>
    </row>
    <row r="1611" spans="1:10" x14ac:dyDescent="0.2">
      <c r="A1611">
        <v>1.38604922892455E-24</v>
      </c>
      <c r="B1611">
        <v>-1.1321772173871301</v>
      </c>
      <c r="C1611">
        <v>0.44700000000000001</v>
      </c>
      <c r="D1611">
        <v>0.72499999999999998</v>
      </c>
      <c r="E1611">
        <v>1.9263312183593299E-20</v>
      </c>
      <c r="F1611">
        <v>3</v>
      </c>
      <c r="G1611" t="s">
        <v>1695</v>
      </c>
      <c r="H1611" t="s">
        <v>1696</v>
      </c>
      <c r="I1611" t="str">
        <f>HYPERLINK("https://zfin.org/ZDB-GENE-040426-2770")</f>
        <v>https://zfin.org/ZDB-GENE-040426-2770</v>
      </c>
      <c r="J1611" t="s">
        <v>1697</v>
      </c>
    </row>
    <row r="1612" spans="1:10" x14ac:dyDescent="0.2">
      <c r="A1612">
        <v>1.6394926189387799E-24</v>
      </c>
      <c r="B1612">
        <v>-0.67184707637734498</v>
      </c>
      <c r="C1612">
        <v>0.93200000000000005</v>
      </c>
      <c r="D1612">
        <v>0.96899999999999997</v>
      </c>
      <c r="E1612">
        <v>2.2785668418011201E-20</v>
      </c>
      <c r="F1612">
        <v>3</v>
      </c>
      <c r="G1612" t="s">
        <v>957</v>
      </c>
      <c r="H1612" t="s">
        <v>958</v>
      </c>
      <c r="I1612" t="str">
        <f>HYPERLINK("https://zfin.org/ZDB-GENE-010328-2")</f>
        <v>https://zfin.org/ZDB-GENE-010328-2</v>
      </c>
      <c r="J1612" t="s">
        <v>959</v>
      </c>
    </row>
    <row r="1613" spans="1:10" x14ac:dyDescent="0.2">
      <c r="A1613">
        <v>1.7198004097546302E-24</v>
      </c>
      <c r="B1613">
        <v>0.29331283027744998</v>
      </c>
      <c r="C1613">
        <v>0.14399999999999999</v>
      </c>
      <c r="D1613">
        <v>1.4999999999999999E-2</v>
      </c>
      <c r="E1613">
        <v>2.3901786094769899E-20</v>
      </c>
      <c r="F1613">
        <v>3</v>
      </c>
      <c r="G1613" t="s">
        <v>3877</v>
      </c>
      <c r="H1613" t="s">
        <v>3878</v>
      </c>
      <c r="I1613" t="str">
        <f>HYPERLINK("https://zfin.org/ZDB-GENE-050522-222")</f>
        <v>https://zfin.org/ZDB-GENE-050522-222</v>
      </c>
      <c r="J1613" t="s">
        <v>3879</v>
      </c>
    </row>
    <row r="1614" spans="1:10" x14ac:dyDescent="0.2">
      <c r="A1614">
        <v>1.73696719030192E-24</v>
      </c>
      <c r="B1614">
        <v>0.76369760107667695</v>
      </c>
      <c r="C1614">
        <v>0.81799999999999995</v>
      </c>
      <c r="D1614">
        <v>0.48099999999999998</v>
      </c>
      <c r="E1614">
        <v>2.41403700108161E-20</v>
      </c>
      <c r="F1614">
        <v>3</v>
      </c>
      <c r="G1614" t="s">
        <v>3017</v>
      </c>
      <c r="H1614" t="s">
        <v>3018</v>
      </c>
      <c r="I1614" t="str">
        <f>HYPERLINK("https://zfin.org/ZDB-GENE-040426-1938")</f>
        <v>https://zfin.org/ZDB-GENE-040426-1938</v>
      </c>
      <c r="J1614" t="s">
        <v>3019</v>
      </c>
    </row>
    <row r="1615" spans="1:10" x14ac:dyDescent="0.2">
      <c r="A1615">
        <v>1.9397021248773899E-24</v>
      </c>
      <c r="B1615">
        <v>0.64069616682980002</v>
      </c>
      <c r="C1615">
        <v>0.90900000000000003</v>
      </c>
      <c r="D1615">
        <v>0.46</v>
      </c>
      <c r="E1615">
        <v>2.69579801315459E-20</v>
      </c>
      <c r="F1615">
        <v>3</v>
      </c>
      <c r="G1615" t="s">
        <v>3204</v>
      </c>
      <c r="H1615" t="s">
        <v>3205</v>
      </c>
      <c r="I1615" t="str">
        <f>HYPERLINK("https://zfin.org/ZDB-GENE-020419-14")</f>
        <v>https://zfin.org/ZDB-GENE-020419-14</v>
      </c>
      <c r="J1615" t="s">
        <v>3206</v>
      </c>
    </row>
    <row r="1616" spans="1:10" x14ac:dyDescent="0.2">
      <c r="A1616">
        <v>2.02632692780868E-24</v>
      </c>
      <c r="B1616">
        <v>0.54704226586214599</v>
      </c>
      <c r="C1616">
        <v>0.51500000000000001</v>
      </c>
      <c r="D1616">
        <v>0.161</v>
      </c>
      <c r="E1616">
        <v>2.8161891642684998E-20</v>
      </c>
      <c r="F1616">
        <v>3</v>
      </c>
      <c r="G1616" t="s">
        <v>3880</v>
      </c>
      <c r="H1616" t="s">
        <v>3881</v>
      </c>
      <c r="I1616" t="str">
        <f>HYPERLINK("https://zfin.org/ZDB-GENE-040426-1415")</f>
        <v>https://zfin.org/ZDB-GENE-040426-1415</v>
      </c>
      <c r="J1616" t="s">
        <v>3882</v>
      </c>
    </row>
    <row r="1617" spans="1:10" x14ac:dyDescent="0.2">
      <c r="A1617">
        <v>2.0683823046948098E-24</v>
      </c>
      <c r="B1617">
        <v>0.28885996255326102</v>
      </c>
      <c r="C1617">
        <v>0.129</v>
      </c>
      <c r="D1617">
        <v>1.2E-2</v>
      </c>
      <c r="E1617">
        <v>2.8746377270648399E-20</v>
      </c>
      <c r="F1617">
        <v>3</v>
      </c>
      <c r="G1617" t="s">
        <v>3883</v>
      </c>
      <c r="H1617" t="s">
        <v>3884</v>
      </c>
      <c r="I1617" t="str">
        <f>HYPERLINK("https://zfin.org/ZDB-GENE-040624-11")</f>
        <v>https://zfin.org/ZDB-GENE-040624-11</v>
      </c>
      <c r="J1617" t="s">
        <v>3885</v>
      </c>
    </row>
    <row r="1618" spans="1:10" x14ac:dyDescent="0.2">
      <c r="A1618">
        <v>2.3926172435050201E-24</v>
      </c>
      <c r="B1618">
        <v>0.36203123331244702</v>
      </c>
      <c r="C1618">
        <v>0.182</v>
      </c>
      <c r="D1618">
        <v>2.5000000000000001E-2</v>
      </c>
      <c r="E1618">
        <v>3.3252594450232799E-20</v>
      </c>
      <c r="F1618">
        <v>3</v>
      </c>
      <c r="G1618" t="s">
        <v>543</v>
      </c>
      <c r="H1618" t="s">
        <v>544</v>
      </c>
      <c r="I1618" t="str">
        <f>HYPERLINK("https://zfin.org/ZDB-GENE-030131-4127")</f>
        <v>https://zfin.org/ZDB-GENE-030131-4127</v>
      </c>
      <c r="J1618" t="s">
        <v>545</v>
      </c>
    </row>
    <row r="1619" spans="1:10" x14ac:dyDescent="0.2">
      <c r="A1619">
        <v>2.4806314121671698E-24</v>
      </c>
      <c r="B1619">
        <v>0.61093010990845198</v>
      </c>
      <c r="C1619">
        <v>0.40200000000000002</v>
      </c>
      <c r="D1619">
        <v>0.108</v>
      </c>
      <c r="E1619">
        <v>3.44758153662993E-20</v>
      </c>
      <c r="F1619">
        <v>3</v>
      </c>
      <c r="G1619" t="s">
        <v>3886</v>
      </c>
      <c r="H1619" t="s">
        <v>3887</v>
      </c>
      <c r="I1619" t="str">
        <f>HYPERLINK("https://zfin.org/ZDB-GENE-040426-1884")</f>
        <v>https://zfin.org/ZDB-GENE-040426-1884</v>
      </c>
      <c r="J1619" t="s">
        <v>3888</v>
      </c>
    </row>
    <row r="1620" spans="1:10" x14ac:dyDescent="0.2">
      <c r="A1620">
        <v>3.1487324772573501E-24</v>
      </c>
      <c r="B1620">
        <v>0.63248563919524903</v>
      </c>
      <c r="C1620">
        <v>0.89400000000000002</v>
      </c>
      <c r="D1620">
        <v>0.59199999999999997</v>
      </c>
      <c r="E1620">
        <v>4.3761083968922601E-20</v>
      </c>
      <c r="F1620">
        <v>3</v>
      </c>
      <c r="G1620" t="s">
        <v>3889</v>
      </c>
      <c r="H1620" t="s">
        <v>3890</v>
      </c>
      <c r="I1620" t="str">
        <f>HYPERLINK("https://zfin.org/ZDB-GENE-030131-988")</f>
        <v>https://zfin.org/ZDB-GENE-030131-988</v>
      </c>
      <c r="J1620" t="s">
        <v>3891</v>
      </c>
    </row>
    <row r="1621" spans="1:10" x14ac:dyDescent="0.2">
      <c r="A1621">
        <v>3.23724433119495E-24</v>
      </c>
      <c r="B1621">
        <v>0.59615143063652898</v>
      </c>
      <c r="C1621">
        <v>0.49199999999999999</v>
      </c>
      <c r="D1621">
        <v>0.14899999999999999</v>
      </c>
      <c r="E1621">
        <v>4.4991221714947401E-20</v>
      </c>
      <c r="F1621">
        <v>3</v>
      </c>
      <c r="G1621" t="s">
        <v>1560</v>
      </c>
      <c r="H1621" t="s">
        <v>1561</v>
      </c>
      <c r="I1621" t="str">
        <f>HYPERLINK("https://zfin.org/ZDB-GENE-030109-2")</f>
        <v>https://zfin.org/ZDB-GENE-030109-2</v>
      </c>
      <c r="J1621" t="s">
        <v>1562</v>
      </c>
    </row>
    <row r="1622" spans="1:10" x14ac:dyDescent="0.2">
      <c r="A1622">
        <v>3.4119023912845402E-24</v>
      </c>
      <c r="B1622">
        <v>0.46276736334781099</v>
      </c>
      <c r="C1622">
        <v>0.28000000000000003</v>
      </c>
      <c r="D1622">
        <v>5.6000000000000001E-2</v>
      </c>
      <c r="E1622">
        <v>4.7418619434072498E-20</v>
      </c>
      <c r="F1622">
        <v>3</v>
      </c>
      <c r="G1622" t="s">
        <v>3892</v>
      </c>
      <c r="H1622" t="s">
        <v>3893</v>
      </c>
      <c r="I1622" t="str">
        <f>HYPERLINK("https://zfin.org/ZDB-GENE-040426-2832")</f>
        <v>https://zfin.org/ZDB-GENE-040426-2832</v>
      </c>
      <c r="J1622" t="s">
        <v>3894</v>
      </c>
    </row>
    <row r="1623" spans="1:10" x14ac:dyDescent="0.2">
      <c r="A1623">
        <v>3.4431613470351297E-24</v>
      </c>
      <c r="B1623">
        <v>0.41293929544539099</v>
      </c>
      <c r="C1623">
        <v>0.24199999999999999</v>
      </c>
      <c r="D1623">
        <v>4.2999999999999997E-2</v>
      </c>
      <c r="E1623">
        <v>4.7853056401094297E-20</v>
      </c>
      <c r="F1623">
        <v>3</v>
      </c>
      <c r="G1623" t="s">
        <v>1596</v>
      </c>
      <c r="H1623" t="s">
        <v>1597</v>
      </c>
      <c r="I1623" t="str">
        <f>HYPERLINK("https://zfin.org/ZDB-GENE-040426-2319")</f>
        <v>https://zfin.org/ZDB-GENE-040426-2319</v>
      </c>
      <c r="J1623" t="s">
        <v>1598</v>
      </c>
    </row>
    <row r="1624" spans="1:10" x14ac:dyDescent="0.2">
      <c r="A1624">
        <v>4.2775985541273198E-24</v>
      </c>
      <c r="B1624">
        <v>0.64514363739840497</v>
      </c>
      <c r="C1624">
        <v>0.371</v>
      </c>
      <c r="D1624">
        <v>9.2999999999999999E-2</v>
      </c>
      <c r="E1624">
        <v>5.9450064705261496E-20</v>
      </c>
      <c r="F1624">
        <v>3</v>
      </c>
      <c r="G1624" t="s">
        <v>111</v>
      </c>
      <c r="H1624" t="s">
        <v>112</v>
      </c>
      <c r="I1624" t="str">
        <f>HYPERLINK("https://zfin.org/ZDB-GENE-050320-33")</f>
        <v>https://zfin.org/ZDB-GENE-050320-33</v>
      </c>
      <c r="J1624" t="s">
        <v>113</v>
      </c>
    </row>
    <row r="1625" spans="1:10" x14ac:dyDescent="0.2">
      <c r="A1625">
        <v>4.5597505900048801E-24</v>
      </c>
      <c r="B1625">
        <v>0.60259698740614498</v>
      </c>
      <c r="C1625">
        <v>0.64400000000000002</v>
      </c>
      <c r="D1625">
        <v>0.24099999999999999</v>
      </c>
      <c r="E1625">
        <v>6.3371413699887899E-20</v>
      </c>
      <c r="F1625">
        <v>3</v>
      </c>
      <c r="G1625" t="s">
        <v>3895</v>
      </c>
      <c r="H1625" t="s">
        <v>3896</v>
      </c>
      <c r="I1625" t="str">
        <f>HYPERLINK("https://zfin.org/ZDB-GENE-040426-2397")</f>
        <v>https://zfin.org/ZDB-GENE-040426-2397</v>
      </c>
      <c r="J1625" t="s">
        <v>3897</v>
      </c>
    </row>
    <row r="1626" spans="1:10" x14ac:dyDescent="0.2">
      <c r="A1626">
        <v>5.3501076239445599E-24</v>
      </c>
      <c r="B1626">
        <v>0.65458400401146</v>
      </c>
      <c r="C1626">
        <v>0.59099999999999997</v>
      </c>
      <c r="D1626">
        <v>0.20699999999999999</v>
      </c>
      <c r="E1626">
        <v>7.43557957575815E-20</v>
      </c>
      <c r="F1626">
        <v>3</v>
      </c>
      <c r="G1626" t="s">
        <v>3898</v>
      </c>
      <c r="H1626" t="s">
        <v>3899</v>
      </c>
      <c r="I1626" t="str">
        <f>HYPERLINK("https://zfin.org/ZDB-GENE-070928-29")</f>
        <v>https://zfin.org/ZDB-GENE-070928-29</v>
      </c>
      <c r="J1626" t="s">
        <v>3900</v>
      </c>
    </row>
    <row r="1627" spans="1:10" x14ac:dyDescent="0.2">
      <c r="A1627">
        <v>6.5869394292380703E-24</v>
      </c>
      <c r="B1627">
        <v>1.2769033360036</v>
      </c>
      <c r="C1627">
        <v>0.21199999999999999</v>
      </c>
      <c r="D1627">
        <v>3.5000000000000003E-2</v>
      </c>
      <c r="E1627">
        <v>9.1545284187550803E-20</v>
      </c>
      <c r="F1627">
        <v>3</v>
      </c>
      <c r="G1627" t="s">
        <v>3901</v>
      </c>
      <c r="H1627" t="s">
        <v>3902</v>
      </c>
      <c r="I1627" t="str">
        <f>HYPERLINK("https://zfin.org/ZDB-GENE-060825-55")</f>
        <v>https://zfin.org/ZDB-GENE-060825-55</v>
      </c>
      <c r="J1627" t="s">
        <v>3903</v>
      </c>
    </row>
    <row r="1628" spans="1:10" x14ac:dyDescent="0.2">
      <c r="A1628">
        <v>7.47072023618101E-24</v>
      </c>
      <c r="B1628">
        <v>0.64412166614734201</v>
      </c>
      <c r="C1628">
        <v>0.85599999999999998</v>
      </c>
      <c r="D1628">
        <v>0.51700000000000002</v>
      </c>
      <c r="E1628">
        <v>1.0382806984244401E-19</v>
      </c>
      <c r="F1628">
        <v>3</v>
      </c>
      <c r="G1628" t="s">
        <v>3378</v>
      </c>
      <c r="H1628" t="s">
        <v>3379</v>
      </c>
      <c r="I1628" t="str">
        <f>HYPERLINK("https://zfin.org/ZDB-GENE-030131-433")</f>
        <v>https://zfin.org/ZDB-GENE-030131-433</v>
      </c>
      <c r="J1628" t="s">
        <v>3380</v>
      </c>
    </row>
    <row r="1629" spans="1:10" x14ac:dyDescent="0.2">
      <c r="A1629">
        <v>9.3816538121906107E-24</v>
      </c>
      <c r="B1629">
        <v>0.50202262088128002</v>
      </c>
      <c r="C1629">
        <v>0.99199999999999999</v>
      </c>
      <c r="D1629">
        <v>0.92100000000000004</v>
      </c>
      <c r="E1629">
        <v>1.3038622468182499E-19</v>
      </c>
      <c r="F1629">
        <v>3</v>
      </c>
      <c r="G1629" t="s">
        <v>2831</v>
      </c>
      <c r="H1629" t="s">
        <v>2832</v>
      </c>
      <c r="I1629" t="str">
        <f>HYPERLINK("https://zfin.org/ZDB-GENE-000629-3")</f>
        <v>https://zfin.org/ZDB-GENE-000629-3</v>
      </c>
      <c r="J1629" t="s">
        <v>2833</v>
      </c>
    </row>
    <row r="1630" spans="1:10" x14ac:dyDescent="0.2">
      <c r="A1630">
        <v>1.02636305961281E-23</v>
      </c>
      <c r="B1630">
        <v>0.53343909506613996</v>
      </c>
      <c r="C1630">
        <v>0.47</v>
      </c>
      <c r="D1630">
        <v>0.13800000000000001</v>
      </c>
      <c r="E1630">
        <v>1.4264393802498801E-19</v>
      </c>
      <c r="F1630">
        <v>3</v>
      </c>
      <c r="G1630" t="s">
        <v>3904</v>
      </c>
      <c r="H1630" t="s">
        <v>3905</v>
      </c>
      <c r="I1630" t="str">
        <f>HYPERLINK("https://zfin.org/ZDB-GENE-040426-1066")</f>
        <v>https://zfin.org/ZDB-GENE-040426-1066</v>
      </c>
      <c r="J1630" t="s">
        <v>3906</v>
      </c>
    </row>
    <row r="1631" spans="1:10" x14ac:dyDescent="0.2">
      <c r="A1631">
        <v>1.08348194617329E-23</v>
      </c>
      <c r="B1631">
        <v>0.50703912041171995</v>
      </c>
      <c r="C1631">
        <v>0.55300000000000005</v>
      </c>
      <c r="D1631">
        <v>0.18</v>
      </c>
      <c r="E1631">
        <v>1.50582320879164E-19</v>
      </c>
      <c r="F1631">
        <v>3</v>
      </c>
      <c r="G1631" t="s">
        <v>3907</v>
      </c>
      <c r="H1631" t="s">
        <v>3908</v>
      </c>
      <c r="I1631" t="str">
        <f>HYPERLINK("https://zfin.org/ZDB-GENE-030616-631")</f>
        <v>https://zfin.org/ZDB-GENE-030616-631</v>
      </c>
      <c r="J1631" t="s">
        <v>3909</v>
      </c>
    </row>
    <row r="1632" spans="1:10" x14ac:dyDescent="0.2">
      <c r="A1632">
        <v>1.25632287324994E-23</v>
      </c>
      <c r="B1632">
        <v>0.41233347584723601</v>
      </c>
      <c r="C1632">
        <v>0.189</v>
      </c>
      <c r="D1632">
        <v>2.7E-2</v>
      </c>
      <c r="E1632">
        <v>1.74603752924276E-19</v>
      </c>
      <c r="F1632">
        <v>3</v>
      </c>
      <c r="G1632" t="s">
        <v>3910</v>
      </c>
      <c r="H1632" t="s">
        <v>3911</v>
      </c>
      <c r="I1632" t="str">
        <f>HYPERLINK("https://zfin.org/")</f>
        <v>https://zfin.org/</v>
      </c>
    </row>
    <row r="1633" spans="1:10" x14ac:dyDescent="0.2">
      <c r="A1633">
        <v>1.27343783026163E-23</v>
      </c>
      <c r="B1633">
        <v>0.33739960380482897</v>
      </c>
      <c r="C1633">
        <v>1</v>
      </c>
      <c r="D1633">
        <v>0.995</v>
      </c>
      <c r="E1633">
        <v>1.7698238964976101E-19</v>
      </c>
      <c r="F1633">
        <v>3</v>
      </c>
      <c r="G1633" t="s">
        <v>2105</v>
      </c>
      <c r="H1633" t="s">
        <v>2106</v>
      </c>
      <c r="I1633" t="str">
        <f>HYPERLINK("https://zfin.org/ZDB-GENE-040426-1716")</f>
        <v>https://zfin.org/ZDB-GENE-040426-1716</v>
      </c>
      <c r="J1633" t="s">
        <v>2107</v>
      </c>
    </row>
    <row r="1634" spans="1:10" x14ac:dyDescent="0.2">
      <c r="A1634">
        <v>1.3055415364573401E-23</v>
      </c>
      <c r="B1634">
        <v>0.25323112494939198</v>
      </c>
      <c r="C1634">
        <v>0.14399999999999999</v>
      </c>
      <c r="D1634">
        <v>1.6E-2</v>
      </c>
      <c r="E1634">
        <v>1.81444162736842E-19</v>
      </c>
      <c r="F1634">
        <v>3</v>
      </c>
      <c r="G1634" t="s">
        <v>1056</v>
      </c>
      <c r="H1634" t="s">
        <v>1057</v>
      </c>
      <c r="I1634" t="str">
        <f>HYPERLINK("https://zfin.org/ZDB-GENE-131127-55")</f>
        <v>https://zfin.org/ZDB-GENE-131127-55</v>
      </c>
      <c r="J1634" t="s">
        <v>1058</v>
      </c>
    </row>
    <row r="1635" spans="1:10" x14ac:dyDescent="0.2">
      <c r="A1635">
        <v>1.57132050419957E-23</v>
      </c>
      <c r="B1635">
        <v>-1.28460311290689</v>
      </c>
      <c r="C1635">
        <v>0.16700000000000001</v>
      </c>
      <c r="D1635">
        <v>0.58799999999999997</v>
      </c>
      <c r="E1635">
        <v>2.18382123673656E-19</v>
      </c>
      <c r="F1635">
        <v>3</v>
      </c>
      <c r="G1635" t="s">
        <v>2535</v>
      </c>
      <c r="H1635" t="s">
        <v>2536</v>
      </c>
      <c r="I1635" t="str">
        <f>HYPERLINK("https://zfin.org/ZDB-GENE-030131-4042")</f>
        <v>https://zfin.org/ZDB-GENE-030131-4042</v>
      </c>
      <c r="J1635" t="s">
        <v>2537</v>
      </c>
    </row>
    <row r="1636" spans="1:10" x14ac:dyDescent="0.2">
      <c r="A1636">
        <v>1.9286123643838999E-23</v>
      </c>
      <c r="B1636">
        <v>-0.74798921094892801</v>
      </c>
      <c r="C1636">
        <v>0.81100000000000005</v>
      </c>
      <c r="D1636">
        <v>0.92</v>
      </c>
      <c r="E1636">
        <v>2.6803854640207401E-19</v>
      </c>
      <c r="F1636">
        <v>3</v>
      </c>
      <c r="G1636" t="s">
        <v>1743</v>
      </c>
      <c r="H1636" t="s">
        <v>1744</v>
      </c>
      <c r="I1636" t="str">
        <f>HYPERLINK("https://zfin.org/ZDB-GENE-050208-726")</f>
        <v>https://zfin.org/ZDB-GENE-050208-726</v>
      </c>
      <c r="J1636" t="s">
        <v>1745</v>
      </c>
    </row>
    <row r="1637" spans="1:10" x14ac:dyDescent="0.2">
      <c r="A1637">
        <v>2.21102578571261E-23</v>
      </c>
      <c r="B1637">
        <v>-1.18954158474911</v>
      </c>
      <c r="C1637">
        <v>0.23499999999999999</v>
      </c>
      <c r="D1637">
        <v>0.627</v>
      </c>
      <c r="E1637">
        <v>3.0728836369833801E-19</v>
      </c>
      <c r="F1637">
        <v>3</v>
      </c>
      <c r="G1637" t="s">
        <v>2042</v>
      </c>
      <c r="H1637" t="s">
        <v>2043</v>
      </c>
      <c r="I1637" t="str">
        <f>HYPERLINK("https://zfin.org/ZDB-GENE-110411-217")</f>
        <v>https://zfin.org/ZDB-GENE-110411-217</v>
      </c>
      <c r="J1637" t="s">
        <v>2044</v>
      </c>
    </row>
    <row r="1638" spans="1:10" x14ac:dyDescent="0.2">
      <c r="A1638">
        <v>2.3902805638562801E-23</v>
      </c>
      <c r="B1638">
        <v>0.616316228419862</v>
      </c>
      <c r="C1638">
        <v>0.51500000000000001</v>
      </c>
      <c r="D1638">
        <v>0.16600000000000001</v>
      </c>
      <c r="E1638">
        <v>3.3220119276474501E-19</v>
      </c>
      <c r="F1638">
        <v>3</v>
      </c>
      <c r="G1638" t="s">
        <v>3912</v>
      </c>
      <c r="H1638" t="s">
        <v>3913</v>
      </c>
      <c r="I1638" t="str">
        <f>HYPERLINK("https://zfin.org/ZDB-GENE-040426-810")</f>
        <v>https://zfin.org/ZDB-GENE-040426-810</v>
      </c>
      <c r="J1638" t="s">
        <v>3914</v>
      </c>
    </row>
    <row r="1639" spans="1:10" x14ac:dyDescent="0.2">
      <c r="A1639">
        <v>2.42339264966809E-23</v>
      </c>
      <c r="B1639">
        <v>0.291869574229562</v>
      </c>
      <c r="C1639">
        <v>0.129</v>
      </c>
      <c r="D1639">
        <v>1.2999999999999999E-2</v>
      </c>
      <c r="E1639">
        <v>3.3680311045087099E-19</v>
      </c>
      <c r="F1639">
        <v>3</v>
      </c>
      <c r="G1639" t="s">
        <v>3915</v>
      </c>
      <c r="H1639" t="s">
        <v>3916</v>
      </c>
      <c r="I1639" t="str">
        <f>HYPERLINK("https://zfin.org/ZDB-GENE-080723-31")</f>
        <v>https://zfin.org/ZDB-GENE-080723-31</v>
      </c>
      <c r="J1639" t="s">
        <v>3917</v>
      </c>
    </row>
    <row r="1640" spans="1:10" x14ac:dyDescent="0.2">
      <c r="A1640">
        <v>2.63528185659629E-23</v>
      </c>
      <c r="B1640">
        <v>-1.24086144409621</v>
      </c>
      <c r="C1640">
        <v>0.81100000000000005</v>
      </c>
      <c r="D1640">
        <v>0.89100000000000001</v>
      </c>
      <c r="E1640">
        <v>3.6625147242975198E-19</v>
      </c>
      <c r="F1640">
        <v>3</v>
      </c>
      <c r="G1640" t="s">
        <v>1599</v>
      </c>
      <c r="H1640" t="s">
        <v>1600</v>
      </c>
      <c r="I1640" t="str">
        <f>HYPERLINK("https://zfin.org/")</f>
        <v>https://zfin.org/</v>
      </c>
      <c r="J1640" t="s">
        <v>1601</v>
      </c>
    </row>
    <row r="1641" spans="1:10" x14ac:dyDescent="0.2">
      <c r="A1641">
        <v>2.63562698303775E-23</v>
      </c>
      <c r="B1641">
        <v>0.58099612657585098</v>
      </c>
      <c r="C1641">
        <v>0.60599999999999998</v>
      </c>
      <c r="D1641">
        <v>0.217</v>
      </c>
      <c r="E1641">
        <v>3.6629943810258598E-19</v>
      </c>
      <c r="F1641">
        <v>3</v>
      </c>
      <c r="G1641" t="s">
        <v>3918</v>
      </c>
      <c r="H1641" t="s">
        <v>3919</v>
      </c>
      <c r="I1641" t="str">
        <f>HYPERLINK("https://zfin.org/ZDB-GENE-020419-26")</f>
        <v>https://zfin.org/ZDB-GENE-020419-26</v>
      </c>
      <c r="J1641" t="s">
        <v>3920</v>
      </c>
    </row>
    <row r="1642" spans="1:10" x14ac:dyDescent="0.2">
      <c r="A1642">
        <v>3.4613300690882601E-23</v>
      </c>
      <c r="B1642">
        <v>-1.5885037899306</v>
      </c>
      <c r="C1642">
        <v>0.25</v>
      </c>
      <c r="D1642">
        <v>0.61499999999999999</v>
      </c>
      <c r="E1642">
        <v>4.8105565300188604E-19</v>
      </c>
      <c r="F1642">
        <v>3</v>
      </c>
      <c r="G1642" t="s">
        <v>2170</v>
      </c>
      <c r="H1642" t="s">
        <v>2171</v>
      </c>
      <c r="I1642" t="str">
        <f>HYPERLINK("https://zfin.org/ZDB-GENE-040426-2826")</f>
        <v>https://zfin.org/ZDB-GENE-040426-2826</v>
      </c>
      <c r="J1642" t="s">
        <v>2172</v>
      </c>
    </row>
    <row r="1643" spans="1:10" x14ac:dyDescent="0.2">
      <c r="A1643">
        <v>4.1060824128529898E-23</v>
      </c>
      <c r="B1643">
        <v>0.29522736998813598</v>
      </c>
      <c r="C1643">
        <v>0.16700000000000001</v>
      </c>
      <c r="D1643">
        <v>2.1999999999999999E-2</v>
      </c>
      <c r="E1643">
        <v>5.7066333373830896E-19</v>
      </c>
      <c r="F1643">
        <v>3</v>
      </c>
      <c r="G1643" t="s">
        <v>3921</v>
      </c>
      <c r="H1643" t="s">
        <v>3922</v>
      </c>
      <c r="I1643" t="str">
        <f>HYPERLINK("https://zfin.org/ZDB-GENE-050417-93")</f>
        <v>https://zfin.org/ZDB-GENE-050417-93</v>
      </c>
      <c r="J1643" t="s">
        <v>3923</v>
      </c>
    </row>
    <row r="1644" spans="1:10" x14ac:dyDescent="0.2">
      <c r="A1644">
        <v>5.2352288741169002E-23</v>
      </c>
      <c r="B1644">
        <v>0.32755554372307399</v>
      </c>
      <c r="C1644">
        <v>0.36399999999999999</v>
      </c>
      <c r="D1644">
        <v>0.09</v>
      </c>
      <c r="E1644">
        <v>7.2759210892476704E-19</v>
      </c>
      <c r="F1644">
        <v>3</v>
      </c>
      <c r="G1644" t="s">
        <v>3924</v>
      </c>
      <c r="H1644" t="s">
        <v>3925</v>
      </c>
      <c r="I1644" t="str">
        <f>HYPERLINK("https://zfin.org/ZDB-GENE-990415-25")</f>
        <v>https://zfin.org/ZDB-GENE-990415-25</v>
      </c>
      <c r="J1644" t="s">
        <v>3926</v>
      </c>
    </row>
    <row r="1645" spans="1:10" x14ac:dyDescent="0.2">
      <c r="A1645">
        <v>6.5982020883110302E-23</v>
      </c>
      <c r="B1645">
        <v>0.70651801790973001</v>
      </c>
      <c r="C1645">
        <v>0.58299999999999996</v>
      </c>
      <c r="D1645">
        <v>0.22700000000000001</v>
      </c>
      <c r="E1645">
        <v>9.1701812623346706E-19</v>
      </c>
      <c r="F1645">
        <v>3</v>
      </c>
      <c r="G1645" t="s">
        <v>3927</v>
      </c>
      <c r="H1645" t="s">
        <v>3928</v>
      </c>
      <c r="I1645" t="str">
        <f>HYPERLINK("https://zfin.org/ZDB-GENE-030131-9071")</f>
        <v>https://zfin.org/ZDB-GENE-030131-9071</v>
      </c>
      <c r="J1645" t="s">
        <v>3929</v>
      </c>
    </row>
    <row r="1646" spans="1:10" x14ac:dyDescent="0.2">
      <c r="A1646">
        <v>7.8577749661142899E-23</v>
      </c>
      <c r="B1646">
        <v>0.55937187629969598</v>
      </c>
      <c r="C1646">
        <v>0.432</v>
      </c>
      <c r="D1646">
        <v>0.125</v>
      </c>
      <c r="E1646">
        <v>1.09207356479056E-18</v>
      </c>
      <c r="F1646">
        <v>3</v>
      </c>
      <c r="G1646" t="s">
        <v>2087</v>
      </c>
      <c r="H1646" t="s">
        <v>2088</v>
      </c>
      <c r="I1646" t="str">
        <f>HYPERLINK("https://zfin.org/ZDB-GENE-091204-298")</f>
        <v>https://zfin.org/ZDB-GENE-091204-298</v>
      </c>
      <c r="J1646" t="s">
        <v>2089</v>
      </c>
    </row>
    <row r="1647" spans="1:10" x14ac:dyDescent="0.2">
      <c r="A1647">
        <v>8.2859134386247697E-23</v>
      </c>
      <c r="B1647">
        <v>0.66043540558650604</v>
      </c>
      <c r="C1647">
        <v>0.69699999999999995</v>
      </c>
      <c r="D1647">
        <v>0.307</v>
      </c>
      <c r="E1647">
        <v>1.1515762497000701E-18</v>
      </c>
      <c r="F1647">
        <v>3</v>
      </c>
      <c r="G1647" t="s">
        <v>3225</v>
      </c>
      <c r="H1647" t="s">
        <v>3226</v>
      </c>
      <c r="I1647" t="str">
        <f>HYPERLINK("https://zfin.org/ZDB-GENE-030131-967")</f>
        <v>https://zfin.org/ZDB-GENE-030131-967</v>
      </c>
      <c r="J1647" t="s">
        <v>3227</v>
      </c>
    </row>
    <row r="1648" spans="1:10" x14ac:dyDescent="0.2">
      <c r="A1648">
        <v>8.5176866459896695E-23</v>
      </c>
      <c r="B1648">
        <v>0.40554022609850998</v>
      </c>
      <c r="C1648">
        <v>0.29499999999999998</v>
      </c>
      <c r="D1648">
        <v>6.4000000000000001E-2</v>
      </c>
      <c r="E1648">
        <v>1.1837880900596399E-18</v>
      </c>
      <c r="F1648">
        <v>3</v>
      </c>
      <c r="G1648" t="s">
        <v>3930</v>
      </c>
      <c r="H1648" t="s">
        <v>3931</v>
      </c>
      <c r="I1648" t="str">
        <f>HYPERLINK("https://zfin.org/ZDB-GENE-030131-4362")</f>
        <v>https://zfin.org/ZDB-GENE-030131-4362</v>
      </c>
      <c r="J1648" t="s">
        <v>3932</v>
      </c>
    </row>
    <row r="1649" spans="1:10" x14ac:dyDescent="0.2">
      <c r="A1649">
        <v>9.4449629176864298E-23</v>
      </c>
      <c r="B1649">
        <v>0.638433817436173</v>
      </c>
      <c r="C1649">
        <v>0.59799999999999998</v>
      </c>
      <c r="D1649">
        <v>0.224</v>
      </c>
      <c r="E1649">
        <v>1.3126609463000601E-18</v>
      </c>
      <c r="F1649">
        <v>3</v>
      </c>
      <c r="G1649" t="s">
        <v>3933</v>
      </c>
      <c r="H1649" t="s">
        <v>3934</v>
      </c>
      <c r="I1649" t="str">
        <f>HYPERLINK("https://zfin.org/ZDB-GENE-050320-36")</f>
        <v>https://zfin.org/ZDB-GENE-050320-36</v>
      </c>
      <c r="J1649" t="s">
        <v>3935</v>
      </c>
    </row>
    <row r="1650" spans="1:10" x14ac:dyDescent="0.2">
      <c r="A1650">
        <v>1.03329800299075E-22</v>
      </c>
      <c r="B1650">
        <v>0.37990315323979201</v>
      </c>
      <c r="C1650">
        <v>1</v>
      </c>
      <c r="D1650">
        <v>0.98499999999999999</v>
      </c>
      <c r="E1650">
        <v>1.43607756455654E-18</v>
      </c>
      <c r="F1650">
        <v>3</v>
      </c>
      <c r="G1650" t="s">
        <v>1991</v>
      </c>
      <c r="H1650" t="s">
        <v>1992</v>
      </c>
      <c r="I1650" t="str">
        <f>HYPERLINK("https://zfin.org/ZDB-GENE-040426-811")</f>
        <v>https://zfin.org/ZDB-GENE-040426-811</v>
      </c>
      <c r="J1650" t="s">
        <v>1993</v>
      </c>
    </row>
    <row r="1651" spans="1:10" x14ac:dyDescent="0.2">
      <c r="A1651">
        <v>1.3290955626986599E-22</v>
      </c>
      <c r="B1651">
        <v>-1.33526273305393</v>
      </c>
      <c r="C1651">
        <v>0.36399999999999999</v>
      </c>
      <c r="D1651">
        <v>0.68300000000000005</v>
      </c>
      <c r="E1651">
        <v>1.8471770130386002E-18</v>
      </c>
      <c r="F1651">
        <v>3</v>
      </c>
      <c r="G1651" t="s">
        <v>2021</v>
      </c>
      <c r="H1651" t="s">
        <v>2022</v>
      </c>
      <c r="I1651" t="str">
        <f>HYPERLINK("https://zfin.org/ZDB-GENE-030131-1819")</f>
        <v>https://zfin.org/ZDB-GENE-030131-1819</v>
      </c>
      <c r="J1651" t="s">
        <v>2023</v>
      </c>
    </row>
    <row r="1652" spans="1:10" x14ac:dyDescent="0.2">
      <c r="A1652">
        <v>1.64411185859841E-22</v>
      </c>
      <c r="B1652">
        <v>0.43672705971266002</v>
      </c>
      <c r="C1652">
        <v>0.182</v>
      </c>
      <c r="D1652">
        <v>2.5999999999999999E-2</v>
      </c>
      <c r="E1652">
        <v>2.2849866610800599E-18</v>
      </c>
      <c r="F1652">
        <v>3</v>
      </c>
      <c r="G1652" t="s">
        <v>3936</v>
      </c>
      <c r="H1652" t="s">
        <v>3937</v>
      </c>
      <c r="I1652" t="str">
        <f>HYPERLINK("https://zfin.org/ZDB-GENE-131127-286")</f>
        <v>https://zfin.org/ZDB-GENE-131127-286</v>
      </c>
      <c r="J1652" t="s">
        <v>3938</v>
      </c>
    </row>
    <row r="1653" spans="1:10" x14ac:dyDescent="0.2">
      <c r="A1653">
        <v>1.65940366755407E-22</v>
      </c>
      <c r="B1653">
        <v>0.31669006524943</v>
      </c>
      <c r="C1653">
        <v>0.121</v>
      </c>
      <c r="D1653">
        <v>1.2E-2</v>
      </c>
      <c r="E1653">
        <v>2.3062392171666498E-18</v>
      </c>
      <c r="F1653">
        <v>3</v>
      </c>
      <c r="G1653" t="s">
        <v>3939</v>
      </c>
      <c r="H1653" t="s">
        <v>3940</v>
      </c>
      <c r="I1653" t="str">
        <f>HYPERLINK("https://zfin.org/ZDB-GENE-010131-6")</f>
        <v>https://zfin.org/ZDB-GENE-010131-6</v>
      </c>
      <c r="J1653" t="s">
        <v>3941</v>
      </c>
    </row>
    <row r="1654" spans="1:10" x14ac:dyDescent="0.2">
      <c r="A1654">
        <v>2.6385771457229499E-22</v>
      </c>
      <c r="B1654">
        <v>-1.2268613781383999</v>
      </c>
      <c r="C1654">
        <v>9.8000000000000004E-2</v>
      </c>
      <c r="D1654">
        <v>0.53</v>
      </c>
      <c r="E1654">
        <v>3.6670945171257603E-18</v>
      </c>
      <c r="F1654">
        <v>3</v>
      </c>
      <c r="G1654" t="s">
        <v>2487</v>
      </c>
      <c r="H1654" t="s">
        <v>2488</v>
      </c>
      <c r="I1654" t="str">
        <f>HYPERLINK("https://zfin.org/ZDB-GENE-040912-149")</f>
        <v>https://zfin.org/ZDB-GENE-040912-149</v>
      </c>
      <c r="J1654" t="s">
        <v>2489</v>
      </c>
    </row>
    <row r="1655" spans="1:10" x14ac:dyDescent="0.2">
      <c r="A1655">
        <v>3.0598910193080001E-22</v>
      </c>
      <c r="B1655">
        <v>0.34241123043802602</v>
      </c>
      <c r="C1655">
        <v>0.19700000000000001</v>
      </c>
      <c r="D1655">
        <v>3.1E-2</v>
      </c>
      <c r="E1655">
        <v>4.2526365386342601E-18</v>
      </c>
      <c r="F1655">
        <v>3</v>
      </c>
      <c r="G1655" t="s">
        <v>3942</v>
      </c>
      <c r="H1655" t="s">
        <v>3943</v>
      </c>
      <c r="I1655" t="str">
        <f>HYPERLINK("https://zfin.org/ZDB-GENE-060720-44")</f>
        <v>https://zfin.org/ZDB-GENE-060720-44</v>
      </c>
      <c r="J1655" t="s">
        <v>3944</v>
      </c>
    </row>
    <row r="1656" spans="1:10" x14ac:dyDescent="0.2">
      <c r="A1656">
        <v>3.12380758060489E-22</v>
      </c>
      <c r="B1656">
        <v>0.60067105695700196</v>
      </c>
      <c r="C1656">
        <v>0.78</v>
      </c>
      <c r="D1656">
        <v>0.372</v>
      </c>
      <c r="E1656">
        <v>4.3414677755246804E-18</v>
      </c>
      <c r="F1656">
        <v>3</v>
      </c>
      <c r="G1656" t="s">
        <v>2882</v>
      </c>
      <c r="H1656" t="s">
        <v>2883</v>
      </c>
      <c r="I1656" t="str">
        <f>HYPERLINK("https://zfin.org/ZDB-GENE-021219-3")</f>
        <v>https://zfin.org/ZDB-GENE-021219-3</v>
      </c>
      <c r="J1656" t="s">
        <v>2884</v>
      </c>
    </row>
    <row r="1657" spans="1:10" x14ac:dyDescent="0.2">
      <c r="A1657">
        <v>3.5459059500384998E-22</v>
      </c>
      <c r="B1657">
        <v>0.60781921636790004</v>
      </c>
      <c r="C1657">
        <v>0.93899999999999995</v>
      </c>
      <c r="D1657">
        <v>0.64500000000000002</v>
      </c>
      <c r="E1657">
        <v>4.9281000893635099E-18</v>
      </c>
      <c r="F1657">
        <v>3</v>
      </c>
      <c r="G1657" t="s">
        <v>1958</v>
      </c>
      <c r="H1657" t="s">
        <v>1959</v>
      </c>
      <c r="I1657" t="str">
        <f>HYPERLINK("https://zfin.org/ZDB-GENE-050309-87")</f>
        <v>https://zfin.org/ZDB-GENE-050309-87</v>
      </c>
      <c r="J1657" t="s">
        <v>1960</v>
      </c>
    </row>
    <row r="1658" spans="1:10" x14ac:dyDescent="0.2">
      <c r="A1658">
        <v>3.9963030328478902E-22</v>
      </c>
      <c r="B1658">
        <v>0.49803810572535701</v>
      </c>
      <c r="C1658">
        <v>0.57599999999999996</v>
      </c>
      <c r="D1658">
        <v>0.2</v>
      </c>
      <c r="E1658">
        <v>5.5540619550519903E-18</v>
      </c>
      <c r="F1658">
        <v>3</v>
      </c>
      <c r="G1658" t="s">
        <v>3945</v>
      </c>
      <c r="H1658" t="s">
        <v>3946</v>
      </c>
      <c r="I1658" t="str">
        <f>HYPERLINK("https://zfin.org/ZDB-GENE-030616-588")</f>
        <v>https://zfin.org/ZDB-GENE-030616-588</v>
      </c>
      <c r="J1658" t="s">
        <v>3947</v>
      </c>
    </row>
    <row r="1659" spans="1:10" x14ac:dyDescent="0.2">
      <c r="A1659">
        <v>4.3151790525689095E-22</v>
      </c>
      <c r="B1659">
        <v>0.74787722948584201</v>
      </c>
      <c r="C1659">
        <v>0.81799999999999995</v>
      </c>
      <c r="D1659">
        <v>0.52</v>
      </c>
      <c r="E1659">
        <v>5.9972358472602802E-18</v>
      </c>
      <c r="F1659">
        <v>3</v>
      </c>
      <c r="G1659" t="s">
        <v>1614</v>
      </c>
      <c r="H1659" t="s">
        <v>1615</v>
      </c>
      <c r="I1659" t="str">
        <f>HYPERLINK("https://zfin.org/ZDB-GENE-020731-5")</f>
        <v>https://zfin.org/ZDB-GENE-020731-5</v>
      </c>
      <c r="J1659" t="s">
        <v>1616</v>
      </c>
    </row>
    <row r="1660" spans="1:10" x14ac:dyDescent="0.2">
      <c r="A1660">
        <v>5.89540024919999E-22</v>
      </c>
      <c r="B1660">
        <v>-1.3557640041837999</v>
      </c>
      <c r="C1660">
        <v>0.17399999999999999</v>
      </c>
      <c r="D1660">
        <v>0.56499999999999995</v>
      </c>
      <c r="E1660">
        <v>8.1934272663381499E-18</v>
      </c>
      <c r="F1660">
        <v>3</v>
      </c>
      <c r="G1660" t="s">
        <v>2352</v>
      </c>
      <c r="H1660" t="s">
        <v>2353</v>
      </c>
      <c r="I1660" t="str">
        <f>HYPERLINK("https://zfin.org/ZDB-GENE-051023-8")</f>
        <v>https://zfin.org/ZDB-GENE-051023-8</v>
      </c>
      <c r="J1660" t="s">
        <v>2354</v>
      </c>
    </row>
    <row r="1661" spans="1:10" x14ac:dyDescent="0.2">
      <c r="A1661">
        <v>6.9149130370970002E-22</v>
      </c>
      <c r="B1661">
        <v>0.63252825753359698</v>
      </c>
      <c r="C1661">
        <v>0.59799999999999998</v>
      </c>
      <c r="D1661">
        <v>0.23</v>
      </c>
      <c r="E1661">
        <v>9.6103461389574104E-18</v>
      </c>
      <c r="F1661">
        <v>3</v>
      </c>
      <c r="G1661" t="s">
        <v>2996</v>
      </c>
      <c r="H1661" t="s">
        <v>2997</v>
      </c>
      <c r="I1661" t="str">
        <f>HYPERLINK("https://zfin.org/ZDB-GENE-070719-5")</f>
        <v>https://zfin.org/ZDB-GENE-070719-5</v>
      </c>
      <c r="J1661" t="s">
        <v>2998</v>
      </c>
    </row>
    <row r="1662" spans="1:10" x14ac:dyDescent="0.2">
      <c r="A1662">
        <v>7.9997539436083696E-22</v>
      </c>
      <c r="B1662">
        <v>0.65617158620135796</v>
      </c>
      <c r="C1662">
        <v>0.66700000000000004</v>
      </c>
      <c r="D1662">
        <v>0.28699999999999998</v>
      </c>
      <c r="E1662">
        <v>1.11180580308269E-17</v>
      </c>
      <c r="F1662">
        <v>3</v>
      </c>
      <c r="G1662" t="s">
        <v>3948</v>
      </c>
      <c r="H1662" t="s">
        <v>3949</v>
      </c>
      <c r="I1662" t="str">
        <f>HYPERLINK("https://zfin.org/ZDB-GENE-041216-1")</f>
        <v>https://zfin.org/ZDB-GENE-041216-1</v>
      </c>
      <c r="J1662" t="s">
        <v>3950</v>
      </c>
    </row>
    <row r="1663" spans="1:10" x14ac:dyDescent="0.2">
      <c r="A1663">
        <v>8.2484032252308095E-22</v>
      </c>
      <c r="B1663">
        <v>0.53210600731431101</v>
      </c>
      <c r="C1663">
        <v>0.40200000000000002</v>
      </c>
      <c r="D1663">
        <v>0.112</v>
      </c>
      <c r="E1663">
        <v>1.14636308024258E-17</v>
      </c>
      <c r="F1663">
        <v>3</v>
      </c>
      <c r="G1663" t="s">
        <v>3951</v>
      </c>
      <c r="H1663" t="s">
        <v>3952</v>
      </c>
      <c r="I1663" t="str">
        <f>HYPERLINK("https://zfin.org/ZDB-GENE-070912-179")</f>
        <v>https://zfin.org/ZDB-GENE-070912-179</v>
      </c>
      <c r="J1663" t="s">
        <v>3953</v>
      </c>
    </row>
    <row r="1664" spans="1:10" x14ac:dyDescent="0.2">
      <c r="A1664">
        <v>8.3434063521998801E-22</v>
      </c>
      <c r="B1664">
        <v>0.60104033718441396</v>
      </c>
      <c r="C1664">
        <v>0.45500000000000002</v>
      </c>
      <c r="D1664">
        <v>0.14299999999999999</v>
      </c>
      <c r="E1664">
        <v>1.15956661482874E-17</v>
      </c>
      <c r="F1664">
        <v>3</v>
      </c>
      <c r="G1664" t="s">
        <v>3954</v>
      </c>
      <c r="H1664" t="s">
        <v>3955</v>
      </c>
      <c r="I1664" t="str">
        <f>HYPERLINK("https://zfin.org/ZDB-GENE-031018-3")</f>
        <v>https://zfin.org/ZDB-GENE-031018-3</v>
      </c>
      <c r="J1664" t="s">
        <v>3956</v>
      </c>
    </row>
    <row r="1665" spans="1:10" x14ac:dyDescent="0.2">
      <c r="A1665">
        <v>8.4424602657164001E-22</v>
      </c>
      <c r="B1665">
        <v>0.46626425631542201</v>
      </c>
      <c r="C1665">
        <v>0.40200000000000002</v>
      </c>
      <c r="D1665">
        <v>0.111</v>
      </c>
      <c r="E1665">
        <v>1.1733331277292599E-17</v>
      </c>
      <c r="F1665">
        <v>3</v>
      </c>
      <c r="G1665" t="s">
        <v>735</v>
      </c>
      <c r="H1665" t="s">
        <v>736</v>
      </c>
      <c r="I1665" t="str">
        <f>HYPERLINK("https://zfin.org/ZDB-GENE-050522-323")</f>
        <v>https://zfin.org/ZDB-GENE-050522-323</v>
      </c>
      <c r="J1665" t="s">
        <v>737</v>
      </c>
    </row>
    <row r="1666" spans="1:10" x14ac:dyDescent="0.2">
      <c r="A1666">
        <v>8.8591848675589906E-22</v>
      </c>
      <c r="B1666">
        <v>0.38841420102945201</v>
      </c>
      <c r="C1666">
        <v>0.152</v>
      </c>
      <c r="D1666">
        <v>1.9E-2</v>
      </c>
      <c r="E1666">
        <v>1.2312495128933499E-17</v>
      </c>
      <c r="F1666">
        <v>3</v>
      </c>
      <c r="G1666" t="s">
        <v>579</v>
      </c>
      <c r="H1666" t="s">
        <v>580</v>
      </c>
      <c r="I1666" t="str">
        <f>HYPERLINK("https://zfin.org/ZDB-GENE-041010-153")</f>
        <v>https://zfin.org/ZDB-GENE-041010-153</v>
      </c>
      <c r="J1666" t="s">
        <v>581</v>
      </c>
    </row>
    <row r="1667" spans="1:10" x14ac:dyDescent="0.2">
      <c r="A1667">
        <v>1.1148251889884901E-21</v>
      </c>
      <c r="B1667">
        <v>-0.72105736666957498</v>
      </c>
      <c r="C1667">
        <v>0.81799999999999995</v>
      </c>
      <c r="D1667">
        <v>0.90400000000000003</v>
      </c>
      <c r="E1667">
        <v>1.5493840476562101E-17</v>
      </c>
      <c r="F1667">
        <v>3</v>
      </c>
      <c r="G1667" t="s">
        <v>2096</v>
      </c>
      <c r="H1667" t="s">
        <v>2097</v>
      </c>
      <c r="I1667" t="str">
        <f>HYPERLINK("https://zfin.org/ZDB-GENE-030131-8417")</f>
        <v>https://zfin.org/ZDB-GENE-030131-8417</v>
      </c>
      <c r="J1667" t="s">
        <v>2098</v>
      </c>
    </row>
    <row r="1668" spans="1:10" x14ac:dyDescent="0.2">
      <c r="A1668">
        <v>1.3808269514197899E-21</v>
      </c>
      <c r="B1668">
        <v>0.530998804129169</v>
      </c>
      <c r="C1668">
        <v>0.41699999999999998</v>
      </c>
      <c r="D1668">
        <v>0.122</v>
      </c>
      <c r="E1668">
        <v>1.9190732970832199E-17</v>
      </c>
      <c r="F1668">
        <v>3</v>
      </c>
      <c r="G1668" t="s">
        <v>3957</v>
      </c>
      <c r="H1668" t="s">
        <v>3958</v>
      </c>
      <c r="I1668" t="str">
        <f>HYPERLINK("https://zfin.org/ZDB-GENE-040801-68")</f>
        <v>https://zfin.org/ZDB-GENE-040801-68</v>
      </c>
      <c r="J1668" t="s">
        <v>3959</v>
      </c>
    </row>
    <row r="1669" spans="1:10" x14ac:dyDescent="0.2">
      <c r="A1669">
        <v>1.4123595600119501E-21</v>
      </c>
      <c r="B1669">
        <v>0.66102481459812901</v>
      </c>
      <c r="C1669">
        <v>0.76500000000000001</v>
      </c>
      <c r="D1669">
        <v>0.376</v>
      </c>
      <c r="E1669">
        <v>1.96289731650461E-17</v>
      </c>
      <c r="F1669">
        <v>3</v>
      </c>
      <c r="G1669" t="s">
        <v>1438</v>
      </c>
      <c r="H1669" t="s">
        <v>1439</v>
      </c>
      <c r="I1669" t="str">
        <f>HYPERLINK("https://zfin.org/ZDB-GENE-040625-38")</f>
        <v>https://zfin.org/ZDB-GENE-040625-38</v>
      </c>
      <c r="J1669" t="s">
        <v>1440</v>
      </c>
    </row>
    <row r="1670" spans="1:10" x14ac:dyDescent="0.2">
      <c r="A1670">
        <v>1.55396635211677E-21</v>
      </c>
      <c r="B1670">
        <v>0.60398521096110103</v>
      </c>
      <c r="C1670">
        <v>0.52300000000000002</v>
      </c>
      <c r="D1670">
        <v>0.184</v>
      </c>
      <c r="E1670">
        <v>2.15970243617189E-17</v>
      </c>
      <c r="F1670">
        <v>3</v>
      </c>
      <c r="G1670" t="s">
        <v>2003</v>
      </c>
      <c r="H1670" t="s">
        <v>2004</v>
      </c>
      <c r="I1670" t="str">
        <f>HYPERLINK("https://zfin.org/ZDB-GENE-040625-34")</f>
        <v>https://zfin.org/ZDB-GENE-040625-34</v>
      </c>
      <c r="J1670" t="s">
        <v>2005</v>
      </c>
    </row>
    <row r="1671" spans="1:10" x14ac:dyDescent="0.2">
      <c r="A1671">
        <v>1.8061328162821899E-21</v>
      </c>
      <c r="B1671">
        <v>0.49645594274146998</v>
      </c>
      <c r="C1671">
        <v>0.432</v>
      </c>
      <c r="D1671">
        <v>0.127</v>
      </c>
      <c r="E1671">
        <v>2.5101633880689901E-17</v>
      </c>
      <c r="F1671">
        <v>3</v>
      </c>
      <c r="G1671" t="s">
        <v>3237</v>
      </c>
      <c r="H1671" t="s">
        <v>3238</v>
      </c>
      <c r="I1671" t="str">
        <f>HYPERLINK("https://zfin.org/ZDB-GENE-020419-22")</f>
        <v>https://zfin.org/ZDB-GENE-020419-22</v>
      </c>
      <c r="J1671" t="s">
        <v>3239</v>
      </c>
    </row>
    <row r="1672" spans="1:10" x14ac:dyDescent="0.2">
      <c r="A1672">
        <v>1.9882947000139599E-21</v>
      </c>
      <c r="B1672">
        <v>0.611580221255561</v>
      </c>
      <c r="C1672">
        <v>0.879</v>
      </c>
      <c r="D1672">
        <v>0.52400000000000002</v>
      </c>
      <c r="E1672">
        <v>2.7633319740794101E-17</v>
      </c>
      <c r="F1672">
        <v>3</v>
      </c>
      <c r="G1672" t="s">
        <v>3076</v>
      </c>
      <c r="H1672" t="s">
        <v>3077</v>
      </c>
      <c r="I1672" t="str">
        <f>HYPERLINK("https://zfin.org/ZDB-GENE-030131-8284")</f>
        <v>https://zfin.org/ZDB-GENE-030131-8284</v>
      </c>
      <c r="J1672" t="s">
        <v>3078</v>
      </c>
    </row>
    <row r="1673" spans="1:10" x14ac:dyDescent="0.2">
      <c r="A1673">
        <v>2.0795456939394401E-21</v>
      </c>
      <c r="B1673">
        <v>0.63762313845773599</v>
      </c>
      <c r="C1673">
        <v>0.89400000000000002</v>
      </c>
      <c r="D1673">
        <v>0.59899999999999998</v>
      </c>
      <c r="E1673">
        <v>2.8901526054370299E-17</v>
      </c>
      <c r="F1673">
        <v>3</v>
      </c>
      <c r="G1673" t="s">
        <v>1528</v>
      </c>
      <c r="H1673" t="s">
        <v>1529</v>
      </c>
      <c r="I1673" t="str">
        <f>HYPERLINK("https://zfin.org/ZDB-GENE-040724-95")</f>
        <v>https://zfin.org/ZDB-GENE-040724-95</v>
      </c>
      <c r="J1673" t="s">
        <v>1530</v>
      </c>
    </row>
    <row r="1674" spans="1:10" x14ac:dyDescent="0.2">
      <c r="A1674">
        <v>2.7522819448380601E-21</v>
      </c>
      <c r="B1674">
        <v>-1.1343144377730101</v>
      </c>
      <c r="C1674">
        <v>0.34799999999999998</v>
      </c>
      <c r="D1674">
        <v>0.66600000000000004</v>
      </c>
      <c r="E1674">
        <v>3.8251214469359402E-17</v>
      </c>
      <c r="F1674">
        <v>3</v>
      </c>
      <c r="G1674" t="s">
        <v>1881</v>
      </c>
      <c r="H1674" t="s">
        <v>1882</v>
      </c>
      <c r="I1674" t="str">
        <f>HYPERLINK("https://zfin.org/ZDB-GENE-000511-4")</f>
        <v>https://zfin.org/ZDB-GENE-000511-4</v>
      </c>
      <c r="J1674" t="s">
        <v>1664</v>
      </c>
    </row>
    <row r="1675" spans="1:10" x14ac:dyDescent="0.2">
      <c r="A1675">
        <v>2.7947523665159798E-21</v>
      </c>
      <c r="B1675">
        <v>0.54994218361724101</v>
      </c>
      <c r="C1675">
        <v>0.90900000000000003</v>
      </c>
      <c r="D1675">
        <v>0.73699999999999999</v>
      </c>
      <c r="E1675">
        <v>3.8841468389839101E-17</v>
      </c>
      <c r="F1675">
        <v>3</v>
      </c>
      <c r="G1675" t="s">
        <v>3960</v>
      </c>
      <c r="H1675" t="s">
        <v>3961</v>
      </c>
      <c r="I1675" t="str">
        <f>HYPERLINK("https://zfin.org/ZDB-GENE-050417-65")</f>
        <v>https://zfin.org/ZDB-GENE-050417-65</v>
      </c>
      <c r="J1675" t="s">
        <v>3962</v>
      </c>
    </row>
    <row r="1676" spans="1:10" x14ac:dyDescent="0.2">
      <c r="A1676">
        <v>2.8027569428524198E-21</v>
      </c>
      <c r="B1676">
        <v>0.33314055728035502</v>
      </c>
      <c r="C1676">
        <v>0.152</v>
      </c>
      <c r="D1676">
        <v>1.9E-2</v>
      </c>
      <c r="E1676">
        <v>3.8952715991762901E-17</v>
      </c>
      <c r="F1676">
        <v>3</v>
      </c>
      <c r="G1676" t="s">
        <v>3963</v>
      </c>
      <c r="H1676" t="s">
        <v>3964</v>
      </c>
      <c r="I1676" t="str">
        <f>HYPERLINK("https://zfin.org/ZDB-GENE-000208-21")</f>
        <v>https://zfin.org/ZDB-GENE-000208-21</v>
      </c>
      <c r="J1676" t="s">
        <v>3965</v>
      </c>
    </row>
    <row r="1677" spans="1:10" x14ac:dyDescent="0.2">
      <c r="A1677">
        <v>3.7822011464912498E-21</v>
      </c>
      <c r="B1677">
        <v>0.40232762238598901</v>
      </c>
      <c r="C1677">
        <v>0.21199999999999999</v>
      </c>
      <c r="D1677">
        <v>3.7999999999999999E-2</v>
      </c>
      <c r="E1677">
        <v>5.25650315339354E-17</v>
      </c>
      <c r="F1677">
        <v>3</v>
      </c>
      <c r="G1677" t="s">
        <v>309</v>
      </c>
      <c r="H1677" t="s">
        <v>310</v>
      </c>
      <c r="I1677" t="str">
        <f>HYPERLINK("https://zfin.org/ZDB-GENE-050411-27")</f>
        <v>https://zfin.org/ZDB-GENE-050411-27</v>
      </c>
      <c r="J1677" t="s">
        <v>311</v>
      </c>
    </row>
    <row r="1678" spans="1:10" x14ac:dyDescent="0.2">
      <c r="A1678">
        <v>4.7953518734196102E-21</v>
      </c>
      <c r="B1678">
        <v>0.59022835515052197</v>
      </c>
      <c r="C1678">
        <v>0.56100000000000005</v>
      </c>
      <c r="D1678">
        <v>0.20100000000000001</v>
      </c>
      <c r="E1678">
        <v>6.6645800336785798E-17</v>
      </c>
      <c r="F1678">
        <v>3</v>
      </c>
      <c r="G1678" t="s">
        <v>3270</v>
      </c>
      <c r="H1678" t="s">
        <v>3271</v>
      </c>
      <c r="I1678" t="str">
        <f>HYPERLINK("https://zfin.org/ZDB-GENE-040718-209")</f>
        <v>https://zfin.org/ZDB-GENE-040718-209</v>
      </c>
      <c r="J1678" t="s">
        <v>3272</v>
      </c>
    </row>
    <row r="1679" spans="1:10" x14ac:dyDescent="0.2">
      <c r="A1679">
        <v>6.0731501713349899E-21</v>
      </c>
      <c r="B1679">
        <v>0.456536964139582</v>
      </c>
      <c r="C1679">
        <v>0.32600000000000001</v>
      </c>
      <c r="D1679">
        <v>8.1000000000000003E-2</v>
      </c>
      <c r="E1679">
        <v>8.4404641081213598E-17</v>
      </c>
      <c r="F1679">
        <v>3</v>
      </c>
      <c r="G1679" t="s">
        <v>3966</v>
      </c>
      <c r="H1679" t="s">
        <v>3967</v>
      </c>
      <c r="I1679" t="str">
        <f>HYPERLINK("https://zfin.org/ZDB-GENE-040426-2603")</f>
        <v>https://zfin.org/ZDB-GENE-040426-2603</v>
      </c>
      <c r="J1679" t="s">
        <v>3968</v>
      </c>
    </row>
    <row r="1680" spans="1:10" x14ac:dyDescent="0.2">
      <c r="A1680">
        <v>6.5570953528956203E-21</v>
      </c>
      <c r="B1680">
        <v>0.53451319307372902</v>
      </c>
      <c r="C1680">
        <v>0.56100000000000005</v>
      </c>
      <c r="D1680">
        <v>0.20399999999999999</v>
      </c>
      <c r="E1680">
        <v>9.1130511214543299E-17</v>
      </c>
      <c r="F1680">
        <v>3</v>
      </c>
      <c r="G1680" t="s">
        <v>3969</v>
      </c>
      <c r="H1680" t="s">
        <v>3970</v>
      </c>
      <c r="I1680" t="str">
        <f>HYPERLINK("https://zfin.org/")</f>
        <v>https://zfin.org/</v>
      </c>
      <c r="J1680" t="s">
        <v>3971</v>
      </c>
    </row>
    <row r="1681" spans="1:10" x14ac:dyDescent="0.2">
      <c r="A1681">
        <v>6.9814571791699102E-21</v>
      </c>
      <c r="B1681">
        <v>0.565509731198655</v>
      </c>
      <c r="C1681">
        <v>0.71199999999999997</v>
      </c>
      <c r="D1681">
        <v>0.312</v>
      </c>
      <c r="E1681">
        <v>9.7028291876103402E-17</v>
      </c>
      <c r="F1681">
        <v>3</v>
      </c>
      <c r="G1681" t="s">
        <v>3972</v>
      </c>
      <c r="H1681" t="s">
        <v>3973</v>
      </c>
      <c r="I1681" t="str">
        <f>HYPERLINK("https://zfin.org/")</f>
        <v>https://zfin.org/</v>
      </c>
      <c r="J1681" t="s">
        <v>3974</v>
      </c>
    </row>
    <row r="1682" spans="1:10" x14ac:dyDescent="0.2">
      <c r="A1682">
        <v>7.8201685045570302E-21</v>
      </c>
      <c r="B1682">
        <v>0.62081455748924597</v>
      </c>
      <c r="C1682">
        <v>0.57599999999999996</v>
      </c>
      <c r="D1682">
        <v>0.224</v>
      </c>
      <c r="E1682">
        <v>1.08684701876334E-16</v>
      </c>
      <c r="F1682">
        <v>3</v>
      </c>
      <c r="G1682" t="s">
        <v>3975</v>
      </c>
      <c r="H1682" t="s">
        <v>3976</v>
      </c>
      <c r="I1682" t="str">
        <f>HYPERLINK("https://zfin.org/ZDB-GENE-041114-160")</f>
        <v>https://zfin.org/ZDB-GENE-041114-160</v>
      </c>
      <c r="J1682" t="s">
        <v>3977</v>
      </c>
    </row>
    <row r="1683" spans="1:10" x14ac:dyDescent="0.2">
      <c r="A1683">
        <v>7.8450397296137205E-21</v>
      </c>
      <c r="B1683">
        <v>0.43951249690133898</v>
      </c>
      <c r="C1683">
        <v>0.34799999999999998</v>
      </c>
      <c r="D1683">
        <v>9.0999999999999998E-2</v>
      </c>
      <c r="E1683">
        <v>1.09030362162171E-16</v>
      </c>
      <c r="F1683">
        <v>3</v>
      </c>
      <c r="G1683" t="s">
        <v>3978</v>
      </c>
      <c r="H1683" t="s">
        <v>3979</v>
      </c>
      <c r="I1683" t="str">
        <f>HYPERLINK("https://zfin.org/ZDB-GENE-050112-1")</f>
        <v>https://zfin.org/ZDB-GENE-050112-1</v>
      </c>
      <c r="J1683" t="s">
        <v>3980</v>
      </c>
    </row>
    <row r="1684" spans="1:10" x14ac:dyDescent="0.2">
      <c r="A1684">
        <v>8.1755617396350201E-21</v>
      </c>
      <c r="B1684">
        <v>0.34525226055216901</v>
      </c>
      <c r="C1684">
        <v>0.99199999999999999</v>
      </c>
      <c r="D1684">
        <v>0.97599999999999998</v>
      </c>
      <c r="E1684">
        <v>1.13623957057447E-16</v>
      </c>
      <c r="F1684">
        <v>3</v>
      </c>
      <c r="G1684" t="s">
        <v>2400</v>
      </c>
      <c r="H1684" t="s">
        <v>2401</v>
      </c>
      <c r="I1684" t="str">
        <f>HYPERLINK("https://zfin.org/ZDB-GENE-040426-1670")</f>
        <v>https://zfin.org/ZDB-GENE-040426-1670</v>
      </c>
      <c r="J1684" t="s">
        <v>2402</v>
      </c>
    </row>
    <row r="1685" spans="1:10" x14ac:dyDescent="0.2">
      <c r="A1685">
        <v>8.5955330659641002E-21</v>
      </c>
      <c r="B1685">
        <v>0.303206098339942</v>
      </c>
      <c r="C1685">
        <v>0.129</v>
      </c>
      <c r="D1685">
        <v>1.4999999999999999E-2</v>
      </c>
      <c r="E1685">
        <v>1.19460718550769E-16</v>
      </c>
      <c r="F1685">
        <v>3</v>
      </c>
      <c r="G1685" t="s">
        <v>660</v>
      </c>
      <c r="H1685" t="s">
        <v>661</v>
      </c>
      <c r="I1685" t="str">
        <f>HYPERLINK("https://zfin.org/ZDB-GENE-030131-5975")</f>
        <v>https://zfin.org/ZDB-GENE-030131-5975</v>
      </c>
      <c r="J1685" t="s">
        <v>662</v>
      </c>
    </row>
    <row r="1686" spans="1:10" x14ac:dyDescent="0.2">
      <c r="A1686">
        <v>8.7025820164081597E-21</v>
      </c>
      <c r="B1686">
        <v>0.72386118206146099</v>
      </c>
      <c r="C1686">
        <v>0.73499999999999999</v>
      </c>
      <c r="D1686">
        <v>0.36299999999999999</v>
      </c>
      <c r="E1686">
        <v>1.2094848486404101E-16</v>
      </c>
      <c r="F1686">
        <v>3</v>
      </c>
      <c r="G1686" t="s">
        <v>3981</v>
      </c>
      <c r="H1686" t="s">
        <v>3982</v>
      </c>
      <c r="I1686" t="str">
        <f>HYPERLINK("https://zfin.org/ZDB-GENE-040718-353")</f>
        <v>https://zfin.org/ZDB-GENE-040718-353</v>
      </c>
      <c r="J1686" t="s">
        <v>3983</v>
      </c>
    </row>
    <row r="1687" spans="1:10" x14ac:dyDescent="0.2">
      <c r="A1687">
        <v>1.1534094008851699E-20</v>
      </c>
      <c r="B1687">
        <v>-1.5535563516497899</v>
      </c>
      <c r="C1687">
        <v>0.28799999999999998</v>
      </c>
      <c r="D1687">
        <v>0.622</v>
      </c>
      <c r="E1687">
        <v>1.6030083853502E-16</v>
      </c>
      <c r="F1687">
        <v>3</v>
      </c>
      <c r="G1687" t="s">
        <v>2511</v>
      </c>
      <c r="H1687" t="s">
        <v>2512</v>
      </c>
      <c r="I1687" t="str">
        <f>HYPERLINK("https://zfin.org/ZDB-GENE-000619-1")</f>
        <v>https://zfin.org/ZDB-GENE-000619-1</v>
      </c>
      <c r="J1687" t="s">
        <v>2513</v>
      </c>
    </row>
    <row r="1688" spans="1:10" x14ac:dyDescent="0.2">
      <c r="A1688">
        <v>1.24750113484457E-20</v>
      </c>
      <c r="B1688">
        <v>0.37365642487551998</v>
      </c>
      <c r="C1688">
        <v>0.29499999999999998</v>
      </c>
      <c r="D1688">
        <v>6.8000000000000005E-2</v>
      </c>
      <c r="E1688">
        <v>1.73377707720698E-16</v>
      </c>
      <c r="F1688">
        <v>3</v>
      </c>
      <c r="G1688" t="s">
        <v>3984</v>
      </c>
      <c r="H1688" t="s">
        <v>3985</v>
      </c>
      <c r="I1688" t="str">
        <f>HYPERLINK("https://zfin.org/ZDB-GENE-031030-12")</f>
        <v>https://zfin.org/ZDB-GENE-031030-12</v>
      </c>
      <c r="J1688" t="s">
        <v>3986</v>
      </c>
    </row>
    <row r="1689" spans="1:10" x14ac:dyDescent="0.2">
      <c r="A1689">
        <v>1.26257999596867E-20</v>
      </c>
      <c r="B1689">
        <v>0.31099247922986101</v>
      </c>
      <c r="C1689">
        <v>1</v>
      </c>
      <c r="D1689">
        <v>0.997</v>
      </c>
      <c r="E1689">
        <v>1.7547336783972601E-16</v>
      </c>
      <c r="F1689">
        <v>3</v>
      </c>
      <c r="G1689" t="s">
        <v>1653</v>
      </c>
      <c r="H1689" t="s">
        <v>1654</v>
      </c>
      <c r="I1689" t="str">
        <f>HYPERLINK("https://zfin.org/ZDB-GENE-040426-2284")</f>
        <v>https://zfin.org/ZDB-GENE-040426-2284</v>
      </c>
      <c r="J1689" t="s">
        <v>1655</v>
      </c>
    </row>
    <row r="1690" spans="1:10" x14ac:dyDescent="0.2">
      <c r="A1690">
        <v>1.30799175055542E-20</v>
      </c>
      <c r="B1690">
        <v>0.34058256558391098</v>
      </c>
      <c r="C1690">
        <v>0.13600000000000001</v>
      </c>
      <c r="D1690">
        <v>1.6E-2</v>
      </c>
      <c r="E1690">
        <v>1.8178469349219201E-16</v>
      </c>
      <c r="F1690">
        <v>3</v>
      </c>
      <c r="G1690" t="s">
        <v>3987</v>
      </c>
      <c r="H1690" t="s">
        <v>3988</v>
      </c>
      <c r="I1690" t="str">
        <f>HYPERLINK("https://zfin.org/ZDB-GENE-000406-10")</f>
        <v>https://zfin.org/ZDB-GENE-000406-10</v>
      </c>
      <c r="J1690" t="s">
        <v>3989</v>
      </c>
    </row>
    <row r="1691" spans="1:10" x14ac:dyDescent="0.2">
      <c r="A1691">
        <v>1.4788972898161201E-20</v>
      </c>
      <c r="B1691">
        <v>0.51981919940287202</v>
      </c>
      <c r="C1691">
        <v>0.30299999999999999</v>
      </c>
      <c r="D1691">
        <v>7.3999999999999996E-2</v>
      </c>
      <c r="E1691">
        <v>2.0553714533864399E-16</v>
      </c>
      <c r="F1691">
        <v>3</v>
      </c>
      <c r="G1691" t="s">
        <v>528</v>
      </c>
      <c r="H1691" t="s">
        <v>529</v>
      </c>
      <c r="I1691" t="str">
        <f>HYPERLINK("https://zfin.org/ZDB-GENE-131126-80")</f>
        <v>https://zfin.org/ZDB-GENE-131126-80</v>
      </c>
      <c r="J1691" t="s">
        <v>530</v>
      </c>
    </row>
    <row r="1692" spans="1:10" x14ac:dyDescent="0.2">
      <c r="A1692">
        <v>1.49130952434286E-20</v>
      </c>
      <c r="B1692">
        <v>0.27807737523820403</v>
      </c>
      <c r="C1692">
        <v>0.159</v>
      </c>
      <c r="D1692">
        <v>2.1999999999999999E-2</v>
      </c>
      <c r="E1692">
        <v>2.0726219769317001E-16</v>
      </c>
      <c r="F1692">
        <v>3</v>
      </c>
      <c r="G1692" t="s">
        <v>3990</v>
      </c>
      <c r="H1692" t="s">
        <v>3991</v>
      </c>
      <c r="I1692" t="str">
        <f>HYPERLINK("https://zfin.org/ZDB-GENE-061103-523")</f>
        <v>https://zfin.org/ZDB-GENE-061103-523</v>
      </c>
      <c r="J1692" t="s">
        <v>3992</v>
      </c>
    </row>
    <row r="1693" spans="1:10" x14ac:dyDescent="0.2">
      <c r="A1693">
        <v>1.5287037948852699E-20</v>
      </c>
      <c r="B1693">
        <v>-1.3301688355457699</v>
      </c>
      <c r="C1693">
        <v>0.14399999999999999</v>
      </c>
      <c r="D1693">
        <v>0.54500000000000004</v>
      </c>
      <c r="E1693">
        <v>2.12459253413155E-16</v>
      </c>
      <c r="F1693">
        <v>3</v>
      </c>
      <c r="G1693" t="s">
        <v>2090</v>
      </c>
      <c r="H1693" t="s">
        <v>2091</v>
      </c>
      <c r="I1693" t="str">
        <f>HYPERLINK("https://zfin.org/ZDB-GENE-141212-380")</f>
        <v>https://zfin.org/ZDB-GENE-141212-380</v>
      </c>
      <c r="J1693" t="s">
        <v>2092</v>
      </c>
    </row>
    <row r="1694" spans="1:10" x14ac:dyDescent="0.2">
      <c r="A1694">
        <v>1.9055790001694101E-20</v>
      </c>
      <c r="B1694">
        <v>0.57827624437646297</v>
      </c>
      <c r="C1694">
        <v>0.48499999999999999</v>
      </c>
      <c r="D1694">
        <v>0.16500000000000001</v>
      </c>
      <c r="E1694">
        <v>2.6483736944354502E-16</v>
      </c>
      <c r="F1694">
        <v>3</v>
      </c>
      <c r="G1694" t="s">
        <v>3993</v>
      </c>
      <c r="H1694" t="s">
        <v>3994</v>
      </c>
      <c r="I1694" t="str">
        <f>HYPERLINK("https://zfin.org/ZDB-GENE-990415-215")</f>
        <v>https://zfin.org/ZDB-GENE-990415-215</v>
      </c>
      <c r="J1694" t="s">
        <v>3995</v>
      </c>
    </row>
    <row r="1695" spans="1:10" x14ac:dyDescent="0.2">
      <c r="A1695">
        <v>2.1795066738345599E-20</v>
      </c>
      <c r="B1695">
        <v>0.69347043190633495</v>
      </c>
      <c r="C1695">
        <v>0.36399999999999999</v>
      </c>
      <c r="D1695">
        <v>0.106</v>
      </c>
      <c r="E1695">
        <v>3.0290783752952699E-16</v>
      </c>
      <c r="F1695">
        <v>3</v>
      </c>
      <c r="G1695" t="s">
        <v>3996</v>
      </c>
      <c r="H1695" t="s">
        <v>3997</v>
      </c>
      <c r="I1695" t="str">
        <f>HYPERLINK("https://zfin.org/ZDB-GENE-050208-448")</f>
        <v>https://zfin.org/ZDB-GENE-050208-448</v>
      </c>
      <c r="J1695" t="s">
        <v>3998</v>
      </c>
    </row>
    <row r="1696" spans="1:10" x14ac:dyDescent="0.2">
      <c r="A1696">
        <v>2.18890608280304E-20</v>
      </c>
      <c r="B1696">
        <v>-1.1741638484033201</v>
      </c>
      <c r="C1696">
        <v>0.25</v>
      </c>
      <c r="D1696">
        <v>0.61499999999999999</v>
      </c>
      <c r="E1696">
        <v>3.0421416738796598E-16</v>
      </c>
      <c r="F1696">
        <v>3</v>
      </c>
      <c r="G1696" t="s">
        <v>2123</v>
      </c>
      <c r="H1696" t="s">
        <v>2124</v>
      </c>
      <c r="I1696" t="str">
        <f>HYPERLINK("https://zfin.org/ZDB-GENE-040426-2720")</f>
        <v>https://zfin.org/ZDB-GENE-040426-2720</v>
      </c>
      <c r="J1696" t="s">
        <v>2125</v>
      </c>
    </row>
    <row r="1697" spans="1:10" x14ac:dyDescent="0.2">
      <c r="A1697">
        <v>2.4877080361051301E-20</v>
      </c>
      <c r="B1697">
        <v>0.40676000263287798</v>
      </c>
      <c r="C1697">
        <v>0.34799999999999998</v>
      </c>
      <c r="D1697">
        <v>9.1999999999999998E-2</v>
      </c>
      <c r="E1697">
        <v>3.4574166285789201E-16</v>
      </c>
      <c r="F1697">
        <v>3</v>
      </c>
      <c r="G1697" t="s">
        <v>3999</v>
      </c>
      <c r="H1697" t="s">
        <v>4000</v>
      </c>
      <c r="I1697" t="str">
        <f>HYPERLINK("https://zfin.org/ZDB-GENE-050417-66")</f>
        <v>https://zfin.org/ZDB-GENE-050417-66</v>
      </c>
      <c r="J1697" t="s">
        <v>4001</v>
      </c>
    </row>
    <row r="1698" spans="1:10" x14ac:dyDescent="0.2">
      <c r="A1698">
        <v>3.0418135341363402E-20</v>
      </c>
      <c r="B1698">
        <v>0.91388515002221204</v>
      </c>
      <c r="C1698">
        <v>0.93899999999999995</v>
      </c>
      <c r="D1698">
        <v>0.80600000000000005</v>
      </c>
      <c r="E1698">
        <v>4.2275124497426902E-16</v>
      </c>
      <c r="F1698">
        <v>3</v>
      </c>
      <c r="G1698" t="s">
        <v>4002</v>
      </c>
      <c r="H1698" t="s">
        <v>4003</v>
      </c>
      <c r="I1698" t="str">
        <f>HYPERLINK("https://zfin.org/ZDB-GENE-131120-172")</f>
        <v>https://zfin.org/ZDB-GENE-131120-172</v>
      </c>
      <c r="J1698" t="s">
        <v>4004</v>
      </c>
    </row>
    <row r="1699" spans="1:10" x14ac:dyDescent="0.2">
      <c r="A1699">
        <v>3.0678749418202799E-20</v>
      </c>
      <c r="B1699">
        <v>0.33447561383965901</v>
      </c>
      <c r="C1699">
        <v>1</v>
      </c>
      <c r="D1699">
        <v>0.98599999999999999</v>
      </c>
      <c r="E1699">
        <v>4.26373259414182E-16</v>
      </c>
      <c r="F1699">
        <v>3</v>
      </c>
      <c r="G1699" t="s">
        <v>1910</v>
      </c>
      <c r="H1699" t="s">
        <v>1911</v>
      </c>
      <c r="I1699" t="str">
        <f>HYPERLINK("https://zfin.org/ZDB-GENE-030131-8951")</f>
        <v>https://zfin.org/ZDB-GENE-030131-8951</v>
      </c>
      <c r="J1699" t="s">
        <v>1912</v>
      </c>
    </row>
    <row r="1700" spans="1:10" x14ac:dyDescent="0.2">
      <c r="A1700">
        <v>3.28573187824403E-20</v>
      </c>
      <c r="B1700">
        <v>0.56408059455218396</v>
      </c>
      <c r="C1700">
        <v>0.91700000000000004</v>
      </c>
      <c r="D1700">
        <v>0.60199999999999998</v>
      </c>
      <c r="E1700">
        <v>4.5665101643835499E-16</v>
      </c>
      <c r="F1700">
        <v>3</v>
      </c>
      <c r="G1700" t="s">
        <v>1869</v>
      </c>
      <c r="H1700" t="s">
        <v>1870</v>
      </c>
      <c r="I1700" t="str">
        <f>HYPERLINK("https://zfin.org/ZDB-GENE-030131-9136")</f>
        <v>https://zfin.org/ZDB-GENE-030131-9136</v>
      </c>
      <c r="J1700" t="s">
        <v>1871</v>
      </c>
    </row>
    <row r="1701" spans="1:10" x14ac:dyDescent="0.2">
      <c r="A1701">
        <v>3.6050435621575202E-20</v>
      </c>
      <c r="B1701">
        <v>0.53474316614736095</v>
      </c>
      <c r="C1701">
        <v>0.50800000000000001</v>
      </c>
      <c r="D1701">
        <v>0.17799999999999999</v>
      </c>
      <c r="E1701">
        <v>5.0102895426865195E-16</v>
      </c>
      <c r="F1701">
        <v>3</v>
      </c>
      <c r="G1701" t="s">
        <v>4005</v>
      </c>
      <c r="H1701" t="s">
        <v>4006</v>
      </c>
      <c r="I1701" t="str">
        <f>HYPERLINK("https://zfin.org/ZDB-GENE-040912-93")</f>
        <v>https://zfin.org/ZDB-GENE-040912-93</v>
      </c>
      <c r="J1701" t="s">
        <v>4007</v>
      </c>
    </row>
    <row r="1702" spans="1:10" x14ac:dyDescent="0.2">
      <c r="A1702">
        <v>3.8211857598385302E-20</v>
      </c>
      <c r="B1702">
        <v>0.51979941110924599</v>
      </c>
      <c r="C1702">
        <v>0.92400000000000004</v>
      </c>
      <c r="D1702">
        <v>0.73599999999999999</v>
      </c>
      <c r="E1702">
        <v>5.3106839690235904E-16</v>
      </c>
      <c r="F1702">
        <v>3</v>
      </c>
      <c r="G1702" t="s">
        <v>4008</v>
      </c>
      <c r="H1702" t="s">
        <v>4009</v>
      </c>
      <c r="I1702" t="str">
        <f>HYPERLINK("https://zfin.org/ZDB-GENE-030131-1005")</f>
        <v>https://zfin.org/ZDB-GENE-030131-1005</v>
      </c>
      <c r="J1702" t="s">
        <v>4010</v>
      </c>
    </row>
    <row r="1703" spans="1:10" x14ac:dyDescent="0.2">
      <c r="A1703">
        <v>3.96203316656275E-20</v>
      </c>
      <c r="B1703">
        <v>0.53575833388224803</v>
      </c>
      <c r="C1703">
        <v>0.95499999999999996</v>
      </c>
      <c r="D1703">
        <v>0.79</v>
      </c>
      <c r="E1703">
        <v>5.5064336948889199E-16</v>
      </c>
      <c r="F1703">
        <v>3</v>
      </c>
      <c r="G1703" t="s">
        <v>2592</v>
      </c>
      <c r="H1703" t="s">
        <v>2593</v>
      </c>
      <c r="I1703" t="str">
        <f>HYPERLINK("https://zfin.org/ZDB-GENE-030131-8581")</f>
        <v>https://zfin.org/ZDB-GENE-030131-8581</v>
      </c>
      <c r="J1703" t="s">
        <v>2594</v>
      </c>
    </row>
    <row r="1704" spans="1:10" x14ac:dyDescent="0.2">
      <c r="A1704">
        <v>4.28879849919438E-20</v>
      </c>
      <c r="B1704">
        <v>0.67486593628714098</v>
      </c>
      <c r="C1704">
        <v>0.65900000000000003</v>
      </c>
      <c r="D1704">
        <v>0.307</v>
      </c>
      <c r="E1704">
        <v>5.9605721541803502E-16</v>
      </c>
      <c r="F1704">
        <v>3</v>
      </c>
      <c r="G1704" t="s">
        <v>4011</v>
      </c>
      <c r="H1704" t="s">
        <v>4012</v>
      </c>
      <c r="I1704" t="str">
        <f>HYPERLINK("https://zfin.org/ZDB-GENE-030131-994")</f>
        <v>https://zfin.org/ZDB-GENE-030131-994</v>
      </c>
      <c r="J1704" t="s">
        <v>4013</v>
      </c>
    </row>
    <row r="1705" spans="1:10" x14ac:dyDescent="0.2">
      <c r="A1705">
        <v>5.1910039482783998E-20</v>
      </c>
      <c r="B1705">
        <v>0.55636373051670096</v>
      </c>
      <c r="C1705">
        <v>0.28799999999999998</v>
      </c>
      <c r="D1705">
        <v>7.0000000000000007E-2</v>
      </c>
      <c r="E1705">
        <v>7.2144572873173304E-16</v>
      </c>
      <c r="F1705">
        <v>3</v>
      </c>
      <c r="G1705" t="s">
        <v>4014</v>
      </c>
      <c r="H1705" t="s">
        <v>4015</v>
      </c>
      <c r="I1705" t="str">
        <f>HYPERLINK("https://zfin.org/ZDB-GENE-040724-166")</f>
        <v>https://zfin.org/ZDB-GENE-040724-166</v>
      </c>
      <c r="J1705" t="s">
        <v>4016</v>
      </c>
    </row>
    <row r="1706" spans="1:10" x14ac:dyDescent="0.2">
      <c r="A1706">
        <v>5.6534812936880006E-20</v>
      </c>
      <c r="B1706">
        <v>0.40457040440650099</v>
      </c>
      <c r="C1706">
        <v>0.26500000000000001</v>
      </c>
      <c r="D1706">
        <v>5.8000000000000003E-2</v>
      </c>
      <c r="E1706">
        <v>7.8572083019675899E-16</v>
      </c>
      <c r="F1706">
        <v>3</v>
      </c>
      <c r="G1706" t="s">
        <v>4017</v>
      </c>
      <c r="H1706" t="s">
        <v>4018</v>
      </c>
      <c r="I1706" t="str">
        <f>HYPERLINK("https://zfin.org/ZDB-GENE-050706-143")</f>
        <v>https://zfin.org/ZDB-GENE-050706-143</v>
      </c>
      <c r="J1706" t="s">
        <v>4019</v>
      </c>
    </row>
    <row r="1707" spans="1:10" x14ac:dyDescent="0.2">
      <c r="A1707">
        <v>6.7122344788237595E-20</v>
      </c>
      <c r="B1707">
        <v>0.64458455639119505</v>
      </c>
      <c r="C1707">
        <v>0.84099999999999997</v>
      </c>
      <c r="D1707">
        <v>0.45600000000000002</v>
      </c>
      <c r="E1707">
        <v>9.3286634786692601E-16</v>
      </c>
      <c r="F1707">
        <v>3</v>
      </c>
      <c r="G1707" t="s">
        <v>2385</v>
      </c>
      <c r="H1707" t="s">
        <v>2386</v>
      </c>
      <c r="I1707" t="str">
        <f>HYPERLINK("https://zfin.org/ZDB-GENE-040718-136")</f>
        <v>https://zfin.org/ZDB-GENE-040718-136</v>
      </c>
      <c r="J1707" t="s">
        <v>2387</v>
      </c>
    </row>
    <row r="1708" spans="1:10" x14ac:dyDescent="0.2">
      <c r="A1708">
        <v>6.9662370110813698E-20</v>
      </c>
      <c r="B1708">
        <v>0.51224854301940004</v>
      </c>
      <c r="C1708">
        <v>0.65900000000000003</v>
      </c>
      <c r="D1708">
        <v>0.26600000000000001</v>
      </c>
      <c r="E1708">
        <v>9.6816761980008899E-16</v>
      </c>
      <c r="F1708">
        <v>3</v>
      </c>
      <c r="G1708" t="s">
        <v>4020</v>
      </c>
      <c r="H1708" t="s">
        <v>4021</v>
      </c>
      <c r="I1708" t="str">
        <f>HYPERLINK("https://zfin.org/ZDB-GENE-030131-9077")</f>
        <v>https://zfin.org/ZDB-GENE-030131-9077</v>
      </c>
      <c r="J1708" t="s">
        <v>4022</v>
      </c>
    </row>
    <row r="1709" spans="1:10" x14ac:dyDescent="0.2">
      <c r="A1709">
        <v>7.2336774811818499E-20</v>
      </c>
      <c r="B1709">
        <v>0.52030509264270997</v>
      </c>
      <c r="C1709">
        <v>0.159</v>
      </c>
      <c r="D1709">
        <v>2.3E-2</v>
      </c>
      <c r="E1709">
        <v>1.00533649633465E-15</v>
      </c>
      <c r="F1709">
        <v>3</v>
      </c>
      <c r="G1709" t="s">
        <v>4023</v>
      </c>
      <c r="H1709" t="s">
        <v>4024</v>
      </c>
      <c r="I1709" t="str">
        <f>HYPERLINK("https://zfin.org/ZDB-GENE-030827-5")</f>
        <v>https://zfin.org/ZDB-GENE-030827-5</v>
      </c>
      <c r="J1709" t="s">
        <v>4025</v>
      </c>
    </row>
    <row r="1710" spans="1:10" x14ac:dyDescent="0.2">
      <c r="A1710">
        <v>7.2956398243060902E-20</v>
      </c>
      <c r="B1710">
        <v>0.376776130843816</v>
      </c>
      <c r="C1710">
        <v>0.16700000000000001</v>
      </c>
      <c r="D1710">
        <v>2.5000000000000001E-2</v>
      </c>
      <c r="E1710">
        <v>1.01394802278206E-15</v>
      </c>
      <c r="F1710">
        <v>3</v>
      </c>
      <c r="G1710" t="s">
        <v>4026</v>
      </c>
      <c r="H1710" t="s">
        <v>4027</v>
      </c>
      <c r="I1710" t="str">
        <f>HYPERLINK("https://zfin.org/ZDB-GENE-060503-194")</f>
        <v>https://zfin.org/ZDB-GENE-060503-194</v>
      </c>
      <c r="J1710" t="s">
        <v>4028</v>
      </c>
    </row>
    <row r="1711" spans="1:10" x14ac:dyDescent="0.2">
      <c r="A1711">
        <v>8.3795523910136E-20</v>
      </c>
      <c r="B1711">
        <v>0.41429831778548598</v>
      </c>
      <c r="C1711">
        <v>0.25</v>
      </c>
      <c r="D1711">
        <v>5.3999999999999999E-2</v>
      </c>
      <c r="E1711">
        <v>1.16459019130307E-15</v>
      </c>
      <c r="F1711">
        <v>3</v>
      </c>
      <c r="G1711" t="s">
        <v>796</v>
      </c>
      <c r="H1711" t="s">
        <v>797</v>
      </c>
      <c r="I1711" t="str">
        <f>HYPERLINK("https://zfin.org/ZDB-GENE-030616-616")</f>
        <v>https://zfin.org/ZDB-GENE-030616-616</v>
      </c>
      <c r="J1711" t="s">
        <v>798</v>
      </c>
    </row>
    <row r="1712" spans="1:10" x14ac:dyDescent="0.2">
      <c r="A1712">
        <v>9.6450964059995594E-20</v>
      </c>
      <c r="B1712">
        <v>0.43174414929375099</v>
      </c>
      <c r="C1712">
        <v>0.28000000000000003</v>
      </c>
      <c r="D1712">
        <v>6.5000000000000002E-2</v>
      </c>
      <c r="E1712">
        <v>1.34047549850582E-15</v>
      </c>
      <c r="F1712">
        <v>3</v>
      </c>
      <c r="G1712" t="s">
        <v>4029</v>
      </c>
      <c r="H1712" t="s">
        <v>4030</v>
      </c>
      <c r="I1712" t="str">
        <f>HYPERLINK("https://zfin.org/ZDB-GENE-061013-418")</f>
        <v>https://zfin.org/ZDB-GENE-061013-418</v>
      </c>
      <c r="J1712" t="s">
        <v>4031</v>
      </c>
    </row>
    <row r="1713" spans="1:10" x14ac:dyDescent="0.2">
      <c r="A1713">
        <v>1.0132455173197E-19</v>
      </c>
      <c r="B1713">
        <v>0.28506852751529099</v>
      </c>
      <c r="C1713">
        <v>1</v>
      </c>
      <c r="D1713">
        <v>0.998</v>
      </c>
      <c r="E1713">
        <v>1.4082086199709101E-15</v>
      </c>
      <c r="F1713">
        <v>3</v>
      </c>
      <c r="G1713" t="s">
        <v>1698</v>
      </c>
      <c r="H1713" t="s">
        <v>1699</v>
      </c>
      <c r="I1713" t="str">
        <f>HYPERLINK("https://zfin.org/ZDB-GENE-040622-2")</f>
        <v>https://zfin.org/ZDB-GENE-040622-2</v>
      </c>
      <c r="J1713" t="s">
        <v>1700</v>
      </c>
    </row>
    <row r="1714" spans="1:10" x14ac:dyDescent="0.2">
      <c r="A1714">
        <v>1.0884843448664999E-19</v>
      </c>
      <c r="B1714">
        <v>0.33075839176322303</v>
      </c>
      <c r="C1714">
        <v>0.20499999999999999</v>
      </c>
      <c r="D1714">
        <v>3.6999999999999998E-2</v>
      </c>
      <c r="E1714">
        <v>1.51277554249546E-15</v>
      </c>
      <c r="F1714">
        <v>3</v>
      </c>
      <c r="G1714" t="s">
        <v>4032</v>
      </c>
      <c r="H1714" t="s">
        <v>4033</v>
      </c>
      <c r="I1714" t="str">
        <f>HYPERLINK("https://zfin.org/ZDB-GENE-030131-8453")</f>
        <v>https://zfin.org/ZDB-GENE-030131-8453</v>
      </c>
      <c r="J1714" t="s">
        <v>4034</v>
      </c>
    </row>
    <row r="1715" spans="1:10" x14ac:dyDescent="0.2">
      <c r="A1715">
        <v>1.1495016344055101E-19</v>
      </c>
      <c r="B1715">
        <v>-1.1464057151996601</v>
      </c>
      <c r="C1715">
        <v>0.189</v>
      </c>
      <c r="D1715">
        <v>0.56100000000000005</v>
      </c>
      <c r="E1715">
        <v>1.59757737149678E-15</v>
      </c>
      <c r="F1715">
        <v>3</v>
      </c>
      <c r="G1715" t="s">
        <v>2205</v>
      </c>
      <c r="H1715" t="s">
        <v>2206</v>
      </c>
      <c r="I1715" t="str">
        <f>HYPERLINK("https://zfin.org/ZDB-GENE-120215-258")</f>
        <v>https://zfin.org/ZDB-GENE-120215-258</v>
      </c>
      <c r="J1715" t="s">
        <v>2207</v>
      </c>
    </row>
    <row r="1716" spans="1:10" x14ac:dyDescent="0.2">
      <c r="A1716">
        <v>1.1727642777792999E-19</v>
      </c>
      <c r="B1716">
        <v>0.34439455429166099</v>
      </c>
      <c r="C1716">
        <v>0.189</v>
      </c>
      <c r="D1716">
        <v>3.2000000000000001E-2</v>
      </c>
      <c r="E1716">
        <v>1.62990779325767E-15</v>
      </c>
      <c r="F1716">
        <v>3</v>
      </c>
      <c r="G1716" t="s">
        <v>4035</v>
      </c>
      <c r="H1716" t="s">
        <v>4036</v>
      </c>
      <c r="I1716" t="str">
        <f>HYPERLINK("https://zfin.org/ZDB-GENE-031222-10")</f>
        <v>https://zfin.org/ZDB-GENE-031222-10</v>
      </c>
      <c r="J1716" t="s">
        <v>4037</v>
      </c>
    </row>
    <row r="1717" spans="1:10" x14ac:dyDescent="0.2">
      <c r="A1717">
        <v>1.3795995707642999E-19</v>
      </c>
      <c r="B1717">
        <v>0.56883319164920798</v>
      </c>
      <c r="C1717">
        <v>0.74199999999999999</v>
      </c>
      <c r="D1717">
        <v>0.35799999999999998</v>
      </c>
      <c r="E1717">
        <v>1.91736748344823E-15</v>
      </c>
      <c r="F1717">
        <v>3</v>
      </c>
      <c r="G1717" t="s">
        <v>2939</v>
      </c>
      <c r="H1717" t="s">
        <v>2940</v>
      </c>
      <c r="I1717" t="str">
        <f>HYPERLINK("https://zfin.org/ZDB-GENE-070822-23")</f>
        <v>https://zfin.org/ZDB-GENE-070822-23</v>
      </c>
      <c r="J1717" t="s">
        <v>2941</v>
      </c>
    </row>
    <row r="1718" spans="1:10" x14ac:dyDescent="0.2">
      <c r="A1718">
        <v>1.4054625941840501E-19</v>
      </c>
      <c r="B1718">
        <v>0.58283757984923001</v>
      </c>
      <c r="C1718">
        <v>0.91700000000000004</v>
      </c>
      <c r="D1718">
        <v>0.68100000000000005</v>
      </c>
      <c r="E1718">
        <v>1.9533119133969899E-15</v>
      </c>
      <c r="F1718">
        <v>3</v>
      </c>
      <c r="G1718" t="s">
        <v>1623</v>
      </c>
      <c r="H1718" t="s">
        <v>1624</v>
      </c>
      <c r="I1718" t="str">
        <f>HYPERLINK("https://zfin.org/ZDB-GENE-030131-124")</f>
        <v>https://zfin.org/ZDB-GENE-030131-124</v>
      </c>
      <c r="J1718" t="s">
        <v>1625</v>
      </c>
    </row>
    <row r="1719" spans="1:10" x14ac:dyDescent="0.2">
      <c r="A1719">
        <v>1.6581714686153101E-19</v>
      </c>
      <c r="B1719">
        <v>0.50162502771249096</v>
      </c>
      <c r="C1719">
        <v>0.47</v>
      </c>
      <c r="D1719">
        <v>0.156</v>
      </c>
      <c r="E1719">
        <v>2.3045267070815501E-15</v>
      </c>
      <c r="F1719">
        <v>3</v>
      </c>
      <c r="G1719" t="s">
        <v>4038</v>
      </c>
      <c r="H1719" t="s">
        <v>4039</v>
      </c>
      <c r="I1719" t="str">
        <f>HYPERLINK("https://zfin.org/ZDB-GENE-030131-2279")</f>
        <v>https://zfin.org/ZDB-GENE-030131-2279</v>
      </c>
      <c r="J1719" t="s">
        <v>4040</v>
      </c>
    </row>
    <row r="1720" spans="1:10" x14ac:dyDescent="0.2">
      <c r="A1720">
        <v>1.72248792877501E-19</v>
      </c>
      <c r="B1720">
        <v>0.35425538286248298</v>
      </c>
      <c r="C1720">
        <v>0.159</v>
      </c>
      <c r="D1720">
        <v>2.3E-2</v>
      </c>
      <c r="E1720">
        <v>2.3939137234115098E-15</v>
      </c>
      <c r="F1720">
        <v>3</v>
      </c>
      <c r="G1720" t="s">
        <v>4041</v>
      </c>
      <c r="H1720" t="s">
        <v>4042</v>
      </c>
      <c r="I1720" t="str">
        <f>HYPERLINK("https://zfin.org/ZDB-GENE-030131-2804")</f>
        <v>https://zfin.org/ZDB-GENE-030131-2804</v>
      </c>
      <c r="J1720" t="s">
        <v>4043</v>
      </c>
    </row>
    <row r="1721" spans="1:10" x14ac:dyDescent="0.2">
      <c r="A1721">
        <v>1.72406113517435E-19</v>
      </c>
      <c r="B1721">
        <v>0.46303037020911297</v>
      </c>
      <c r="C1721">
        <v>0.97699999999999998</v>
      </c>
      <c r="D1721">
        <v>0.90200000000000002</v>
      </c>
      <c r="E1721">
        <v>2.3961001656653099E-15</v>
      </c>
      <c r="F1721">
        <v>3</v>
      </c>
      <c r="G1721" t="s">
        <v>1447</v>
      </c>
      <c r="H1721" t="s">
        <v>1448</v>
      </c>
      <c r="I1721" t="str">
        <f>HYPERLINK("https://zfin.org/ZDB-GENE-030131-8556")</f>
        <v>https://zfin.org/ZDB-GENE-030131-8556</v>
      </c>
      <c r="J1721" t="s">
        <v>1449</v>
      </c>
    </row>
    <row r="1722" spans="1:10" x14ac:dyDescent="0.2">
      <c r="A1722">
        <v>1.75696366889989E-19</v>
      </c>
      <c r="B1722">
        <v>0.47524905648885302</v>
      </c>
      <c r="C1722">
        <v>0.439</v>
      </c>
      <c r="D1722">
        <v>0.14000000000000001</v>
      </c>
      <c r="E1722">
        <v>2.44182810703707E-15</v>
      </c>
      <c r="F1722">
        <v>3</v>
      </c>
      <c r="G1722" t="s">
        <v>4044</v>
      </c>
      <c r="H1722" t="s">
        <v>4045</v>
      </c>
      <c r="I1722" t="str">
        <f>HYPERLINK("https://zfin.org/ZDB-GENE-050522-477")</f>
        <v>https://zfin.org/ZDB-GENE-050522-477</v>
      </c>
      <c r="J1722" t="s">
        <v>4046</v>
      </c>
    </row>
    <row r="1723" spans="1:10" x14ac:dyDescent="0.2">
      <c r="A1723">
        <v>1.9024998174696201E-19</v>
      </c>
      <c r="B1723">
        <v>-0.75726892333047602</v>
      </c>
      <c r="C1723">
        <v>0.67400000000000004</v>
      </c>
      <c r="D1723">
        <v>0.82699999999999996</v>
      </c>
      <c r="E1723">
        <v>2.6440942463192799E-15</v>
      </c>
      <c r="F1723">
        <v>3</v>
      </c>
      <c r="G1723" t="s">
        <v>2969</v>
      </c>
      <c r="H1723" t="s">
        <v>2970</v>
      </c>
      <c r="I1723" t="str">
        <f>HYPERLINK("https://zfin.org/ZDB-GENE-030410-5")</f>
        <v>https://zfin.org/ZDB-GENE-030410-5</v>
      </c>
      <c r="J1723" t="s">
        <v>2971</v>
      </c>
    </row>
    <row r="1724" spans="1:10" x14ac:dyDescent="0.2">
      <c r="A1724">
        <v>1.9685973597100199E-19</v>
      </c>
      <c r="B1724">
        <v>0.36843703085059898</v>
      </c>
      <c r="C1724">
        <v>0.17399999999999999</v>
      </c>
      <c r="D1724">
        <v>2.9000000000000001E-2</v>
      </c>
      <c r="E1724">
        <v>2.73595661052498E-15</v>
      </c>
      <c r="F1724">
        <v>3</v>
      </c>
      <c r="G1724" t="s">
        <v>507</v>
      </c>
      <c r="H1724" t="s">
        <v>508</v>
      </c>
      <c r="I1724" t="str">
        <f>HYPERLINK("https://zfin.org/ZDB-GENE-030131-2193")</f>
        <v>https://zfin.org/ZDB-GENE-030131-2193</v>
      </c>
      <c r="J1724" t="s">
        <v>509</v>
      </c>
    </row>
    <row r="1725" spans="1:10" x14ac:dyDescent="0.2">
      <c r="A1725">
        <v>2.03763748874604E-19</v>
      </c>
      <c r="B1725">
        <v>0.32822301403035897</v>
      </c>
      <c r="C1725">
        <v>0.14399999999999999</v>
      </c>
      <c r="D1725">
        <v>1.9E-2</v>
      </c>
      <c r="E1725">
        <v>2.83190858185924E-15</v>
      </c>
      <c r="F1725">
        <v>3</v>
      </c>
      <c r="G1725" t="s">
        <v>4047</v>
      </c>
      <c r="H1725" t="s">
        <v>4048</v>
      </c>
      <c r="I1725" t="str">
        <f>HYPERLINK("https://zfin.org/ZDB-GENE-980526-562")</f>
        <v>https://zfin.org/ZDB-GENE-980526-562</v>
      </c>
      <c r="J1725" t="s">
        <v>4049</v>
      </c>
    </row>
    <row r="1726" spans="1:10" x14ac:dyDescent="0.2">
      <c r="A1726">
        <v>2.03884931221506E-19</v>
      </c>
      <c r="B1726">
        <v>0.28587530540025302</v>
      </c>
      <c r="C1726">
        <v>0.17399999999999999</v>
      </c>
      <c r="D1726">
        <v>2.8000000000000001E-2</v>
      </c>
      <c r="E1726">
        <v>2.8335927741165001E-15</v>
      </c>
      <c r="F1726">
        <v>3</v>
      </c>
      <c r="G1726" t="s">
        <v>4050</v>
      </c>
      <c r="H1726" t="s">
        <v>4051</v>
      </c>
      <c r="I1726" t="str">
        <f>HYPERLINK("https://zfin.org/ZDB-GENE-030131-898")</f>
        <v>https://zfin.org/ZDB-GENE-030131-898</v>
      </c>
      <c r="J1726" t="s">
        <v>4052</v>
      </c>
    </row>
    <row r="1727" spans="1:10" x14ac:dyDescent="0.2">
      <c r="A1727">
        <v>2.39032268284066E-19</v>
      </c>
      <c r="B1727">
        <v>0.55690924261463304</v>
      </c>
      <c r="C1727">
        <v>0.90200000000000002</v>
      </c>
      <c r="D1727">
        <v>0.53500000000000003</v>
      </c>
      <c r="E1727">
        <v>3.3220704646119501E-15</v>
      </c>
      <c r="F1727">
        <v>3</v>
      </c>
      <c r="G1727" t="s">
        <v>1155</v>
      </c>
      <c r="H1727" t="s">
        <v>1156</v>
      </c>
      <c r="I1727" t="str">
        <f>HYPERLINK("https://zfin.org/ZDB-GENE-040426-1966")</f>
        <v>https://zfin.org/ZDB-GENE-040426-1966</v>
      </c>
      <c r="J1727" t="s">
        <v>1157</v>
      </c>
    </row>
    <row r="1728" spans="1:10" x14ac:dyDescent="0.2">
      <c r="A1728">
        <v>2.79721420338055E-19</v>
      </c>
      <c r="B1728">
        <v>-1.08026060922281</v>
      </c>
      <c r="C1728">
        <v>0.25800000000000001</v>
      </c>
      <c r="D1728">
        <v>0.60199999999999998</v>
      </c>
      <c r="E1728">
        <v>3.8875682998582998E-15</v>
      </c>
      <c r="F1728">
        <v>3</v>
      </c>
      <c r="G1728" t="s">
        <v>2187</v>
      </c>
      <c r="H1728" t="s">
        <v>2188</v>
      </c>
      <c r="I1728" t="str">
        <f>HYPERLINK("https://zfin.org/ZDB-GENE-980526-333")</f>
        <v>https://zfin.org/ZDB-GENE-980526-333</v>
      </c>
      <c r="J1728" t="s">
        <v>2189</v>
      </c>
    </row>
    <row r="1729" spans="1:10" x14ac:dyDescent="0.2">
      <c r="A1729">
        <v>3.1665693005636801E-19</v>
      </c>
      <c r="B1729">
        <v>0.30275095824819898</v>
      </c>
      <c r="C1729">
        <v>0.22700000000000001</v>
      </c>
      <c r="D1729">
        <v>4.4999999999999998E-2</v>
      </c>
      <c r="E1729">
        <v>4.4008980139234002E-15</v>
      </c>
      <c r="F1729">
        <v>3</v>
      </c>
      <c r="G1729" t="s">
        <v>4053</v>
      </c>
      <c r="H1729" t="s">
        <v>4054</v>
      </c>
      <c r="I1729" t="str">
        <f>HYPERLINK("https://zfin.org/ZDB-GENE-040426-1472")</f>
        <v>https://zfin.org/ZDB-GENE-040426-1472</v>
      </c>
      <c r="J1729" t="s">
        <v>4055</v>
      </c>
    </row>
    <row r="1730" spans="1:10" x14ac:dyDescent="0.2">
      <c r="A1730">
        <v>3.6940603681813601E-19</v>
      </c>
      <c r="B1730">
        <v>0.51911512952941896</v>
      </c>
      <c r="C1730">
        <v>0.879</v>
      </c>
      <c r="D1730">
        <v>0.504</v>
      </c>
      <c r="E1730">
        <v>5.1340050996984501E-15</v>
      </c>
      <c r="F1730">
        <v>3</v>
      </c>
      <c r="G1730" t="s">
        <v>4056</v>
      </c>
      <c r="H1730" t="s">
        <v>4057</v>
      </c>
      <c r="I1730" t="str">
        <f>HYPERLINK("https://zfin.org/ZDB-GENE-040426-2717")</f>
        <v>https://zfin.org/ZDB-GENE-040426-2717</v>
      </c>
      <c r="J1730" t="s">
        <v>4058</v>
      </c>
    </row>
    <row r="1731" spans="1:10" x14ac:dyDescent="0.2">
      <c r="A1731">
        <v>3.9166585521721898E-19</v>
      </c>
      <c r="B1731">
        <v>0.421079086980166</v>
      </c>
      <c r="C1731">
        <v>0.311</v>
      </c>
      <c r="D1731">
        <v>0.08</v>
      </c>
      <c r="E1731">
        <v>5.4433720558089102E-15</v>
      </c>
      <c r="F1731">
        <v>3</v>
      </c>
      <c r="G1731" t="s">
        <v>4059</v>
      </c>
      <c r="H1731" t="s">
        <v>4060</v>
      </c>
      <c r="I1731" t="str">
        <f>HYPERLINK("https://zfin.org/ZDB-GENE-030131-7676")</f>
        <v>https://zfin.org/ZDB-GENE-030131-7676</v>
      </c>
      <c r="J1731" t="s">
        <v>4061</v>
      </c>
    </row>
    <row r="1732" spans="1:10" x14ac:dyDescent="0.2">
      <c r="A1732">
        <v>4.2164119336853999E-19</v>
      </c>
      <c r="B1732">
        <v>0.41734183163386701</v>
      </c>
      <c r="C1732">
        <v>0.318</v>
      </c>
      <c r="D1732">
        <v>8.4000000000000005E-2</v>
      </c>
      <c r="E1732">
        <v>5.8599693054359701E-15</v>
      </c>
      <c r="F1732">
        <v>3</v>
      </c>
      <c r="G1732" t="s">
        <v>1764</v>
      </c>
      <c r="H1732" t="s">
        <v>1765</v>
      </c>
      <c r="I1732" t="str">
        <f>HYPERLINK("https://zfin.org/ZDB-GENE-040718-430")</f>
        <v>https://zfin.org/ZDB-GENE-040718-430</v>
      </c>
      <c r="J1732" t="s">
        <v>1766</v>
      </c>
    </row>
    <row r="1733" spans="1:10" x14ac:dyDescent="0.2">
      <c r="A1733">
        <v>4.2476450259361099E-19</v>
      </c>
      <c r="B1733">
        <v>0.58994393472125395</v>
      </c>
      <c r="C1733">
        <v>0.318</v>
      </c>
      <c r="D1733">
        <v>8.5999999999999993E-2</v>
      </c>
      <c r="E1733">
        <v>5.90337705704601E-15</v>
      </c>
      <c r="F1733">
        <v>3</v>
      </c>
      <c r="G1733" t="s">
        <v>4062</v>
      </c>
      <c r="H1733" t="s">
        <v>4063</v>
      </c>
      <c r="I1733" t="str">
        <f>HYPERLINK("https://zfin.org/ZDB-GENE-031114-2")</f>
        <v>https://zfin.org/ZDB-GENE-031114-2</v>
      </c>
      <c r="J1733" t="s">
        <v>4064</v>
      </c>
    </row>
    <row r="1734" spans="1:10" x14ac:dyDescent="0.2">
      <c r="A1734">
        <v>4.4894721698857999E-19</v>
      </c>
      <c r="B1734">
        <v>0.39044781825906799</v>
      </c>
      <c r="C1734">
        <v>0.24199999999999999</v>
      </c>
      <c r="D1734">
        <v>5.1999999999999998E-2</v>
      </c>
      <c r="E1734">
        <v>6.2394684217072803E-15</v>
      </c>
      <c r="F1734">
        <v>3</v>
      </c>
      <c r="G1734" t="s">
        <v>4065</v>
      </c>
      <c r="H1734" t="s">
        <v>4066</v>
      </c>
      <c r="I1734" t="str">
        <f>HYPERLINK("https://zfin.org/ZDB-GENE-050809-111")</f>
        <v>https://zfin.org/ZDB-GENE-050809-111</v>
      </c>
      <c r="J1734" t="s">
        <v>4067</v>
      </c>
    </row>
    <row r="1735" spans="1:10" x14ac:dyDescent="0.2">
      <c r="A1735">
        <v>5.3280124906154002E-19</v>
      </c>
      <c r="B1735">
        <v>0.65115345673166802</v>
      </c>
      <c r="C1735">
        <v>0.56100000000000005</v>
      </c>
      <c r="D1735">
        <v>0.219</v>
      </c>
      <c r="E1735">
        <v>7.4048717594572799E-15</v>
      </c>
      <c r="F1735">
        <v>3</v>
      </c>
      <c r="G1735" t="s">
        <v>3157</v>
      </c>
      <c r="H1735" t="s">
        <v>3158</v>
      </c>
      <c r="I1735" t="str">
        <f>HYPERLINK("https://zfin.org/ZDB-GENE-031030-2")</f>
        <v>https://zfin.org/ZDB-GENE-031030-2</v>
      </c>
      <c r="J1735" t="s">
        <v>3159</v>
      </c>
    </row>
    <row r="1736" spans="1:10" x14ac:dyDescent="0.2">
      <c r="A1736">
        <v>6.8833708767063503E-19</v>
      </c>
      <c r="B1736">
        <v>0.789596085447822</v>
      </c>
      <c r="C1736">
        <v>0.41699999999999998</v>
      </c>
      <c r="D1736">
        <v>0.14199999999999999</v>
      </c>
      <c r="E1736">
        <v>9.5665088444464898E-15</v>
      </c>
      <c r="F1736">
        <v>3</v>
      </c>
      <c r="G1736" t="s">
        <v>4068</v>
      </c>
      <c r="H1736" t="s">
        <v>4069</v>
      </c>
      <c r="I1736" t="str">
        <f>HYPERLINK("https://zfin.org/")</f>
        <v>https://zfin.org/</v>
      </c>
    </row>
    <row r="1737" spans="1:10" x14ac:dyDescent="0.2">
      <c r="A1737">
        <v>7.2245680369742501E-19</v>
      </c>
      <c r="B1737">
        <v>0.44755575921345903</v>
      </c>
      <c r="C1737">
        <v>0.36399999999999999</v>
      </c>
      <c r="D1737">
        <v>0.104</v>
      </c>
      <c r="E1737">
        <v>1.00407046577868E-14</v>
      </c>
      <c r="F1737">
        <v>3</v>
      </c>
      <c r="G1737" t="s">
        <v>4070</v>
      </c>
      <c r="H1737" t="s">
        <v>4071</v>
      </c>
      <c r="I1737" t="str">
        <f>HYPERLINK("https://zfin.org/ZDB-GENE-040426-2761")</f>
        <v>https://zfin.org/ZDB-GENE-040426-2761</v>
      </c>
      <c r="J1737" t="s">
        <v>4072</v>
      </c>
    </row>
    <row r="1738" spans="1:10" x14ac:dyDescent="0.2">
      <c r="A1738">
        <v>8.0934073561544403E-19</v>
      </c>
      <c r="B1738">
        <v>0.57132716719375898</v>
      </c>
      <c r="C1738">
        <v>0.629</v>
      </c>
      <c r="D1738">
        <v>0.26200000000000001</v>
      </c>
      <c r="E1738">
        <v>1.1248217543583401E-14</v>
      </c>
      <c r="F1738">
        <v>3</v>
      </c>
      <c r="G1738" t="s">
        <v>4073</v>
      </c>
      <c r="H1738" t="s">
        <v>4074</v>
      </c>
      <c r="I1738" t="str">
        <f>HYPERLINK("https://zfin.org/ZDB-GENE-040426-1798")</f>
        <v>https://zfin.org/ZDB-GENE-040426-1798</v>
      </c>
      <c r="J1738" t="s">
        <v>4075</v>
      </c>
    </row>
    <row r="1739" spans="1:10" x14ac:dyDescent="0.2">
      <c r="A1739">
        <v>9.4970425924830701E-19</v>
      </c>
      <c r="B1739">
        <v>0.56946290873420702</v>
      </c>
      <c r="C1739">
        <v>0.88600000000000001</v>
      </c>
      <c r="D1739">
        <v>0.627</v>
      </c>
      <c r="E1739">
        <v>1.3198989795033001E-14</v>
      </c>
      <c r="F1739">
        <v>3</v>
      </c>
      <c r="G1739" t="s">
        <v>3276</v>
      </c>
      <c r="H1739" t="s">
        <v>3277</v>
      </c>
      <c r="I1739" t="str">
        <f>HYPERLINK("https://zfin.org/ZDB-GENE-990415-88")</f>
        <v>https://zfin.org/ZDB-GENE-990415-88</v>
      </c>
      <c r="J1739" t="s">
        <v>3278</v>
      </c>
    </row>
    <row r="1740" spans="1:10" x14ac:dyDescent="0.2">
      <c r="A1740">
        <v>1.0240657064021301E-18</v>
      </c>
      <c r="B1740">
        <v>0.53425964466819098</v>
      </c>
      <c r="C1740">
        <v>0.70499999999999996</v>
      </c>
      <c r="D1740">
        <v>0.315</v>
      </c>
      <c r="E1740">
        <v>1.4232465187576802E-14</v>
      </c>
      <c r="F1740">
        <v>3</v>
      </c>
      <c r="G1740" t="s">
        <v>4076</v>
      </c>
      <c r="H1740" t="s">
        <v>4077</v>
      </c>
      <c r="I1740" t="str">
        <f>HYPERLINK("https://zfin.org/ZDB-GENE-030616-419")</f>
        <v>https://zfin.org/ZDB-GENE-030616-419</v>
      </c>
      <c r="J1740" t="s">
        <v>4078</v>
      </c>
    </row>
    <row r="1741" spans="1:10" x14ac:dyDescent="0.2">
      <c r="A1741">
        <v>1.1128572469320199E-18</v>
      </c>
      <c r="B1741">
        <v>0.42201142368794398</v>
      </c>
      <c r="C1741">
        <v>0.22</v>
      </c>
      <c r="D1741">
        <v>4.5999999999999999E-2</v>
      </c>
      <c r="E1741">
        <v>1.54664900178613E-14</v>
      </c>
      <c r="F1741">
        <v>3</v>
      </c>
      <c r="G1741" t="s">
        <v>1077</v>
      </c>
      <c r="H1741" t="s">
        <v>1078</v>
      </c>
      <c r="I1741" t="str">
        <f>HYPERLINK("https://zfin.org/ZDB-GENE-041212-41")</f>
        <v>https://zfin.org/ZDB-GENE-041212-41</v>
      </c>
      <c r="J1741" t="s">
        <v>1079</v>
      </c>
    </row>
    <row r="1742" spans="1:10" x14ac:dyDescent="0.2">
      <c r="A1742">
        <v>1.16086503570527E-18</v>
      </c>
      <c r="B1742">
        <v>0.59873732554230696</v>
      </c>
      <c r="C1742">
        <v>0.77300000000000002</v>
      </c>
      <c r="D1742">
        <v>0.38500000000000001</v>
      </c>
      <c r="E1742">
        <v>1.6133702266231801E-14</v>
      </c>
      <c r="F1742">
        <v>3</v>
      </c>
      <c r="G1742" t="s">
        <v>3300</v>
      </c>
      <c r="H1742" t="s">
        <v>3301</v>
      </c>
      <c r="I1742" t="str">
        <f>HYPERLINK("https://zfin.org/ZDB-GENE-080515-6")</f>
        <v>https://zfin.org/ZDB-GENE-080515-6</v>
      </c>
      <c r="J1742" t="s">
        <v>3302</v>
      </c>
    </row>
    <row r="1743" spans="1:10" x14ac:dyDescent="0.2">
      <c r="A1743">
        <v>1.2043600578247999E-18</v>
      </c>
      <c r="B1743">
        <v>-1.21617853343135</v>
      </c>
      <c r="C1743">
        <v>0.13600000000000001</v>
      </c>
      <c r="D1743">
        <v>0.51200000000000001</v>
      </c>
      <c r="E1743">
        <v>1.67381960836491E-14</v>
      </c>
      <c r="F1743">
        <v>3</v>
      </c>
      <c r="G1743" t="s">
        <v>2325</v>
      </c>
      <c r="H1743" t="s">
        <v>2326</v>
      </c>
      <c r="I1743" t="str">
        <f>HYPERLINK("https://zfin.org/ZDB-GENE-060503-431")</f>
        <v>https://zfin.org/ZDB-GENE-060503-431</v>
      </c>
      <c r="J1743" t="s">
        <v>2327</v>
      </c>
    </row>
    <row r="1744" spans="1:10" x14ac:dyDescent="0.2">
      <c r="A1744">
        <v>1.3078313272987699E-18</v>
      </c>
      <c r="B1744">
        <v>0.55013291585917101</v>
      </c>
      <c r="C1744">
        <v>0.40200000000000002</v>
      </c>
      <c r="D1744">
        <v>0.129</v>
      </c>
      <c r="E1744">
        <v>1.8176239786798299E-14</v>
      </c>
      <c r="F1744">
        <v>3</v>
      </c>
      <c r="G1744" t="s">
        <v>594</v>
      </c>
      <c r="H1744" t="s">
        <v>595</v>
      </c>
      <c r="I1744" t="str">
        <f>HYPERLINK("https://zfin.org/ZDB-GENE-081104-197")</f>
        <v>https://zfin.org/ZDB-GENE-081104-197</v>
      </c>
      <c r="J1744" t="s">
        <v>596</v>
      </c>
    </row>
    <row r="1745" spans="1:10" x14ac:dyDescent="0.2">
      <c r="A1745">
        <v>1.3509569249618E-18</v>
      </c>
      <c r="B1745">
        <v>0.41251655326265102</v>
      </c>
      <c r="C1745">
        <v>0.439</v>
      </c>
      <c r="D1745">
        <v>0.13900000000000001</v>
      </c>
      <c r="E1745">
        <v>1.8775599343119099E-14</v>
      </c>
      <c r="F1745">
        <v>3</v>
      </c>
      <c r="G1745" t="s">
        <v>4079</v>
      </c>
      <c r="H1745" t="s">
        <v>4080</v>
      </c>
      <c r="I1745" t="str">
        <f>HYPERLINK("https://zfin.org/ZDB-GENE-040426-961")</f>
        <v>https://zfin.org/ZDB-GENE-040426-961</v>
      </c>
      <c r="J1745" t="s">
        <v>4081</v>
      </c>
    </row>
    <row r="1746" spans="1:10" x14ac:dyDescent="0.2">
      <c r="A1746">
        <v>1.37281029378698E-18</v>
      </c>
      <c r="B1746">
        <v>0.56355138035318597</v>
      </c>
      <c r="C1746">
        <v>0.19700000000000001</v>
      </c>
      <c r="D1746">
        <v>3.6999999999999998E-2</v>
      </c>
      <c r="E1746">
        <v>1.9079317463051401E-14</v>
      </c>
      <c r="F1746">
        <v>3</v>
      </c>
      <c r="G1746" t="s">
        <v>4082</v>
      </c>
      <c r="H1746" t="s">
        <v>4083</v>
      </c>
      <c r="I1746" t="str">
        <f>HYPERLINK("https://zfin.org/ZDB-GENE-020418-1")</f>
        <v>https://zfin.org/ZDB-GENE-020418-1</v>
      </c>
      <c r="J1746" t="s">
        <v>4084</v>
      </c>
    </row>
    <row r="1747" spans="1:10" x14ac:dyDescent="0.2">
      <c r="A1747">
        <v>1.42749167782885E-18</v>
      </c>
      <c r="B1747">
        <v>0.574462402591151</v>
      </c>
      <c r="C1747">
        <v>0.871</v>
      </c>
      <c r="D1747">
        <v>0.59499999999999997</v>
      </c>
      <c r="E1747">
        <v>1.9839279338465401E-14</v>
      </c>
      <c r="F1747">
        <v>3</v>
      </c>
      <c r="G1747" t="s">
        <v>4085</v>
      </c>
      <c r="H1747" t="s">
        <v>4086</v>
      </c>
      <c r="I1747" t="str">
        <f>HYPERLINK("https://zfin.org/ZDB-GENE-041008-106")</f>
        <v>https://zfin.org/ZDB-GENE-041008-106</v>
      </c>
      <c r="J1747" t="s">
        <v>4087</v>
      </c>
    </row>
    <row r="1748" spans="1:10" x14ac:dyDescent="0.2">
      <c r="A1748">
        <v>1.43442857866813E-18</v>
      </c>
      <c r="B1748">
        <v>0.64246124438385799</v>
      </c>
      <c r="C1748">
        <v>0.59099999999999997</v>
      </c>
      <c r="D1748">
        <v>0.249</v>
      </c>
      <c r="E1748">
        <v>1.9935688386329701E-14</v>
      </c>
      <c r="F1748">
        <v>3</v>
      </c>
      <c r="G1748" t="s">
        <v>4088</v>
      </c>
      <c r="H1748" t="s">
        <v>4089</v>
      </c>
      <c r="I1748" t="str">
        <f>HYPERLINK("https://zfin.org/ZDB-GENE-040912-175")</f>
        <v>https://zfin.org/ZDB-GENE-040912-175</v>
      </c>
      <c r="J1748" t="s">
        <v>4090</v>
      </c>
    </row>
    <row r="1749" spans="1:10" x14ac:dyDescent="0.2">
      <c r="A1749">
        <v>1.4359787273189801E-18</v>
      </c>
      <c r="B1749">
        <v>0.50731254344772703</v>
      </c>
      <c r="C1749">
        <v>0.371</v>
      </c>
      <c r="D1749">
        <v>0.112</v>
      </c>
      <c r="E1749">
        <v>1.9957232352279201E-14</v>
      </c>
      <c r="F1749">
        <v>3</v>
      </c>
      <c r="G1749" t="s">
        <v>3393</v>
      </c>
      <c r="H1749" t="s">
        <v>3394</v>
      </c>
      <c r="I1749" t="str">
        <f>HYPERLINK("https://zfin.org/ZDB-GENE-070705-218")</f>
        <v>https://zfin.org/ZDB-GENE-070705-218</v>
      </c>
      <c r="J1749" t="s">
        <v>3395</v>
      </c>
    </row>
    <row r="1750" spans="1:10" x14ac:dyDescent="0.2">
      <c r="A1750">
        <v>1.45016073291806E-18</v>
      </c>
      <c r="B1750">
        <v>0.390735871994983</v>
      </c>
      <c r="C1750">
        <v>0.36399999999999999</v>
      </c>
      <c r="D1750">
        <v>0.104</v>
      </c>
      <c r="E1750">
        <v>2.01543338660952E-14</v>
      </c>
      <c r="F1750">
        <v>3</v>
      </c>
      <c r="G1750" t="s">
        <v>4091</v>
      </c>
      <c r="H1750" t="s">
        <v>4092</v>
      </c>
      <c r="I1750" t="str">
        <f>HYPERLINK("https://zfin.org/ZDB-GENE-030131-1835")</f>
        <v>https://zfin.org/ZDB-GENE-030131-1835</v>
      </c>
      <c r="J1750" t="s">
        <v>4093</v>
      </c>
    </row>
    <row r="1751" spans="1:10" x14ac:dyDescent="0.2">
      <c r="A1751">
        <v>1.4792132838822901E-18</v>
      </c>
      <c r="B1751">
        <v>0.52400448313299097</v>
      </c>
      <c r="C1751">
        <v>0.59099999999999997</v>
      </c>
      <c r="D1751">
        <v>0.23</v>
      </c>
      <c r="E1751">
        <v>2.0558106219396001E-14</v>
      </c>
      <c r="F1751">
        <v>3</v>
      </c>
      <c r="G1751" t="s">
        <v>3198</v>
      </c>
      <c r="H1751" t="s">
        <v>3199</v>
      </c>
      <c r="I1751" t="str">
        <f>HYPERLINK("https://zfin.org/ZDB-GENE-131121-445")</f>
        <v>https://zfin.org/ZDB-GENE-131121-445</v>
      </c>
      <c r="J1751" t="s">
        <v>3200</v>
      </c>
    </row>
    <row r="1752" spans="1:10" x14ac:dyDescent="0.2">
      <c r="A1752">
        <v>1.5435803161283801E-18</v>
      </c>
      <c r="B1752">
        <v>0.522241835422252</v>
      </c>
      <c r="C1752">
        <v>0.45500000000000002</v>
      </c>
      <c r="D1752">
        <v>0.155</v>
      </c>
      <c r="E1752">
        <v>2.1452679233552201E-14</v>
      </c>
      <c r="F1752">
        <v>3</v>
      </c>
      <c r="G1752" t="s">
        <v>3288</v>
      </c>
      <c r="H1752" t="s">
        <v>3289</v>
      </c>
      <c r="I1752" t="str">
        <f>HYPERLINK("https://zfin.org/ZDB-GENE-030131-7452")</f>
        <v>https://zfin.org/ZDB-GENE-030131-7452</v>
      </c>
      <c r="J1752" t="s">
        <v>3290</v>
      </c>
    </row>
    <row r="1753" spans="1:10" x14ac:dyDescent="0.2">
      <c r="A1753">
        <v>1.6955857602072501E-18</v>
      </c>
      <c r="B1753">
        <v>-1.0833145055770801</v>
      </c>
      <c r="C1753">
        <v>0.28000000000000003</v>
      </c>
      <c r="D1753">
        <v>0.61699999999999999</v>
      </c>
      <c r="E1753">
        <v>2.35652508953603E-14</v>
      </c>
      <c r="F1753">
        <v>3</v>
      </c>
      <c r="G1753" t="s">
        <v>2051</v>
      </c>
      <c r="H1753" t="s">
        <v>2052</v>
      </c>
      <c r="I1753" t="str">
        <f>HYPERLINK("https://zfin.org/ZDB-GENE-030825-1")</f>
        <v>https://zfin.org/ZDB-GENE-030825-1</v>
      </c>
      <c r="J1753" t="s">
        <v>2053</v>
      </c>
    </row>
    <row r="1754" spans="1:10" x14ac:dyDescent="0.2">
      <c r="A1754">
        <v>1.7501670439849802E-18</v>
      </c>
      <c r="B1754">
        <v>0.33375867876969401</v>
      </c>
      <c r="C1754">
        <v>0.99199999999999999</v>
      </c>
      <c r="D1754">
        <v>0.96899999999999997</v>
      </c>
      <c r="E1754">
        <v>2.4323821577303299E-14</v>
      </c>
      <c r="F1754">
        <v>3</v>
      </c>
      <c r="G1754" t="s">
        <v>1635</v>
      </c>
      <c r="H1754" t="s">
        <v>1636</v>
      </c>
      <c r="I1754" t="str">
        <f>HYPERLINK("https://zfin.org/ZDB-GENE-040426-1102")</f>
        <v>https://zfin.org/ZDB-GENE-040426-1102</v>
      </c>
      <c r="J1754" t="s">
        <v>1637</v>
      </c>
    </row>
    <row r="1755" spans="1:10" x14ac:dyDescent="0.2">
      <c r="A1755">
        <v>1.7861070227715202E-18</v>
      </c>
      <c r="B1755">
        <v>-1.2030840474842901</v>
      </c>
      <c r="C1755">
        <v>0.19700000000000001</v>
      </c>
      <c r="D1755">
        <v>0.54800000000000004</v>
      </c>
      <c r="E1755">
        <v>2.4823315402478501E-14</v>
      </c>
      <c r="F1755">
        <v>3</v>
      </c>
      <c r="G1755" t="s">
        <v>2280</v>
      </c>
      <c r="H1755" t="s">
        <v>2281</v>
      </c>
      <c r="I1755" t="str">
        <f>HYPERLINK("https://zfin.org/ZDB-GENE-080723-23")</f>
        <v>https://zfin.org/ZDB-GENE-080723-23</v>
      </c>
      <c r="J1755" t="s">
        <v>2282</v>
      </c>
    </row>
    <row r="1756" spans="1:10" x14ac:dyDescent="0.2">
      <c r="A1756">
        <v>1.8397910931737299E-18</v>
      </c>
      <c r="B1756">
        <v>0.27873441370282898</v>
      </c>
      <c r="C1756">
        <v>1</v>
      </c>
      <c r="D1756">
        <v>0.999</v>
      </c>
      <c r="E1756">
        <v>2.55694166129286E-14</v>
      </c>
      <c r="F1756">
        <v>3</v>
      </c>
      <c r="G1756" t="s">
        <v>1284</v>
      </c>
      <c r="H1756" t="s">
        <v>1285</v>
      </c>
      <c r="I1756" t="str">
        <f>HYPERLINK("https://zfin.org/ZDB-GENE-030131-8663")</f>
        <v>https://zfin.org/ZDB-GENE-030131-8663</v>
      </c>
      <c r="J1756" t="s">
        <v>1286</v>
      </c>
    </row>
    <row r="1757" spans="1:10" x14ac:dyDescent="0.2">
      <c r="A1757">
        <v>1.9116942473761898E-18</v>
      </c>
      <c r="B1757">
        <v>-0.55891083716617995</v>
      </c>
      <c r="C1757">
        <v>0.93200000000000005</v>
      </c>
      <c r="D1757">
        <v>0.95099999999999996</v>
      </c>
      <c r="E1757">
        <v>2.6568726650034301E-14</v>
      </c>
      <c r="F1757">
        <v>3</v>
      </c>
      <c r="G1757" t="s">
        <v>1507</v>
      </c>
      <c r="H1757" t="s">
        <v>1508</v>
      </c>
      <c r="I1757" t="str">
        <f>HYPERLINK("https://zfin.org/ZDB-GENE-040718-203")</f>
        <v>https://zfin.org/ZDB-GENE-040718-203</v>
      </c>
      <c r="J1757" t="s">
        <v>1509</v>
      </c>
    </row>
    <row r="1758" spans="1:10" x14ac:dyDescent="0.2">
      <c r="A1758">
        <v>1.92812464739641E-18</v>
      </c>
      <c r="B1758">
        <v>0.48469560954579</v>
      </c>
      <c r="C1758">
        <v>0.57599999999999996</v>
      </c>
      <c r="D1758">
        <v>0.22</v>
      </c>
      <c r="E1758">
        <v>2.67970763495153E-14</v>
      </c>
      <c r="F1758">
        <v>3</v>
      </c>
      <c r="G1758" t="s">
        <v>4094</v>
      </c>
      <c r="H1758" t="s">
        <v>4095</v>
      </c>
      <c r="I1758" t="str">
        <f>HYPERLINK("https://zfin.org/ZDB-GENE-030411-4")</f>
        <v>https://zfin.org/ZDB-GENE-030411-4</v>
      </c>
      <c r="J1758" t="s">
        <v>4096</v>
      </c>
    </row>
    <row r="1759" spans="1:10" x14ac:dyDescent="0.2">
      <c r="A1759">
        <v>2.08837144423959E-18</v>
      </c>
      <c r="B1759">
        <v>-1.1460925900639301</v>
      </c>
      <c r="C1759">
        <v>0.152</v>
      </c>
      <c r="D1759">
        <v>0.51400000000000001</v>
      </c>
      <c r="E1759">
        <v>2.90241863320418E-14</v>
      </c>
      <c r="F1759">
        <v>3</v>
      </c>
      <c r="G1759" t="s">
        <v>2111</v>
      </c>
      <c r="H1759" t="s">
        <v>2112</v>
      </c>
      <c r="I1759" t="str">
        <f>HYPERLINK("https://zfin.org/ZDB-GENE-060126-3")</f>
        <v>https://zfin.org/ZDB-GENE-060126-3</v>
      </c>
      <c r="J1759" t="s">
        <v>2113</v>
      </c>
    </row>
    <row r="1760" spans="1:10" x14ac:dyDescent="0.2">
      <c r="A1760">
        <v>2.1399494854507099E-18</v>
      </c>
      <c r="B1760">
        <v>0.45183497642550202</v>
      </c>
      <c r="C1760">
        <v>0.439</v>
      </c>
      <c r="D1760">
        <v>0.14399999999999999</v>
      </c>
      <c r="E1760">
        <v>2.9741017948793897E-14</v>
      </c>
      <c r="F1760">
        <v>3</v>
      </c>
      <c r="G1760" t="s">
        <v>4097</v>
      </c>
      <c r="H1760" t="s">
        <v>4098</v>
      </c>
      <c r="I1760" t="str">
        <f>HYPERLINK("https://zfin.org/ZDB-GENE-070615-13")</f>
        <v>https://zfin.org/ZDB-GENE-070615-13</v>
      </c>
      <c r="J1760" t="s">
        <v>4099</v>
      </c>
    </row>
    <row r="1761" spans="1:10" x14ac:dyDescent="0.2">
      <c r="A1761">
        <v>2.15692675545902E-18</v>
      </c>
      <c r="B1761">
        <v>0.29522956777089898</v>
      </c>
      <c r="C1761">
        <v>1</v>
      </c>
      <c r="D1761">
        <v>0.99399999999999999</v>
      </c>
      <c r="E1761">
        <v>2.99769680473695E-14</v>
      </c>
      <c r="F1761">
        <v>3</v>
      </c>
      <c r="G1761" t="s">
        <v>1671</v>
      </c>
      <c r="H1761" t="s">
        <v>1672</v>
      </c>
      <c r="I1761" t="str">
        <f>HYPERLINK("https://zfin.org/ZDB-GENE-040625-147")</f>
        <v>https://zfin.org/ZDB-GENE-040625-147</v>
      </c>
      <c r="J1761" t="s">
        <v>1673</v>
      </c>
    </row>
    <row r="1762" spans="1:10" x14ac:dyDescent="0.2">
      <c r="A1762">
        <v>2.1593520082244101E-18</v>
      </c>
      <c r="B1762">
        <v>0.30033819619770902</v>
      </c>
      <c r="C1762">
        <v>0.129</v>
      </c>
      <c r="D1762">
        <v>1.6E-2</v>
      </c>
      <c r="E1762">
        <v>3.0010674210302803E-14</v>
      </c>
      <c r="F1762">
        <v>3</v>
      </c>
      <c r="G1762" t="s">
        <v>4100</v>
      </c>
      <c r="H1762" t="s">
        <v>4101</v>
      </c>
      <c r="I1762" t="str">
        <f>HYPERLINK("https://zfin.org/ZDB-GENE-050208-501")</f>
        <v>https://zfin.org/ZDB-GENE-050208-501</v>
      </c>
      <c r="J1762" t="s">
        <v>4102</v>
      </c>
    </row>
    <row r="1763" spans="1:10" x14ac:dyDescent="0.2">
      <c r="A1763">
        <v>2.5207589178356101E-18</v>
      </c>
      <c r="B1763">
        <v>-1.1012939044880501</v>
      </c>
      <c r="C1763">
        <v>0.189</v>
      </c>
      <c r="D1763">
        <v>0.53600000000000003</v>
      </c>
      <c r="E1763">
        <v>3.5033507440079198E-14</v>
      </c>
      <c r="F1763">
        <v>3</v>
      </c>
      <c r="G1763" t="s">
        <v>2304</v>
      </c>
      <c r="H1763" t="s">
        <v>2305</v>
      </c>
      <c r="I1763" t="str">
        <f>HYPERLINK("https://zfin.org/ZDB-GENE-160728-87")</f>
        <v>https://zfin.org/ZDB-GENE-160728-87</v>
      </c>
      <c r="J1763" t="s">
        <v>2306</v>
      </c>
    </row>
    <row r="1764" spans="1:10" x14ac:dyDescent="0.2">
      <c r="A1764">
        <v>2.5323619131909801E-18</v>
      </c>
      <c r="B1764">
        <v>0.43519706212668902</v>
      </c>
      <c r="C1764">
        <v>0.40200000000000002</v>
      </c>
      <c r="D1764">
        <v>0.125</v>
      </c>
      <c r="E1764">
        <v>3.51947658695283E-14</v>
      </c>
      <c r="F1764">
        <v>3</v>
      </c>
      <c r="G1764" t="s">
        <v>4103</v>
      </c>
      <c r="H1764" t="s">
        <v>4104</v>
      </c>
      <c r="I1764" t="str">
        <f>HYPERLINK("https://zfin.org/ZDB-GENE-091204-321")</f>
        <v>https://zfin.org/ZDB-GENE-091204-321</v>
      </c>
      <c r="J1764" t="s">
        <v>4105</v>
      </c>
    </row>
    <row r="1765" spans="1:10" x14ac:dyDescent="0.2">
      <c r="A1765">
        <v>3.2041991001214699E-18</v>
      </c>
      <c r="B1765">
        <v>-1.3389455649920201</v>
      </c>
      <c r="C1765">
        <v>0.129</v>
      </c>
      <c r="D1765">
        <v>0.495</v>
      </c>
      <c r="E1765">
        <v>4.4531959093488197E-14</v>
      </c>
      <c r="F1765">
        <v>3</v>
      </c>
      <c r="G1765" t="s">
        <v>2319</v>
      </c>
      <c r="H1765" t="s">
        <v>2320</v>
      </c>
      <c r="I1765" t="str">
        <f>HYPERLINK("https://zfin.org/ZDB-GENE-041121-18")</f>
        <v>https://zfin.org/ZDB-GENE-041121-18</v>
      </c>
      <c r="J1765" t="s">
        <v>2321</v>
      </c>
    </row>
    <row r="1766" spans="1:10" x14ac:dyDescent="0.2">
      <c r="A1766">
        <v>3.2137157516544001E-18</v>
      </c>
      <c r="B1766">
        <v>0.32373258891295498</v>
      </c>
      <c r="C1766">
        <v>0.26500000000000001</v>
      </c>
      <c r="D1766">
        <v>6.2E-2</v>
      </c>
      <c r="E1766">
        <v>4.4664221516492901E-14</v>
      </c>
      <c r="F1766">
        <v>3</v>
      </c>
      <c r="G1766" t="s">
        <v>4106</v>
      </c>
      <c r="H1766" t="s">
        <v>4107</v>
      </c>
      <c r="I1766" t="str">
        <f>HYPERLINK("https://zfin.org/ZDB-GENE-060421-5102")</f>
        <v>https://zfin.org/ZDB-GENE-060421-5102</v>
      </c>
      <c r="J1766" t="s">
        <v>4108</v>
      </c>
    </row>
    <row r="1767" spans="1:10" x14ac:dyDescent="0.2">
      <c r="A1767">
        <v>4.2276613618625497E-18</v>
      </c>
      <c r="B1767">
        <v>0.57077259045586204</v>
      </c>
      <c r="C1767">
        <v>0.74199999999999999</v>
      </c>
      <c r="D1767">
        <v>0.36799999999999999</v>
      </c>
      <c r="E1767">
        <v>5.8756037607165597E-14</v>
      </c>
      <c r="F1767">
        <v>3</v>
      </c>
      <c r="G1767" t="s">
        <v>4109</v>
      </c>
      <c r="H1767" t="s">
        <v>4110</v>
      </c>
      <c r="I1767" t="str">
        <f>HYPERLINK("https://zfin.org/ZDB-GENE-040426-897")</f>
        <v>https://zfin.org/ZDB-GENE-040426-897</v>
      </c>
      <c r="J1767" t="s">
        <v>4111</v>
      </c>
    </row>
    <row r="1768" spans="1:10" x14ac:dyDescent="0.2">
      <c r="A1768">
        <v>4.6056856116613501E-18</v>
      </c>
      <c r="B1768">
        <v>0.50111363769593598</v>
      </c>
      <c r="C1768">
        <v>0.90200000000000002</v>
      </c>
      <c r="D1768">
        <v>0.53</v>
      </c>
      <c r="E1768">
        <v>6.4009818630869501E-14</v>
      </c>
      <c r="F1768">
        <v>3</v>
      </c>
      <c r="G1768" t="s">
        <v>1767</v>
      </c>
      <c r="H1768" t="s">
        <v>1768</v>
      </c>
      <c r="I1768" t="str">
        <f>HYPERLINK("https://zfin.org/ZDB-GENE-040426-1658")</f>
        <v>https://zfin.org/ZDB-GENE-040426-1658</v>
      </c>
      <c r="J1768" t="s">
        <v>1769</v>
      </c>
    </row>
    <row r="1769" spans="1:10" x14ac:dyDescent="0.2">
      <c r="A1769">
        <v>5.2947041649075E-18</v>
      </c>
      <c r="B1769">
        <v>0.37912112654045199</v>
      </c>
      <c r="C1769">
        <v>0.34799999999999998</v>
      </c>
      <c r="D1769">
        <v>0.1</v>
      </c>
      <c r="E1769">
        <v>7.3585798483884406E-14</v>
      </c>
      <c r="F1769">
        <v>3</v>
      </c>
      <c r="G1769" t="s">
        <v>4112</v>
      </c>
      <c r="H1769" t="s">
        <v>4113</v>
      </c>
      <c r="I1769" t="str">
        <f>HYPERLINK("https://zfin.org/ZDB-GENE-061110-82")</f>
        <v>https://zfin.org/ZDB-GENE-061110-82</v>
      </c>
      <c r="J1769" t="s">
        <v>4114</v>
      </c>
    </row>
    <row r="1770" spans="1:10" x14ac:dyDescent="0.2">
      <c r="A1770">
        <v>5.3827931904227902E-18</v>
      </c>
      <c r="B1770">
        <v>0.58886531759757299</v>
      </c>
      <c r="C1770">
        <v>0.84099999999999997</v>
      </c>
      <c r="D1770">
        <v>0.52800000000000002</v>
      </c>
      <c r="E1770">
        <v>7.4810059760495999E-14</v>
      </c>
      <c r="F1770">
        <v>3</v>
      </c>
      <c r="G1770" t="s">
        <v>1931</v>
      </c>
      <c r="H1770" t="s">
        <v>1932</v>
      </c>
      <c r="I1770" t="str">
        <f>HYPERLINK("https://zfin.org/ZDB-GENE-050522-151")</f>
        <v>https://zfin.org/ZDB-GENE-050522-151</v>
      </c>
      <c r="J1770" t="s">
        <v>1933</v>
      </c>
    </row>
    <row r="1771" spans="1:10" x14ac:dyDescent="0.2">
      <c r="A1771">
        <v>5.6647743473428102E-18</v>
      </c>
      <c r="B1771">
        <v>0.570164887657854</v>
      </c>
      <c r="C1771">
        <v>0.81799999999999995</v>
      </c>
      <c r="D1771">
        <v>0.49</v>
      </c>
      <c r="E1771">
        <v>7.87290338793704E-14</v>
      </c>
      <c r="F1771">
        <v>3</v>
      </c>
      <c r="G1771" t="s">
        <v>1569</v>
      </c>
      <c r="H1771" t="s">
        <v>1570</v>
      </c>
      <c r="I1771" t="str">
        <f>HYPERLINK("https://zfin.org/ZDB-GENE-030131-8901")</f>
        <v>https://zfin.org/ZDB-GENE-030131-8901</v>
      </c>
      <c r="J1771" t="s">
        <v>1571</v>
      </c>
    </row>
    <row r="1772" spans="1:10" x14ac:dyDescent="0.2">
      <c r="A1772">
        <v>5.9938947768754102E-18</v>
      </c>
      <c r="B1772">
        <v>0.57472272030248694</v>
      </c>
      <c r="C1772">
        <v>0.58299999999999996</v>
      </c>
      <c r="D1772">
        <v>0.248</v>
      </c>
      <c r="E1772">
        <v>8.3303149609014506E-14</v>
      </c>
      <c r="F1772">
        <v>3</v>
      </c>
      <c r="G1772" t="s">
        <v>3315</v>
      </c>
      <c r="H1772" t="s">
        <v>3316</v>
      </c>
      <c r="I1772" t="str">
        <f>HYPERLINK("https://zfin.org/ZDB-GENE-030131-275")</f>
        <v>https://zfin.org/ZDB-GENE-030131-275</v>
      </c>
      <c r="J1772" t="s">
        <v>3317</v>
      </c>
    </row>
    <row r="1773" spans="1:10" x14ac:dyDescent="0.2">
      <c r="A1773">
        <v>6.9150863303588796E-18</v>
      </c>
      <c r="B1773">
        <v>0.72457485531832999</v>
      </c>
      <c r="C1773">
        <v>0.25</v>
      </c>
      <c r="D1773">
        <v>5.8000000000000003E-2</v>
      </c>
      <c r="E1773">
        <v>9.6105869819327798E-14</v>
      </c>
      <c r="F1773">
        <v>3</v>
      </c>
      <c r="G1773" t="s">
        <v>4115</v>
      </c>
      <c r="H1773" t="s">
        <v>4116</v>
      </c>
      <c r="I1773" t="str">
        <f>HYPERLINK("https://zfin.org/ZDB-GENE-030515-3")</f>
        <v>https://zfin.org/ZDB-GENE-030515-3</v>
      </c>
      <c r="J1773" t="s">
        <v>4117</v>
      </c>
    </row>
    <row r="1774" spans="1:10" x14ac:dyDescent="0.2">
      <c r="A1774">
        <v>7.1214534179294696E-18</v>
      </c>
      <c r="B1774">
        <v>0.54942379493826399</v>
      </c>
      <c r="C1774">
        <v>0.64400000000000002</v>
      </c>
      <c r="D1774">
        <v>0.28699999999999998</v>
      </c>
      <c r="E1774">
        <v>9.8973959602383698E-14</v>
      </c>
      <c r="F1774">
        <v>3</v>
      </c>
      <c r="G1774" t="s">
        <v>4118</v>
      </c>
      <c r="H1774" t="s">
        <v>4119</v>
      </c>
      <c r="I1774" t="str">
        <f>HYPERLINK("https://zfin.org/ZDB-GENE-120312-1")</f>
        <v>https://zfin.org/ZDB-GENE-120312-1</v>
      </c>
      <c r="J1774" t="s">
        <v>4120</v>
      </c>
    </row>
    <row r="1775" spans="1:10" x14ac:dyDescent="0.2">
      <c r="A1775">
        <v>7.5092712992329997E-18</v>
      </c>
      <c r="B1775">
        <v>0.33625974915865398</v>
      </c>
      <c r="C1775">
        <v>0.159</v>
      </c>
      <c r="D1775">
        <v>2.5000000000000001E-2</v>
      </c>
      <c r="E1775">
        <v>1.0436385251674E-13</v>
      </c>
      <c r="F1775">
        <v>3</v>
      </c>
      <c r="G1775" t="s">
        <v>4121</v>
      </c>
      <c r="H1775" t="s">
        <v>4122</v>
      </c>
      <c r="I1775" t="str">
        <f>HYPERLINK("https://zfin.org/ZDB-GENE-030131-9569")</f>
        <v>https://zfin.org/ZDB-GENE-030131-9569</v>
      </c>
      <c r="J1775" t="s">
        <v>4123</v>
      </c>
    </row>
    <row r="1776" spans="1:10" x14ac:dyDescent="0.2">
      <c r="A1776">
        <v>7.5880175559608696E-18</v>
      </c>
      <c r="B1776">
        <v>0.50490649098956297</v>
      </c>
      <c r="C1776">
        <v>0.59799999999999998</v>
      </c>
      <c r="D1776">
        <v>0.23300000000000001</v>
      </c>
      <c r="E1776">
        <v>1.05458267992744E-13</v>
      </c>
      <c r="F1776">
        <v>3</v>
      </c>
      <c r="G1776" t="s">
        <v>4124</v>
      </c>
      <c r="H1776" t="s">
        <v>4125</v>
      </c>
      <c r="I1776" t="str">
        <f>HYPERLINK("https://zfin.org/ZDB-GENE-040426-875")</f>
        <v>https://zfin.org/ZDB-GENE-040426-875</v>
      </c>
      <c r="J1776" t="s">
        <v>4126</v>
      </c>
    </row>
    <row r="1777" spans="1:10" x14ac:dyDescent="0.2">
      <c r="A1777">
        <v>7.7257580929978598E-18</v>
      </c>
      <c r="B1777">
        <v>0.43107876241338799</v>
      </c>
      <c r="C1777">
        <v>0.318</v>
      </c>
      <c r="D1777">
        <v>8.6999999999999994E-2</v>
      </c>
      <c r="E1777">
        <v>1.07372585976484E-13</v>
      </c>
      <c r="F1777">
        <v>3</v>
      </c>
      <c r="G1777" t="s">
        <v>1134</v>
      </c>
      <c r="H1777" t="s">
        <v>1135</v>
      </c>
      <c r="I1777" t="str">
        <f>HYPERLINK("https://zfin.org/ZDB-GENE-020103-2")</f>
        <v>https://zfin.org/ZDB-GENE-020103-2</v>
      </c>
      <c r="J1777" t="s">
        <v>1136</v>
      </c>
    </row>
    <row r="1778" spans="1:10" x14ac:dyDescent="0.2">
      <c r="A1778">
        <v>8.0275009900520304E-18</v>
      </c>
      <c r="B1778">
        <v>0.40280794320475999</v>
      </c>
      <c r="C1778">
        <v>0.40899999999999997</v>
      </c>
      <c r="D1778">
        <v>0.128</v>
      </c>
      <c r="E1778">
        <v>1.11566208759743E-13</v>
      </c>
      <c r="F1778">
        <v>3</v>
      </c>
      <c r="G1778" t="s">
        <v>4127</v>
      </c>
      <c r="H1778" t="s">
        <v>4128</v>
      </c>
      <c r="I1778" t="str">
        <f>HYPERLINK("https://zfin.org/ZDB-GENE-040718-291")</f>
        <v>https://zfin.org/ZDB-GENE-040718-291</v>
      </c>
      <c r="J1778" t="s">
        <v>4129</v>
      </c>
    </row>
    <row r="1779" spans="1:10" x14ac:dyDescent="0.2">
      <c r="A1779">
        <v>8.0482428925831392E-18</v>
      </c>
      <c r="B1779">
        <v>0.55280421745691699</v>
      </c>
      <c r="C1779">
        <v>0.85599999999999998</v>
      </c>
      <c r="D1779">
        <v>0.50900000000000001</v>
      </c>
      <c r="E1779">
        <v>1.1185447972112E-13</v>
      </c>
      <c r="F1779">
        <v>3</v>
      </c>
      <c r="G1779" t="s">
        <v>4130</v>
      </c>
      <c r="H1779" t="s">
        <v>4131</v>
      </c>
      <c r="I1779" t="str">
        <f>HYPERLINK("https://zfin.org/ZDB-GENE-040426-1679")</f>
        <v>https://zfin.org/ZDB-GENE-040426-1679</v>
      </c>
      <c r="J1779" t="s">
        <v>4132</v>
      </c>
    </row>
    <row r="1780" spans="1:10" x14ac:dyDescent="0.2">
      <c r="A1780">
        <v>8.3539711582185399E-18</v>
      </c>
      <c r="B1780">
        <v>0.64000343705858098</v>
      </c>
      <c r="C1780">
        <v>0.76500000000000001</v>
      </c>
      <c r="D1780">
        <v>0.42299999999999999</v>
      </c>
      <c r="E1780">
        <v>1.1610349115692101E-13</v>
      </c>
      <c r="F1780">
        <v>3</v>
      </c>
      <c r="G1780" t="s">
        <v>4133</v>
      </c>
      <c r="H1780" t="s">
        <v>4134</v>
      </c>
      <c r="I1780" t="str">
        <f>HYPERLINK("https://zfin.org/ZDB-GENE-030131-7850")</f>
        <v>https://zfin.org/ZDB-GENE-030131-7850</v>
      </c>
      <c r="J1780" t="s">
        <v>4135</v>
      </c>
    </row>
    <row r="1781" spans="1:10" x14ac:dyDescent="0.2">
      <c r="A1781">
        <v>8.8181929028457199E-18</v>
      </c>
      <c r="B1781">
        <v>0.50773445233091996</v>
      </c>
      <c r="C1781">
        <v>0.57599999999999996</v>
      </c>
      <c r="D1781">
        <v>0.23200000000000001</v>
      </c>
      <c r="E1781">
        <v>1.2255524496374999E-13</v>
      </c>
      <c r="F1781">
        <v>3</v>
      </c>
      <c r="G1781" t="s">
        <v>4136</v>
      </c>
      <c r="H1781" t="s">
        <v>4137</v>
      </c>
      <c r="I1781" t="str">
        <f>HYPERLINK("https://zfin.org/ZDB-GENE-040426-57")</f>
        <v>https://zfin.org/ZDB-GENE-040426-57</v>
      </c>
      <c r="J1781" t="s">
        <v>4138</v>
      </c>
    </row>
    <row r="1782" spans="1:10" x14ac:dyDescent="0.2">
      <c r="A1782">
        <v>9.5645220084286293E-18</v>
      </c>
      <c r="B1782">
        <v>0.263755893621829</v>
      </c>
      <c r="C1782">
        <v>1</v>
      </c>
      <c r="D1782">
        <v>0.995</v>
      </c>
      <c r="E1782">
        <v>1.32927726873141E-13</v>
      </c>
      <c r="F1782">
        <v>3</v>
      </c>
      <c r="G1782" t="s">
        <v>1836</v>
      </c>
      <c r="H1782" t="s">
        <v>1837</v>
      </c>
      <c r="I1782" t="str">
        <f>HYPERLINK("https://zfin.org/ZDB-GENE-060331-105")</f>
        <v>https://zfin.org/ZDB-GENE-060331-105</v>
      </c>
      <c r="J1782" t="s">
        <v>1838</v>
      </c>
    </row>
    <row r="1783" spans="1:10" x14ac:dyDescent="0.2">
      <c r="A1783">
        <v>1.04906666044273E-17</v>
      </c>
      <c r="B1783">
        <v>0.37968404969307801</v>
      </c>
      <c r="C1783">
        <v>0.189</v>
      </c>
      <c r="D1783">
        <v>3.5000000000000003E-2</v>
      </c>
      <c r="E1783">
        <v>1.4579928446833099E-13</v>
      </c>
      <c r="F1783">
        <v>3</v>
      </c>
      <c r="G1783" t="s">
        <v>4139</v>
      </c>
      <c r="H1783" t="s">
        <v>4140</v>
      </c>
      <c r="I1783" t="str">
        <f>HYPERLINK("https://zfin.org/ZDB-GENE-050419-73")</f>
        <v>https://zfin.org/ZDB-GENE-050419-73</v>
      </c>
      <c r="J1783" t="s">
        <v>4141</v>
      </c>
    </row>
    <row r="1784" spans="1:10" x14ac:dyDescent="0.2">
      <c r="A1784">
        <v>1.26944780059001E-17</v>
      </c>
      <c r="B1784">
        <v>0.47654775950745198</v>
      </c>
      <c r="C1784">
        <v>0.40899999999999997</v>
      </c>
      <c r="D1784">
        <v>0.13300000000000001</v>
      </c>
      <c r="E1784">
        <v>1.76427855325999E-13</v>
      </c>
      <c r="F1784">
        <v>3</v>
      </c>
      <c r="G1784" t="s">
        <v>4142</v>
      </c>
      <c r="H1784" t="s">
        <v>4143</v>
      </c>
      <c r="I1784" t="str">
        <f>HYPERLINK("https://zfin.org/ZDB-GENE-030131-6422")</f>
        <v>https://zfin.org/ZDB-GENE-030131-6422</v>
      </c>
      <c r="J1784" t="s">
        <v>4144</v>
      </c>
    </row>
    <row r="1785" spans="1:10" x14ac:dyDescent="0.2">
      <c r="A1785">
        <v>1.28126063122939E-17</v>
      </c>
      <c r="B1785">
        <v>0.60013588628804404</v>
      </c>
      <c r="C1785">
        <v>0.66700000000000004</v>
      </c>
      <c r="D1785">
        <v>0.315</v>
      </c>
      <c r="E1785">
        <v>1.78069602528261E-13</v>
      </c>
      <c r="F1785">
        <v>3</v>
      </c>
      <c r="G1785" t="s">
        <v>1423</v>
      </c>
      <c r="H1785" t="s">
        <v>1424</v>
      </c>
      <c r="I1785" t="str">
        <f>HYPERLINK("https://zfin.org/ZDB-GENE-050522-279")</f>
        <v>https://zfin.org/ZDB-GENE-050522-279</v>
      </c>
      <c r="J1785" t="s">
        <v>1425</v>
      </c>
    </row>
    <row r="1786" spans="1:10" x14ac:dyDescent="0.2">
      <c r="A1786">
        <v>1.3223464956930899E-17</v>
      </c>
      <c r="B1786">
        <v>0.61027974621158798</v>
      </c>
      <c r="C1786">
        <v>0.621</v>
      </c>
      <c r="D1786">
        <v>0.28100000000000003</v>
      </c>
      <c r="E1786">
        <v>1.8377971597142501E-13</v>
      </c>
      <c r="F1786">
        <v>3</v>
      </c>
      <c r="G1786" t="s">
        <v>4145</v>
      </c>
      <c r="H1786" t="s">
        <v>4146</v>
      </c>
      <c r="I1786" t="str">
        <f>HYPERLINK("https://zfin.org/ZDB-GENE-040718-329")</f>
        <v>https://zfin.org/ZDB-GENE-040718-329</v>
      </c>
      <c r="J1786" t="s">
        <v>4147</v>
      </c>
    </row>
    <row r="1787" spans="1:10" x14ac:dyDescent="0.2">
      <c r="A1787">
        <v>1.35436080791156E-17</v>
      </c>
      <c r="B1787">
        <v>0.41698747914297701</v>
      </c>
      <c r="C1787">
        <v>0.28000000000000003</v>
      </c>
      <c r="D1787">
        <v>7.1999999999999995E-2</v>
      </c>
      <c r="E1787">
        <v>1.8822906508354901E-13</v>
      </c>
      <c r="F1787">
        <v>3</v>
      </c>
      <c r="G1787" t="s">
        <v>4148</v>
      </c>
      <c r="H1787" t="s">
        <v>4149</v>
      </c>
      <c r="I1787" t="str">
        <f>HYPERLINK("https://zfin.org/ZDB-GENE-050913-56")</f>
        <v>https://zfin.org/ZDB-GENE-050913-56</v>
      </c>
      <c r="J1787" t="s">
        <v>4150</v>
      </c>
    </row>
    <row r="1788" spans="1:10" x14ac:dyDescent="0.2">
      <c r="A1788">
        <v>1.4699274124998299E-17</v>
      </c>
      <c r="B1788">
        <v>0.53354961081130703</v>
      </c>
      <c r="C1788">
        <v>0.45500000000000002</v>
      </c>
      <c r="D1788">
        <v>0.16200000000000001</v>
      </c>
      <c r="E1788">
        <v>2.04290511789226E-13</v>
      </c>
      <c r="F1788">
        <v>3</v>
      </c>
      <c r="G1788" t="s">
        <v>4151</v>
      </c>
      <c r="H1788" t="s">
        <v>4152</v>
      </c>
      <c r="I1788" t="str">
        <f>HYPERLINK("https://zfin.org/ZDB-GENE-050522-47")</f>
        <v>https://zfin.org/ZDB-GENE-050522-47</v>
      </c>
      <c r="J1788" t="s">
        <v>4153</v>
      </c>
    </row>
    <row r="1789" spans="1:10" x14ac:dyDescent="0.2">
      <c r="A1789">
        <v>1.4988665711976701E-17</v>
      </c>
      <c r="B1789">
        <v>0.28304358056696399</v>
      </c>
      <c r="C1789">
        <v>0.121</v>
      </c>
      <c r="D1789">
        <v>1.4999999999999999E-2</v>
      </c>
      <c r="E1789">
        <v>2.08312476065052E-13</v>
      </c>
      <c r="F1789">
        <v>3</v>
      </c>
      <c r="G1789" t="s">
        <v>4154</v>
      </c>
      <c r="H1789" t="s">
        <v>4155</v>
      </c>
      <c r="I1789" t="str">
        <f>HYPERLINK("https://zfin.org/ZDB-GENE-030131-4797")</f>
        <v>https://zfin.org/ZDB-GENE-030131-4797</v>
      </c>
      <c r="J1789" t="s">
        <v>4156</v>
      </c>
    </row>
    <row r="1790" spans="1:10" x14ac:dyDescent="0.2">
      <c r="A1790">
        <v>1.53439432418641E-17</v>
      </c>
      <c r="B1790">
        <v>0.380469947314377</v>
      </c>
      <c r="C1790">
        <v>0.152</v>
      </c>
      <c r="D1790">
        <v>2.4E-2</v>
      </c>
      <c r="E1790">
        <v>2.13250123175427E-13</v>
      </c>
      <c r="F1790">
        <v>3</v>
      </c>
      <c r="G1790" t="s">
        <v>348</v>
      </c>
      <c r="H1790" t="s">
        <v>349</v>
      </c>
      <c r="I1790" t="str">
        <f>HYPERLINK("https://zfin.org/ZDB-GENE-040704-53")</f>
        <v>https://zfin.org/ZDB-GENE-040704-53</v>
      </c>
      <c r="J1790" t="s">
        <v>350</v>
      </c>
    </row>
    <row r="1791" spans="1:10" x14ac:dyDescent="0.2">
      <c r="A1791">
        <v>1.6037889394357801E-17</v>
      </c>
      <c r="B1791">
        <v>0.43553076875922297</v>
      </c>
      <c r="C1791">
        <v>0.39400000000000002</v>
      </c>
      <c r="D1791">
        <v>0.124</v>
      </c>
      <c r="E1791">
        <v>2.22894586802784E-13</v>
      </c>
      <c r="F1791">
        <v>3</v>
      </c>
      <c r="G1791" t="s">
        <v>4157</v>
      </c>
      <c r="H1791" t="s">
        <v>4158</v>
      </c>
      <c r="I1791" t="str">
        <f>HYPERLINK("https://zfin.org/ZDB-GENE-040718-252")</f>
        <v>https://zfin.org/ZDB-GENE-040718-252</v>
      </c>
      <c r="J1791" t="s">
        <v>4159</v>
      </c>
    </row>
    <row r="1792" spans="1:10" x14ac:dyDescent="0.2">
      <c r="A1792">
        <v>1.6657215981362899E-17</v>
      </c>
      <c r="B1792">
        <v>0.415398356175257</v>
      </c>
      <c r="C1792">
        <v>0.22</v>
      </c>
      <c r="D1792">
        <v>4.8000000000000001E-2</v>
      </c>
      <c r="E1792">
        <v>2.31501987708981E-13</v>
      </c>
      <c r="F1792">
        <v>3</v>
      </c>
      <c r="G1792" t="s">
        <v>447</v>
      </c>
      <c r="H1792" t="s">
        <v>448</v>
      </c>
      <c r="I1792" t="str">
        <f>HYPERLINK("https://zfin.org/ZDB-GENE-141216-186")</f>
        <v>https://zfin.org/ZDB-GENE-141216-186</v>
      </c>
      <c r="J1792" t="s">
        <v>449</v>
      </c>
    </row>
    <row r="1793" spans="1:10" x14ac:dyDescent="0.2">
      <c r="A1793">
        <v>1.7159345614200801E-17</v>
      </c>
      <c r="B1793">
        <v>0.50463595353632695</v>
      </c>
      <c r="C1793">
        <v>0.72699999999999998</v>
      </c>
      <c r="D1793">
        <v>0.34899999999999998</v>
      </c>
      <c r="E1793">
        <v>2.3848058534616299E-13</v>
      </c>
      <c r="F1793">
        <v>3</v>
      </c>
      <c r="G1793" t="s">
        <v>2418</v>
      </c>
      <c r="H1793" t="s">
        <v>2419</v>
      </c>
      <c r="I1793" t="str">
        <f>HYPERLINK("https://zfin.org/ZDB-GENE-040426-2648")</f>
        <v>https://zfin.org/ZDB-GENE-040426-2648</v>
      </c>
      <c r="J1793" t="s">
        <v>2420</v>
      </c>
    </row>
    <row r="1794" spans="1:10" x14ac:dyDescent="0.2">
      <c r="A1794">
        <v>1.7820717149719201E-17</v>
      </c>
      <c r="B1794">
        <v>0.274875753927739</v>
      </c>
      <c r="C1794">
        <v>0.129</v>
      </c>
      <c r="D1794">
        <v>1.7999999999999999E-2</v>
      </c>
      <c r="E1794">
        <v>2.4767232694679701E-13</v>
      </c>
      <c r="F1794">
        <v>3</v>
      </c>
      <c r="G1794" t="s">
        <v>573</v>
      </c>
      <c r="H1794" t="s">
        <v>574</v>
      </c>
      <c r="I1794" t="str">
        <f>HYPERLINK("https://zfin.org/ZDB-GENE-030131-5409")</f>
        <v>https://zfin.org/ZDB-GENE-030131-5409</v>
      </c>
      <c r="J1794" t="s">
        <v>575</v>
      </c>
    </row>
    <row r="1795" spans="1:10" x14ac:dyDescent="0.2">
      <c r="A1795">
        <v>2.0110604264012199E-17</v>
      </c>
      <c r="B1795">
        <v>0.51862862166316903</v>
      </c>
      <c r="C1795">
        <v>0.879</v>
      </c>
      <c r="D1795">
        <v>0.61799999999999999</v>
      </c>
      <c r="E1795">
        <v>2.7949717806124202E-13</v>
      </c>
      <c r="F1795">
        <v>3</v>
      </c>
      <c r="G1795" t="s">
        <v>4160</v>
      </c>
      <c r="H1795" t="s">
        <v>4161</v>
      </c>
      <c r="I1795" t="str">
        <f>HYPERLINK("https://zfin.org/ZDB-GENE-040801-7")</f>
        <v>https://zfin.org/ZDB-GENE-040801-7</v>
      </c>
      <c r="J1795" t="s">
        <v>4162</v>
      </c>
    </row>
    <row r="1796" spans="1:10" x14ac:dyDescent="0.2">
      <c r="A1796">
        <v>2.25519020440265E-17</v>
      </c>
      <c r="B1796">
        <v>0.421807775682284</v>
      </c>
      <c r="C1796">
        <v>0.36399999999999999</v>
      </c>
      <c r="D1796">
        <v>0.11</v>
      </c>
      <c r="E1796">
        <v>3.1342633460788099E-13</v>
      </c>
      <c r="F1796">
        <v>3</v>
      </c>
      <c r="G1796" t="s">
        <v>4163</v>
      </c>
      <c r="H1796" t="s">
        <v>4164</v>
      </c>
      <c r="I1796" t="str">
        <f>HYPERLINK("https://zfin.org/ZDB-GENE-030131-6609")</f>
        <v>https://zfin.org/ZDB-GENE-030131-6609</v>
      </c>
      <c r="J1796" t="s">
        <v>4165</v>
      </c>
    </row>
    <row r="1797" spans="1:10" x14ac:dyDescent="0.2">
      <c r="A1797">
        <v>2.2932182490428599E-17</v>
      </c>
      <c r="B1797">
        <v>0.54918053828296698</v>
      </c>
      <c r="C1797">
        <v>0.56799999999999995</v>
      </c>
      <c r="D1797">
        <v>0.23899999999999999</v>
      </c>
      <c r="E1797">
        <v>3.1871147225197702E-13</v>
      </c>
      <c r="F1797">
        <v>3</v>
      </c>
      <c r="G1797" t="s">
        <v>4166</v>
      </c>
      <c r="H1797" t="s">
        <v>4167</v>
      </c>
      <c r="I1797" t="str">
        <f>HYPERLINK("https://zfin.org/ZDB-GENE-020415-1")</f>
        <v>https://zfin.org/ZDB-GENE-020415-1</v>
      </c>
      <c r="J1797" t="s">
        <v>4168</v>
      </c>
    </row>
    <row r="1798" spans="1:10" x14ac:dyDescent="0.2">
      <c r="A1798">
        <v>2.3745097251656599E-17</v>
      </c>
      <c r="B1798">
        <v>0.51089958981776395</v>
      </c>
      <c r="C1798">
        <v>0.64400000000000002</v>
      </c>
      <c r="D1798">
        <v>0.28599999999999998</v>
      </c>
      <c r="E1798">
        <v>3.3000936160352298E-13</v>
      </c>
      <c r="F1798">
        <v>3</v>
      </c>
      <c r="G1798" t="s">
        <v>1164</v>
      </c>
      <c r="H1798" t="s">
        <v>1165</v>
      </c>
      <c r="I1798" t="str">
        <f>HYPERLINK("https://zfin.org/ZDB-GENE-030131-6514")</f>
        <v>https://zfin.org/ZDB-GENE-030131-6514</v>
      </c>
      <c r="J1798" t="s">
        <v>1166</v>
      </c>
    </row>
    <row r="1799" spans="1:10" x14ac:dyDescent="0.2">
      <c r="A1799">
        <v>2.41696581465385E-17</v>
      </c>
      <c r="B1799">
        <v>-0.67592492959498895</v>
      </c>
      <c r="C1799">
        <v>0.72699999999999998</v>
      </c>
      <c r="D1799">
        <v>0.83299999999999996</v>
      </c>
      <c r="E1799">
        <v>3.35909908920591E-13</v>
      </c>
      <c r="F1799">
        <v>3</v>
      </c>
      <c r="G1799" t="s">
        <v>1677</v>
      </c>
      <c r="H1799" t="s">
        <v>1678</v>
      </c>
      <c r="I1799" t="str">
        <f>HYPERLINK("https://zfin.org/ZDB-GENE-030410-4")</f>
        <v>https://zfin.org/ZDB-GENE-030410-4</v>
      </c>
      <c r="J1799" t="s">
        <v>1679</v>
      </c>
    </row>
    <row r="1800" spans="1:10" x14ac:dyDescent="0.2">
      <c r="A1800">
        <v>2.4310058550934799E-17</v>
      </c>
      <c r="B1800">
        <v>0.55499922236037802</v>
      </c>
      <c r="C1800">
        <v>0.879</v>
      </c>
      <c r="D1800">
        <v>0.55400000000000005</v>
      </c>
      <c r="E1800">
        <v>3.3786119374089199E-13</v>
      </c>
      <c r="F1800">
        <v>3</v>
      </c>
      <c r="G1800" t="s">
        <v>2816</v>
      </c>
      <c r="H1800" t="s">
        <v>2817</v>
      </c>
      <c r="I1800" t="str">
        <f>HYPERLINK("https://zfin.org/ZDB-GENE-060804-3")</f>
        <v>https://zfin.org/ZDB-GENE-060804-3</v>
      </c>
      <c r="J1800" t="s">
        <v>2818</v>
      </c>
    </row>
    <row r="1801" spans="1:10" x14ac:dyDescent="0.2">
      <c r="A1801">
        <v>2.6231903334392899E-17</v>
      </c>
      <c r="B1801">
        <v>0.37736496250989399</v>
      </c>
      <c r="C1801">
        <v>0.28000000000000003</v>
      </c>
      <c r="D1801">
        <v>7.0999999999999994E-2</v>
      </c>
      <c r="E1801">
        <v>3.6457099254139199E-13</v>
      </c>
      <c r="F1801">
        <v>3</v>
      </c>
      <c r="G1801" t="s">
        <v>4169</v>
      </c>
      <c r="H1801" t="s">
        <v>4170</v>
      </c>
      <c r="I1801" t="str">
        <f>HYPERLINK("https://zfin.org/ZDB-GENE-030131-1361")</f>
        <v>https://zfin.org/ZDB-GENE-030131-1361</v>
      </c>
      <c r="J1801" t="s">
        <v>4171</v>
      </c>
    </row>
    <row r="1802" spans="1:10" x14ac:dyDescent="0.2">
      <c r="A1802">
        <v>2.7829462853103699E-17</v>
      </c>
      <c r="B1802">
        <v>0.51799282508257205</v>
      </c>
      <c r="C1802">
        <v>0.35599999999999998</v>
      </c>
      <c r="D1802">
        <v>0.11</v>
      </c>
      <c r="E1802">
        <v>3.8677387473243599E-13</v>
      </c>
      <c r="F1802">
        <v>3</v>
      </c>
      <c r="G1802" t="s">
        <v>606</v>
      </c>
      <c r="H1802" t="s">
        <v>607</v>
      </c>
      <c r="I1802" t="str">
        <f>HYPERLINK("https://zfin.org/ZDB-GENE-040426-2733")</f>
        <v>https://zfin.org/ZDB-GENE-040426-2733</v>
      </c>
      <c r="J1802" t="s">
        <v>608</v>
      </c>
    </row>
    <row r="1803" spans="1:10" x14ac:dyDescent="0.2">
      <c r="A1803">
        <v>3.3042511205871399E-17</v>
      </c>
      <c r="B1803">
        <v>-1.14025551829287</v>
      </c>
      <c r="C1803">
        <v>0.20499999999999999</v>
      </c>
      <c r="D1803">
        <v>0.52300000000000002</v>
      </c>
      <c r="E1803">
        <v>4.5922482073920104E-13</v>
      </c>
      <c r="F1803">
        <v>3</v>
      </c>
      <c r="G1803" t="s">
        <v>1329</v>
      </c>
      <c r="H1803" t="s">
        <v>1330</v>
      </c>
      <c r="I1803" t="str">
        <f>HYPERLINK("https://zfin.org/ZDB-GENE-030131-8541")</f>
        <v>https://zfin.org/ZDB-GENE-030131-8541</v>
      </c>
      <c r="J1803" t="s">
        <v>1331</v>
      </c>
    </row>
    <row r="1804" spans="1:10" x14ac:dyDescent="0.2">
      <c r="A1804">
        <v>3.64576792255148E-17</v>
      </c>
      <c r="B1804">
        <v>0.39971355998897101</v>
      </c>
      <c r="C1804">
        <v>0.28799999999999998</v>
      </c>
      <c r="D1804">
        <v>7.5999999999999998E-2</v>
      </c>
      <c r="E1804">
        <v>5.0668882587620395E-13</v>
      </c>
      <c r="F1804">
        <v>3</v>
      </c>
      <c r="G1804" t="s">
        <v>4172</v>
      </c>
      <c r="H1804" t="s">
        <v>4173</v>
      </c>
      <c r="I1804" t="str">
        <f>HYPERLINK("https://zfin.org/ZDB-GENE-030729-18")</f>
        <v>https://zfin.org/ZDB-GENE-030729-18</v>
      </c>
      <c r="J1804" t="s">
        <v>4174</v>
      </c>
    </row>
    <row r="1805" spans="1:10" x14ac:dyDescent="0.2">
      <c r="A1805">
        <v>3.7537932727920002E-17</v>
      </c>
      <c r="B1805">
        <v>0.42946033401825201</v>
      </c>
      <c r="C1805">
        <v>0.371</v>
      </c>
      <c r="D1805">
        <v>0.11600000000000001</v>
      </c>
      <c r="E1805">
        <v>5.2170218905263198E-13</v>
      </c>
      <c r="F1805">
        <v>3</v>
      </c>
      <c r="G1805" t="s">
        <v>1656</v>
      </c>
      <c r="H1805" t="s">
        <v>1657</v>
      </c>
      <c r="I1805" t="str">
        <f>HYPERLINK("https://zfin.org/ZDB-GENE-040718-89")</f>
        <v>https://zfin.org/ZDB-GENE-040718-89</v>
      </c>
      <c r="J1805" t="s">
        <v>1658</v>
      </c>
    </row>
    <row r="1806" spans="1:10" x14ac:dyDescent="0.2">
      <c r="A1806">
        <v>3.8115991060323897E-17</v>
      </c>
      <c r="B1806">
        <v>0.30897958532173497</v>
      </c>
      <c r="C1806">
        <v>0.20499999999999999</v>
      </c>
      <c r="D1806">
        <v>4.1000000000000002E-2</v>
      </c>
      <c r="E1806">
        <v>5.2973604375638203E-13</v>
      </c>
      <c r="F1806">
        <v>3</v>
      </c>
      <c r="G1806" t="s">
        <v>4175</v>
      </c>
      <c r="H1806" t="s">
        <v>4176</v>
      </c>
      <c r="I1806" t="str">
        <f>HYPERLINK("https://zfin.org/ZDB-GENE-030131-5723")</f>
        <v>https://zfin.org/ZDB-GENE-030131-5723</v>
      </c>
      <c r="J1806" t="s">
        <v>4177</v>
      </c>
    </row>
    <row r="1807" spans="1:10" x14ac:dyDescent="0.2">
      <c r="A1807">
        <v>5.9032497081706901E-17</v>
      </c>
      <c r="B1807">
        <v>0.42864991612772801</v>
      </c>
      <c r="C1807">
        <v>0.49199999999999999</v>
      </c>
      <c r="D1807">
        <v>0.17899999999999999</v>
      </c>
      <c r="E1807">
        <v>8.2043364444156202E-13</v>
      </c>
      <c r="F1807">
        <v>3</v>
      </c>
      <c r="G1807" t="s">
        <v>4178</v>
      </c>
      <c r="H1807" t="s">
        <v>4179</v>
      </c>
      <c r="I1807" t="str">
        <f>HYPERLINK("https://zfin.org/ZDB-GENE-030131-445")</f>
        <v>https://zfin.org/ZDB-GENE-030131-445</v>
      </c>
      <c r="J1807" t="s">
        <v>4180</v>
      </c>
    </row>
    <row r="1808" spans="1:10" x14ac:dyDescent="0.2">
      <c r="A1808">
        <v>6.4951998146235394E-17</v>
      </c>
      <c r="B1808">
        <v>-1.09579149207117</v>
      </c>
      <c r="C1808">
        <v>0.106</v>
      </c>
      <c r="D1808">
        <v>0.46600000000000003</v>
      </c>
      <c r="E1808">
        <v>9.0270287023637997E-13</v>
      </c>
      <c r="F1808">
        <v>3</v>
      </c>
      <c r="G1808" t="s">
        <v>2322</v>
      </c>
      <c r="H1808" t="s">
        <v>2323</v>
      </c>
      <c r="I1808" t="str">
        <f>HYPERLINK("https://zfin.org/ZDB-GENE-040426-1362")</f>
        <v>https://zfin.org/ZDB-GENE-040426-1362</v>
      </c>
      <c r="J1808" t="s">
        <v>2324</v>
      </c>
    </row>
    <row r="1809" spans="1:10" x14ac:dyDescent="0.2">
      <c r="A1809">
        <v>7.5027788860387303E-17</v>
      </c>
      <c r="B1809">
        <v>0.41633176348774198</v>
      </c>
      <c r="C1809">
        <v>0.25</v>
      </c>
      <c r="D1809">
        <v>0.06</v>
      </c>
      <c r="E1809">
        <v>1.04273620958166E-12</v>
      </c>
      <c r="F1809">
        <v>3</v>
      </c>
      <c r="G1809" t="s">
        <v>1546</v>
      </c>
      <c r="H1809" t="s">
        <v>1547</v>
      </c>
      <c r="I1809" t="str">
        <f>HYPERLINK("https://zfin.org/ZDB-GENE-040426-1446")</f>
        <v>https://zfin.org/ZDB-GENE-040426-1446</v>
      </c>
      <c r="J1809" t="s">
        <v>1548</v>
      </c>
    </row>
    <row r="1810" spans="1:10" x14ac:dyDescent="0.2">
      <c r="A1810">
        <v>7.5719757734247397E-17</v>
      </c>
      <c r="B1810">
        <v>-1.3555666426864399</v>
      </c>
      <c r="C1810">
        <v>0.57599999999999996</v>
      </c>
      <c r="D1810">
        <v>0.745</v>
      </c>
      <c r="E1810">
        <v>1.0523531929905699E-12</v>
      </c>
      <c r="F1810">
        <v>3</v>
      </c>
      <c r="G1810" t="s">
        <v>2015</v>
      </c>
      <c r="H1810" t="s">
        <v>2016</v>
      </c>
      <c r="I1810" t="str">
        <f>HYPERLINK("https://zfin.org/ZDB-GENE-030131-12")</f>
        <v>https://zfin.org/ZDB-GENE-030131-12</v>
      </c>
      <c r="J1810" t="s">
        <v>2017</v>
      </c>
    </row>
    <row r="1811" spans="1:10" x14ac:dyDescent="0.2">
      <c r="A1811">
        <v>8.4486132761180394E-17</v>
      </c>
      <c r="B1811">
        <v>0.36286282749452697</v>
      </c>
      <c r="C1811">
        <v>0.33300000000000002</v>
      </c>
      <c r="D1811">
        <v>9.7000000000000003E-2</v>
      </c>
      <c r="E1811">
        <v>1.1741882731148799E-12</v>
      </c>
      <c r="F1811">
        <v>3</v>
      </c>
      <c r="G1811" t="s">
        <v>4181</v>
      </c>
      <c r="H1811" t="s">
        <v>4182</v>
      </c>
      <c r="I1811" t="str">
        <f>HYPERLINK("https://zfin.org/ZDB-GENE-040625-174")</f>
        <v>https://zfin.org/ZDB-GENE-040625-174</v>
      </c>
      <c r="J1811" t="s">
        <v>4183</v>
      </c>
    </row>
    <row r="1812" spans="1:10" x14ac:dyDescent="0.2">
      <c r="A1812">
        <v>8.56526502616377E-17</v>
      </c>
      <c r="B1812">
        <v>0.51019230648636604</v>
      </c>
      <c r="C1812">
        <v>0.92400000000000004</v>
      </c>
      <c r="D1812">
        <v>0.59899999999999998</v>
      </c>
      <c r="E1812">
        <v>1.1904005333362399E-12</v>
      </c>
      <c r="F1812">
        <v>3</v>
      </c>
      <c r="G1812" t="s">
        <v>1964</v>
      </c>
      <c r="H1812" t="s">
        <v>1965</v>
      </c>
      <c r="I1812" t="str">
        <f>HYPERLINK("https://zfin.org/ZDB-GENE-040426-2534")</f>
        <v>https://zfin.org/ZDB-GENE-040426-2534</v>
      </c>
      <c r="J1812" t="s">
        <v>1966</v>
      </c>
    </row>
    <row r="1813" spans="1:10" x14ac:dyDescent="0.2">
      <c r="A1813">
        <v>8.6288001655670101E-17</v>
      </c>
      <c r="B1813">
        <v>-2.02610730818125</v>
      </c>
      <c r="C1813">
        <v>0.84799999999999998</v>
      </c>
      <c r="D1813">
        <v>0.89300000000000002</v>
      </c>
      <c r="E1813">
        <v>1.1992306470105001E-12</v>
      </c>
      <c r="F1813">
        <v>3</v>
      </c>
      <c r="G1813" t="s">
        <v>2259</v>
      </c>
      <c r="H1813" t="s">
        <v>2260</v>
      </c>
      <c r="I1813" t="str">
        <f>HYPERLINK("https://zfin.org/ZDB-GENE-121214-193")</f>
        <v>https://zfin.org/ZDB-GENE-121214-193</v>
      </c>
      <c r="J1813" t="s">
        <v>2261</v>
      </c>
    </row>
    <row r="1814" spans="1:10" x14ac:dyDescent="0.2">
      <c r="A1814">
        <v>8.7924005615497702E-17</v>
      </c>
      <c r="B1814">
        <v>0.32638097362507101</v>
      </c>
      <c r="C1814">
        <v>0.99199999999999999</v>
      </c>
      <c r="D1814">
        <v>0.96299999999999997</v>
      </c>
      <c r="E1814">
        <v>1.22196783004419E-12</v>
      </c>
      <c r="F1814">
        <v>3</v>
      </c>
      <c r="G1814" t="s">
        <v>2885</v>
      </c>
      <c r="H1814" t="s">
        <v>2886</v>
      </c>
      <c r="I1814" t="str">
        <f>HYPERLINK("https://zfin.org/ZDB-GENE-000629-1")</f>
        <v>https://zfin.org/ZDB-GENE-000629-1</v>
      </c>
      <c r="J1814" t="s">
        <v>2887</v>
      </c>
    </row>
    <row r="1815" spans="1:10" x14ac:dyDescent="0.2">
      <c r="A1815">
        <v>8.9387137797097695E-17</v>
      </c>
      <c r="B1815">
        <v>0.47811891303882098</v>
      </c>
      <c r="C1815">
        <v>0.318</v>
      </c>
      <c r="D1815">
        <v>9.2999999999999999E-2</v>
      </c>
      <c r="E1815">
        <v>1.2423024411040599E-12</v>
      </c>
      <c r="F1815">
        <v>3</v>
      </c>
      <c r="G1815" t="s">
        <v>4184</v>
      </c>
      <c r="H1815" t="s">
        <v>4185</v>
      </c>
      <c r="I1815" t="str">
        <f>HYPERLINK("https://zfin.org/ZDB-GENE-030131-2220")</f>
        <v>https://zfin.org/ZDB-GENE-030131-2220</v>
      </c>
      <c r="J1815" t="s">
        <v>4186</v>
      </c>
    </row>
    <row r="1816" spans="1:10" x14ac:dyDescent="0.2">
      <c r="A1816">
        <v>9.2695048889318197E-17</v>
      </c>
      <c r="B1816">
        <v>0.31392484452369701</v>
      </c>
      <c r="C1816">
        <v>1</v>
      </c>
      <c r="D1816">
        <v>0.97099999999999997</v>
      </c>
      <c r="E1816">
        <v>1.2882757894637399E-12</v>
      </c>
      <c r="F1816">
        <v>3</v>
      </c>
      <c r="G1816" t="s">
        <v>1818</v>
      </c>
      <c r="H1816" t="s">
        <v>1819</v>
      </c>
      <c r="I1816" t="str">
        <f>HYPERLINK("https://zfin.org/ZDB-GENE-040625-52")</f>
        <v>https://zfin.org/ZDB-GENE-040625-52</v>
      </c>
      <c r="J1816" t="s">
        <v>1820</v>
      </c>
    </row>
    <row r="1817" spans="1:10" x14ac:dyDescent="0.2">
      <c r="A1817">
        <v>1.03439941778175E-16</v>
      </c>
      <c r="B1817">
        <v>0.40706751668860802</v>
      </c>
      <c r="C1817">
        <v>0.52300000000000002</v>
      </c>
      <c r="D1817">
        <v>0.19800000000000001</v>
      </c>
      <c r="E1817">
        <v>1.43760831083308E-12</v>
      </c>
      <c r="F1817">
        <v>3</v>
      </c>
      <c r="G1817" t="s">
        <v>4187</v>
      </c>
      <c r="H1817" t="s">
        <v>4188</v>
      </c>
      <c r="I1817" t="str">
        <f>HYPERLINK("https://zfin.org/ZDB-GENE-050417-344")</f>
        <v>https://zfin.org/ZDB-GENE-050417-344</v>
      </c>
      <c r="J1817" t="s">
        <v>4189</v>
      </c>
    </row>
    <row r="1818" spans="1:10" x14ac:dyDescent="0.2">
      <c r="A1818">
        <v>1.04369216785036E-16</v>
      </c>
      <c r="B1818">
        <v>0.31640023359402297</v>
      </c>
      <c r="C1818">
        <v>0.99199999999999999</v>
      </c>
      <c r="D1818">
        <v>0.97199999999999998</v>
      </c>
      <c r="E1818">
        <v>1.4505233748784201E-12</v>
      </c>
      <c r="F1818">
        <v>3</v>
      </c>
      <c r="G1818" t="s">
        <v>2072</v>
      </c>
      <c r="H1818" t="s">
        <v>2073</v>
      </c>
      <c r="I1818" t="str">
        <f>HYPERLINK("https://zfin.org/ZDB-GENE-040801-8")</f>
        <v>https://zfin.org/ZDB-GENE-040801-8</v>
      </c>
      <c r="J1818" t="s">
        <v>2074</v>
      </c>
    </row>
    <row r="1819" spans="1:10" x14ac:dyDescent="0.2">
      <c r="A1819">
        <v>1.10141890034815E-16</v>
      </c>
      <c r="B1819">
        <v>0.40344035877840301</v>
      </c>
      <c r="C1819">
        <v>0.16700000000000001</v>
      </c>
      <c r="D1819">
        <v>3.1E-2</v>
      </c>
      <c r="E1819">
        <v>1.5307519877038601E-12</v>
      </c>
      <c r="F1819">
        <v>3</v>
      </c>
      <c r="G1819" t="s">
        <v>291</v>
      </c>
      <c r="H1819" t="s">
        <v>292</v>
      </c>
      <c r="I1819" t="str">
        <f>HYPERLINK("https://zfin.org/ZDB-GENE-060929-1170")</f>
        <v>https://zfin.org/ZDB-GENE-060929-1170</v>
      </c>
      <c r="J1819" t="s">
        <v>293</v>
      </c>
    </row>
    <row r="1820" spans="1:10" x14ac:dyDescent="0.2">
      <c r="A1820">
        <v>1.1165946597778801E-16</v>
      </c>
      <c r="B1820">
        <v>0.50524117349345499</v>
      </c>
      <c r="C1820">
        <v>0.59799999999999998</v>
      </c>
      <c r="D1820">
        <v>0.255</v>
      </c>
      <c r="E1820">
        <v>1.5518432581592999E-12</v>
      </c>
      <c r="F1820">
        <v>3</v>
      </c>
      <c r="G1820" t="s">
        <v>1206</v>
      </c>
      <c r="H1820" t="s">
        <v>1207</v>
      </c>
      <c r="I1820" t="str">
        <f>HYPERLINK("https://zfin.org/ZDB-GENE-030826-21")</f>
        <v>https://zfin.org/ZDB-GENE-030826-21</v>
      </c>
      <c r="J1820" t="s">
        <v>1208</v>
      </c>
    </row>
    <row r="1821" spans="1:10" x14ac:dyDescent="0.2">
      <c r="A1821">
        <v>1.19882311051417E-16</v>
      </c>
      <c r="B1821">
        <v>0.37416450597619499</v>
      </c>
      <c r="C1821">
        <v>0.30299999999999999</v>
      </c>
      <c r="D1821">
        <v>8.3000000000000004E-2</v>
      </c>
      <c r="E1821">
        <v>1.6661243589925901E-12</v>
      </c>
      <c r="F1821">
        <v>3</v>
      </c>
      <c r="G1821" t="s">
        <v>4190</v>
      </c>
      <c r="H1821" t="s">
        <v>4191</v>
      </c>
      <c r="I1821" t="str">
        <f>HYPERLINK("https://zfin.org/ZDB-GENE-030131-5228")</f>
        <v>https://zfin.org/ZDB-GENE-030131-5228</v>
      </c>
      <c r="J1821" t="s">
        <v>4192</v>
      </c>
    </row>
    <row r="1822" spans="1:10" x14ac:dyDescent="0.2">
      <c r="A1822">
        <v>1.2445874216192699E-16</v>
      </c>
      <c r="B1822">
        <v>0.49562615769130303</v>
      </c>
      <c r="C1822">
        <v>0.24199999999999999</v>
      </c>
      <c r="D1822">
        <v>5.8000000000000003E-2</v>
      </c>
      <c r="E1822">
        <v>1.72972759856646E-12</v>
      </c>
      <c r="F1822">
        <v>3</v>
      </c>
      <c r="G1822" t="s">
        <v>363</v>
      </c>
      <c r="H1822" t="s">
        <v>364</v>
      </c>
      <c r="I1822" t="str">
        <f>HYPERLINK("https://zfin.org/ZDB-GENE-140106-61")</f>
        <v>https://zfin.org/ZDB-GENE-140106-61</v>
      </c>
      <c r="J1822" t="s">
        <v>365</v>
      </c>
    </row>
    <row r="1823" spans="1:10" x14ac:dyDescent="0.2">
      <c r="A1823">
        <v>1.4452563048674599E-16</v>
      </c>
      <c r="B1823">
        <v>0.55370093332894499</v>
      </c>
      <c r="C1823">
        <v>0.81799999999999995</v>
      </c>
      <c r="D1823">
        <v>0.47</v>
      </c>
      <c r="E1823">
        <v>2.0086172125047999E-12</v>
      </c>
      <c r="F1823">
        <v>3</v>
      </c>
      <c r="G1823" t="s">
        <v>3231</v>
      </c>
      <c r="H1823" t="s">
        <v>3232</v>
      </c>
      <c r="I1823" t="str">
        <f>HYPERLINK("https://zfin.org/ZDB-GENE-030131-5219")</f>
        <v>https://zfin.org/ZDB-GENE-030131-5219</v>
      </c>
      <c r="J1823" t="s">
        <v>3233</v>
      </c>
    </row>
    <row r="1824" spans="1:10" x14ac:dyDescent="0.2">
      <c r="A1824">
        <v>1.4608174430687999E-16</v>
      </c>
      <c r="B1824">
        <v>0.49926554929045402</v>
      </c>
      <c r="C1824">
        <v>0.90200000000000002</v>
      </c>
      <c r="D1824">
        <v>0.61499999999999999</v>
      </c>
      <c r="E1824">
        <v>2.03024408237702E-12</v>
      </c>
      <c r="F1824">
        <v>3</v>
      </c>
      <c r="G1824" t="s">
        <v>2819</v>
      </c>
      <c r="H1824" t="s">
        <v>2820</v>
      </c>
      <c r="I1824" t="str">
        <f>HYPERLINK("https://zfin.org/ZDB-GENE-031113-14")</f>
        <v>https://zfin.org/ZDB-GENE-031113-14</v>
      </c>
      <c r="J1824" t="s">
        <v>2821</v>
      </c>
    </row>
    <row r="1825" spans="1:10" x14ac:dyDescent="0.2">
      <c r="A1825">
        <v>1.54820913954007E-16</v>
      </c>
      <c r="B1825">
        <v>0.514380945024565</v>
      </c>
      <c r="C1825">
        <v>0.53</v>
      </c>
      <c r="D1825">
        <v>0.216</v>
      </c>
      <c r="E1825">
        <v>2.15170106213279E-12</v>
      </c>
      <c r="F1825">
        <v>3</v>
      </c>
      <c r="G1825" t="s">
        <v>4193</v>
      </c>
      <c r="H1825" t="s">
        <v>4194</v>
      </c>
      <c r="I1825" t="str">
        <f>HYPERLINK("https://zfin.org/ZDB-GENE-040426-2707")</f>
        <v>https://zfin.org/ZDB-GENE-040426-2707</v>
      </c>
      <c r="J1825" t="s">
        <v>4195</v>
      </c>
    </row>
    <row r="1826" spans="1:10" x14ac:dyDescent="0.2">
      <c r="A1826">
        <v>1.7217096825134001E-16</v>
      </c>
      <c r="B1826">
        <v>0.62121306309456104</v>
      </c>
      <c r="C1826">
        <v>0.20499999999999999</v>
      </c>
      <c r="D1826">
        <v>4.4999999999999998E-2</v>
      </c>
      <c r="E1826">
        <v>2.3928321167571299E-12</v>
      </c>
      <c r="F1826">
        <v>3</v>
      </c>
      <c r="G1826" t="s">
        <v>36</v>
      </c>
      <c r="H1826" t="s">
        <v>37</v>
      </c>
      <c r="I1826" t="str">
        <f>HYPERLINK("https://zfin.org/ZDB-GENE-040426-1687")</f>
        <v>https://zfin.org/ZDB-GENE-040426-1687</v>
      </c>
      <c r="J1826" t="s">
        <v>38</v>
      </c>
    </row>
    <row r="1827" spans="1:10" x14ac:dyDescent="0.2">
      <c r="A1827">
        <v>1.7424347968249099E-16</v>
      </c>
      <c r="B1827">
        <v>0.50655826097255396</v>
      </c>
      <c r="C1827">
        <v>0.61399999999999999</v>
      </c>
      <c r="D1827">
        <v>0.27100000000000002</v>
      </c>
      <c r="E1827">
        <v>2.4216358806272598E-12</v>
      </c>
      <c r="F1827">
        <v>3</v>
      </c>
      <c r="G1827" t="s">
        <v>4196</v>
      </c>
      <c r="H1827" t="s">
        <v>4197</v>
      </c>
      <c r="I1827" t="str">
        <f>HYPERLINK("https://zfin.org/ZDB-GENE-030131-9164")</f>
        <v>https://zfin.org/ZDB-GENE-030131-9164</v>
      </c>
      <c r="J1827" t="s">
        <v>4198</v>
      </c>
    </row>
    <row r="1828" spans="1:10" x14ac:dyDescent="0.2">
      <c r="A1828">
        <v>2.0967094553031701E-16</v>
      </c>
      <c r="B1828">
        <v>0.56466863045862803</v>
      </c>
      <c r="C1828">
        <v>0.74199999999999999</v>
      </c>
      <c r="D1828">
        <v>0.41</v>
      </c>
      <c r="E1828">
        <v>2.9140068009803502E-12</v>
      </c>
      <c r="F1828">
        <v>3</v>
      </c>
      <c r="G1828" t="s">
        <v>4199</v>
      </c>
      <c r="H1828" t="s">
        <v>4200</v>
      </c>
      <c r="I1828" t="str">
        <f>HYPERLINK("https://zfin.org/ZDB-GENE-081104-272")</f>
        <v>https://zfin.org/ZDB-GENE-081104-272</v>
      </c>
      <c r="J1828" t="s">
        <v>4201</v>
      </c>
    </row>
    <row r="1829" spans="1:10" x14ac:dyDescent="0.2">
      <c r="A1829">
        <v>2.27417558038381E-16</v>
      </c>
      <c r="B1829">
        <v>0.45158556186457499</v>
      </c>
      <c r="C1829">
        <v>0.95499999999999996</v>
      </c>
      <c r="D1829">
        <v>0.78600000000000003</v>
      </c>
      <c r="E1829">
        <v>3.16064922161742E-12</v>
      </c>
      <c r="F1829">
        <v>3</v>
      </c>
      <c r="G1829" t="s">
        <v>1680</v>
      </c>
      <c r="H1829" t="s">
        <v>1681</v>
      </c>
      <c r="I1829" t="str">
        <f>HYPERLINK("https://zfin.org/ZDB-GENE-110411-22")</f>
        <v>https://zfin.org/ZDB-GENE-110411-22</v>
      </c>
      <c r="J1829" t="s">
        <v>1682</v>
      </c>
    </row>
    <row r="1830" spans="1:10" x14ac:dyDescent="0.2">
      <c r="A1830">
        <v>2.2813205468419102E-16</v>
      </c>
      <c r="B1830">
        <v>0.33976360490146701</v>
      </c>
      <c r="C1830">
        <v>0.25</v>
      </c>
      <c r="D1830">
        <v>6.0999999999999999E-2</v>
      </c>
      <c r="E1830">
        <v>3.1705792960008899E-12</v>
      </c>
      <c r="F1830">
        <v>3</v>
      </c>
      <c r="G1830" t="s">
        <v>4202</v>
      </c>
      <c r="H1830" t="s">
        <v>4203</v>
      </c>
      <c r="I1830" t="str">
        <f>HYPERLINK("https://zfin.org/ZDB-GENE-070912-182")</f>
        <v>https://zfin.org/ZDB-GENE-070912-182</v>
      </c>
      <c r="J1830" t="s">
        <v>4204</v>
      </c>
    </row>
    <row r="1831" spans="1:10" x14ac:dyDescent="0.2">
      <c r="A1831">
        <v>2.3128716439650501E-16</v>
      </c>
      <c r="B1831">
        <v>0.378036255553099</v>
      </c>
      <c r="C1831">
        <v>0.28000000000000003</v>
      </c>
      <c r="D1831">
        <v>7.5999999999999998E-2</v>
      </c>
      <c r="E1831">
        <v>3.21442901078263E-12</v>
      </c>
      <c r="F1831">
        <v>3</v>
      </c>
      <c r="G1831" t="s">
        <v>1791</v>
      </c>
      <c r="H1831" t="s">
        <v>1792</v>
      </c>
      <c r="I1831" t="str">
        <f>HYPERLINK("https://zfin.org/ZDB-GENE-060929-180")</f>
        <v>https://zfin.org/ZDB-GENE-060929-180</v>
      </c>
      <c r="J1831" t="s">
        <v>1793</v>
      </c>
    </row>
    <row r="1832" spans="1:10" x14ac:dyDescent="0.2">
      <c r="A1832">
        <v>2.6732132183462998E-16</v>
      </c>
      <c r="B1832">
        <v>-1.09461982217151</v>
      </c>
      <c r="C1832">
        <v>0.59099999999999997</v>
      </c>
      <c r="D1832">
        <v>0.749</v>
      </c>
      <c r="E1832">
        <v>3.7152317308576899E-12</v>
      </c>
      <c r="F1832">
        <v>3</v>
      </c>
      <c r="G1832" t="s">
        <v>2232</v>
      </c>
      <c r="H1832" t="s">
        <v>2233</v>
      </c>
      <c r="I1832" t="str">
        <f>HYPERLINK("https://zfin.org/ZDB-GENE-030131-8575")</f>
        <v>https://zfin.org/ZDB-GENE-030131-8575</v>
      </c>
      <c r="J1832" t="s">
        <v>2234</v>
      </c>
    </row>
    <row r="1833" spans="1:10" x14ac:dyDescent="0.2">
      <c r="A1833">
        <v>2.8053738739393701E-16</v>
      </c>
      <c r="B1833">
        <v>0.28946629628855403</v>
      </c>
      <c r="C1833">
        <v>0.17399999999999999</v>
      </c>
      <c r="D1833">
        <v>3.3000000000000002E-2</v>
      </c>
      <c r="E1833">
        <v>3.8989086100009399E-12</v>
      </c>
      <c r="F1833">
        <v>3</v>
      </c>
      <c r="G1833" t="s">
        <v>1230</v>
      </c>
      <c r="H1833" t="s">
        <v>1231</v>
      </c>
      <c r="I1833" t="str">
        <f>HYPERLINK("https://zfin.org/ZDB-GENE-040614-3")</f>
        <v>https://zfin.org/ZDB-GENE-040614-3</v>
      </c>
      <c r="J1833" t="s">
        <v>1232</v>
      </c>
    </row>
    <row r="1834" spans="1:10" x14ac:dyDescent="0.2">
      <c r="A1834">
        <v>2.9752652533104401E-16</v>
      </c>
      <c r="B1834">
        <v>0.282207290555753</v>
      </c>
      <c r="C1834">
        <v>0.114</v>
      </c>
      <c r="D1834">
        <v>1.4999999999999999E-2</v>
      </c>
      <c r="E1834">
        <v>4.1350236490508397E-12</v>
      </c>
      <c r="F1834">
        <v>3</v>
      </c>
      <c r="G1834" t="s">
        <v>4205</v>
      </c>
      <c r="H1834" t="s">
        <v>4206</v>
      </c>
      <c r="I1834" t="str">
        <f>HYPERLINK("https://zfin.org/ZDB-GENE-030822-1")</f>
        <v>https://zfin.org/ZDB-GENE-030822-1</v>
      </c>
      <c r="J1834" t="s">
        <v>4207</v>
      </c>
    </row>
    <row r="1835" spans="1:10" x14ac:dyDescent="0.2">
      <c r="A1835">
        <v>3.0202208495278701E-16</v>
      </c>
      <c r="B1835">
        <v>0.45400705711728101</v>
      </c>
      <c r="C1835">
        <v>0.47699999999999998</v>
      </c>
      <c r="D1835">
        <v>0.17499999999999999</v>
      </c>
      <c r="E1835">
        <v>4.1975029366738404E-12</v>
      </c>
      <c r="F1835">
        <v>3</v>
      </c>
      <c r="G1835" t="s">
        <v>2075</v>
      </c>
      <c r="H1835" t="s">
        <v>2076</v>
      </c>
      <c r="I1835" t="str">
        <f>HYPERLINK("https://zfin.org/ZDB-GENE-041010-201")</f>
        <v>https://zfin.org/ZDB-GENE-041010-201</v>
      </c>
      <c r="J1835" t="s">
        <v>2077</v>
      </c>
    </row>
    <row r="1836" spans="1:10" x14ac:dyDescent="0.2">
      <c r="A1836">
        <v>3.15315413821039E-16</v>
      </c>
      <c r="B1836">
        <v>0.427310540519801</v>
      </c>
      <c r="C1836">
        <v>0.371</v>
      </c>
      <c r="D1836">
        <v>0.11899999999999999</v>
      </c>
      <c r="E1836">
        <v>4.3822536212848103E-12</v>
      </c>
      <c r="F1836">
        <v>3</v>
      </c>
      <c r="G1836" t="s">
        <v>4208</v>
      </c>
      <c r="H1836" t="s">
        <v>4209</v>
      </c>
      <c r="I1836" t="str">
        <f>HYPERLINK("https://zfin.org/ZDB-GENE-040426-905")</f>
        <v>https://zfin.org/ZDB-GENE-040426-905</v>
      </c>
      <c r="J1836" t="s">
        <v>4210</v>
      </c>
    </row>
    <row r="1837" spans="1:10" x14ac:dyDescent="0.2">
      <c r="A1837">
        <v>3.2637587048097598E-16</v>
      </c>
      <c r="B1837">
        <v>0.25509073587461101</v>
      </c>
      <c r="C1837">
        <v>0.14399999999999999</v>
      </c>
      <c r="D1837">
        <v>2.3E-2</v>
      </c>
      <c r="E1837">
        <v>4.5359718479446096E-12</v>
      </c>
      <c r="F1837">
        <v>3</v>
      </c>
      <c r="G1837" t="s">
        <v>4211</v>
      </c>
      <c r="H1837" t="s">
        <v>4212</v>
      </c>
      <c r="I1837" t="str">
        <f>HYPERLINK("https://zfin.org/ZDB-GENE-030131-4837")</f>
        <v>https://zfin.org/ZDB-GENE-030131-4837</v>
      </c>
      <c r="J1837" t="s">
        <v>4213</v>
      </c>
    </row>
    <row r="1838" spans="1:10" x14ac:dyDescent="0.2">
      <c r="A1838">
        <v>3.33089688060106E-16</v>
      </c>
      <c r="B1838">
        <v>-1.1511240403055101</v>
      </c>
      <c r="C1838">
        <v>0.16700000000000001</v>
      </c>
      <c r="D1838">
        <v>0.505</v>
      </c>
      <c r="E1838">
        <v>4.62928048465935E-12</v>
      </c>
      <c r="F1838">
        <v>3</v>
      </c>
      <c r="G1838" t="s">
        <v>2289</v>
      </c>
      <c r="H1838" t="s">
        <v>2290</v>
      </c>
      <c r="I1838" t="str">
        <f>HYPERLINK("https://zfin.org/ZDB-GENE-030131-4678")</f>
        <v>https://zfin.org/ZDB-GENE-030131-4678</v>
      </c>
      <c r="J1838" t="s">
        <v>2291</v>
      </c>
    </row>
    <row r="1839" spans="1:10" x14ac:dyDescent="0.2">
      <c r="A1839">
        <v>3.3380827900022698E-16</v>
      </c>
      <c r="B1839">
        <v>0.49102505068548302</v>
      </c>
      <c r="C1839">
        <v>0.46200000000000002</v>
      </c>
      <c r="D1839">
        <v>0.17100000000000001</v>
      </c>
      <c r="E1839">
        <v>4.6392674615451602E-12</v>
      </c>
      <c r="F1839">
        <v>3</v>
      </c>
      <c r="G1839" t="s">
        <v>1872</v>
      </c>
      <c r="H1839" t="s">
        <v>1873</v>
      </c>
      <c r="I1839" t="str">
        <f>HYPERLINK("https://zfin.org/ZDB-GENE-081105-65")</f>
        <v>https://zfin.org/ZDB-GENE-081105-65</v>
      </c>
      <c r="J1839" t="s">
        <v>1874</v>
      </c>
    </row>
    <row r="1840" spans="1:10" x14ac:dyDescent="0.2">
      <c r="A1840">
        <v>3.7240456023566398E-16</v>
      </c>
      <c r="B1840">
        <v>0.493774007041342</v>
      </c>
      <c r="C1840">
        <v>0.91700000000000004</v>
      </c>
      <c r="D1840">
        <v>0.68400000000000005</v>
      </c>
      <c r="E1840">
        <v>5.1756785781552603E-12</v>
      </c>
      <c r="F1840">
        <v>3</v>
      </c>
      <c r="G1840" t="s">
        <v>4214</v>
      </c>
      <c r="H1840" t="s">
        <v>4215</v>
      </c>
      <c r="I1840" t="str">
        <f>HYPERLINK("https://zfin.org/ZDB-GENE-030131-925")</f>
        <v>https://zfin.org/ZDB-GENE-030131-925</v>
      </c>
      <c r="J1840" t="s">
        <v>4216</v>
      </c>
    </row>
    <row r="1841" spans="1:10" x14ac:dyDescent="0.2">
      <c r="A1841">
        <v>3.8979332831153998E-16</v>
      </c>
      <c r="B1841">
        <v>0.267972865528254</v>
      </c>
      <c r="C1841">
        <v>1</v>
      </c>
      <c r="D1841">
        <v>0.999</v>
      </c>
      <c r="E1841">
        <v>5.4173476768737899E-12</v>
      </c>
      <c r="F1841">
        <v>3</v>
      </c>
      <c r="G1841" t="s">
        <v>1498</v>
      </c>
      <c r="H1841" t="s">
        <v>1499</v>
      </c>
      <c r="I1841" t="str">
        <f>HYPERLINK("https://zfin.org/ZDB-GENE-030131-2022")</f>
        <v>https://zfin.org/ZDB-GENE-030131-2022</v>
      </c>
      <c r="J1841" t="s">
        <v>1500</v>
      </c>
    </row>
    <row r="1842" spans="1:10" x14ac:dyDescent="0.2">
      <c r="A1842">
        <v>3.98336621258735E-16</v>
      </c>
      <c r="B1842">
        <v>0.330396365133453</v>
      </c>
      <c r="C1842">
        <v>1</v>
      </c>
      <c r="D1842">
        <v>0.97199999999999998</v>
      </c>
      <c r="E1842">
        <v>5.5360823622539002E-12</v>
      </c>
      <c r="F1842">
        <v>3</v>
      </c>
      <c r="G1842" t="s">
        <v>2490</v>
      </c>
      <c r="H1842" t="s">
        <v>2491</v>
      </c>
      <c r="I1842" t="str">
        <f>HYPERLINK("https://zfin.org/ZDB-GENE-990415-92")</f>
        <v>https://zfin.org/ZDB-GENE-990415-92</v>
      </c>
      <c r="J1842" t="s">
        <v>2492</v>
      </c>
    </row>
    <row r="1843" spans="1:10" x14ac:dyDescent="0.2">
      <c r="A1843">
        <v>4.1787506460939399E-16</v>
      </c>
      <c r="B1843">
        <v>-1.31299993714922</v>
      </c>
      <c r="C1843">
        <v>0.189</v>
      </c>
      <c r="D1843">
        <v>0.505</v>
      </c>
      <c r="E1843">
        <v>5.8076276479413496E-12</v>
      </c>
      <c r="F1843">
        <v>3</v>
      </c>
      <c r="G1843" t="s">
        <v>2262</v>
      </c>
      <c r="H1843" t="s">
        <v>2263</v>
      </c>
      <c r="I1843" t="str">
        <f>HYPERLINK("https://zfin.org/ZDB-GENE-030131-2159")</f>
        <v>https://zfin.org/ZDB-GENE-030131-2159</v>
      </c>
      <c r="J1843" t="s">
        <v>2264</v>
      </c>
    </row>
    <row r="1844" spans="1:10" x14ac:dyDescent="0.2">
      <c r="A1844">
        <v>4.5307418122304099E-16</v>
      </c>
      <c r="B1844">
        <v>0.50009964077532298</v>
      </c>
      <c r="C1844">
        <v>0.67400000000000004</v>
      </c>
      <c r="D1844">
        <v>0.314</v>
      </c>
      <c r="E1844">
        <v>6.2968249706378197E-12</v>
      </c>
      <c r="F1844">
        <v>3</v>
      </c>
      <c r="G1844" t="s">
        <v>4217</v>
      </c>
      <c r="H1844" t="s">
        <v>4218</v>
      </c>
      <c r="I1844" t="str">
        <f>HYPERLINK("https://zfin.org/ZDB-GENE-990415-152")</f>
        <v>https://zfin.org/ZDB-GENE-990415-152</v>
      </c>
      <c r="J1844" t="s">
        <v>4219</v>
      </c>
    </row>
    <row r="1845" spans="1:10" x14ac:dyDescent="0.2">
      <c r="A1845">
        <v>4.53099497742725E-16</v>
      </c>
      <c r="B1845">
        <v>0.53114953443490598</v>
      </c>
      <c r="C1845">
        <v>0.66700000000000004</v>
      </c>
      <c r="D1845">
        <v>0.307</v>
      </c>
      <c r="E1845">
        <v>6.2971768196284004E-12</v>
      </c>
      <c r="F1845">
        <v>3</v>
      </c>
      <c r="G1845" t="s">
        <v>1543</v>
      </c>
      <c r="H1845" t="s">
        <v>1544</v>
      </c>
      <c r="I1845" t="str">
        <f>HYPERLINK("https://zfin.org/ZDB-GENE-050320-132")</f>
        <v>https://zfin.org/ZDB-GENE-050320-132</v>
      </c>
      <c r="J1845" t="s">
        <v>1545</v>
      </c>
    </row>
    <row r="1846" spans="1:10" x14ac:dyDescent="0.2">
      <c r="A1846">
        <v>4.5843489920337201E-16</v>
      </c>
      <c r="B1846">
        <v>0.45475204835939398</v>
      </c>
      <c r="C1846">
        <v>0.32600000000000001</v>
      </c>
      <c r="D1846">
        <v>9.9000000000000005E-2</v>
      </c>
      <c r="E1846">
        <v>6.3713282291284599E-12</v>
      </c>
      <c r="F1846">
        <v>3</v>
      </c>
      <c r="G1846" t="s">
        <v>4220</v>
      </c>
      <c r="H1846" t="s">
        <v>4221</v>
      </c>
      <c r="I1846" t="str">
        <f>HYPERLINK("https://zfin.org/ZDB-GENE-030131-2884")</f>
        <v>https://zfin.org/ZDB-GENE-030131-2884</v>
      </c>
      <c r="J1846" t="s">
        <v>4222</v>
      </c>
    </row>
    <row r="1847" spans="1:10" x14ac:dyDescent="0.2">
      <c r="A1847">
        <v>4.7237072023980099E-16</v>
      </c>
      <c r="B1847">
        <v>0.528190706459024</v>
      </c>
      <c r="C1847">
        <v>0.432</v>
      </c>
      <c r="D1847">
        <v>0.155</v>
      </c>
      <c r="E1847">
        <v>6.5650082698927602E-12</v>
      </c>
      <c r="F1847">
        <v>3</v>
      </c>
      <c r="G1847" t="s">
        <v>4223</v>
      </c>
      <c r="H1847" t="s">
        <v>4224</v>
      </c>
      <c r="I1847" t="str">
        <f>HYPERLINK("https://zfin.org/ZDB-GENE-030131-713")</f>
        <v>https://zfin.org/ZDB-GENE-030131-713</v>
      </c>
      <c r="J1847" t="s">
        <v>4225</v>
      </c>
    </row>
    <row r="1848" spans="1:10" x14ac:dyDescent="0.2">
      <c r="A1848">
        <v>5.1426904531350501E-16</v>
      </c>
      <c r="B1848">
        <v>0.48152061309701999</v>
      </c>
      <c r="C1848">
        <v>0.41699999999999998</v>
      </c>
      <c r="D1848">
        <v>0.14599999999999999</v>
      </c>
      <c r="E1848">
        <v>7.1473111917670904E-12</v>
      </c>
      <c r="F1848">
        <v>3</v>
      </c>
      <c r="G1848" t="s">
        <v>4226</v>
      </c>
      <c r="H1848" t="s">
        <v>4227</v>
      </c>
      <c r="I1848" t="str">
        <f>HYPERLINK("https://zfin.org/ZDB-GENE-030131-7828")</f>
        <v>https://zfin.org/ZDB-GENE-030131-7828</v>
      </c>
      <c r="J1848" t="s">
        <v>4228</v>
      </c>
    </row>
    <row r="1849" spans="1:10" x14ac:dyDescent="0.2">
      <c r="A1849">
        <v>5.5881862378457797E-16</v>
      </c>
      <c r="B1849">
        <v>0.42852022977114201</v>
      </c>
      <c r="C1849">
        <v>0.44700000000000001</v>
      </c>
      <c r="D1849">
        <v>0.159</v>
      </c>
      <c r="E1849">
        <v>7.7664612333580699E-12</v>
      </c>
      <c r="F1849">
        <v>3</v>
      </c>
      <c r="G1849" t="s">
        <v>4229</v>
      </c>
      <c r="H1849" t="s">
        <v>4230</v>
      </c>
      <c r="I1849" t="str">
        <f>HYPERLINK("https://zfin.org/ZDB-GENE-040426-2213")</f>
        <v>https://zfin.org/ZDB-GENE-040426-2213</v>
      </c>
      <c r="J1849" t="s">
        <v>4231</v>
      </c>
    </row>
    <row r="1850" spans="1:10" x14ac:dyDescent="0.2">
      <c r="A1850">
        <v>5.7863733401106204E-16</v>
      </c>
      <c r="B1850">
        <v>0.28209178739345803</v>
      </c>
      <c r="C1850">
        <v>0.152</v>
      </c>
      <c r="D1850">
        <v>2.5999999999999999E-2</v>
      </c>
      <c r="E1850">
        <v>8.0419016680857399E-12</v>
      </c>
      <c r="F1850">
        <v>3</v>
      </c>
      <c r="G1850" t="s">
        <v>4232</v>
      </c>
      <c r="H1850" t="s">
        <v>4233</v>
      </c>
      <c r="I1850" t="str">
        <f>HYPERLINK("https://zfin.org/ZDB-GENE-050522-272")</f>
        <v>https://zfin.org/ZDB-GENE-050522-272</v>
      </c>
      <c r="J1850" t="s">
        <v>4234</v>
      </c>
    </row>
    <row r="1851" spans="1:10" x14ac:dyDescent="0.2">
      <c r="A1851">
        <v>6.1700466720501396E-16</v>
      </c>
      <c r="B1851">
        <v>0.48158609949321401</v>
      </c>
      <c r="C1851">
        <v>0.58299999999999996</v>
      </c>
      <c r="D1851">
        <v>0.252</v>
      </c>
      <c r="E1851">
        <v>8.5751308648152908E-12</v>
      </c>
      <c r="F1851">
        <v>3</v>
      </c>
      <c r="G1851" t="s">
        <v>4235</v>
      </c>
      <c r="H1851" t="s">
        <v>4236</v>
      </c>
      <c r="I1851" t="str">
        <f>HYPERLINK("https://zfin.org/ZDB-GENE-100922-122")</f>
        <v>https://zfin.org/ZDB-GENE-100922-122</v>
      </c>
      <c r="J1851" t="s">
        <v>4237</v>
      </c>
    </row>
    <row r="1852" spans="1:10" x14ac:dyDescent="0.2">
      <c r="A1852">
        <v>6.5768115750163901E-16</v>
      </c>
      <c r="B1852">
        <v>0.45269122676361001</v>
      </c>
      <c r="C1852">
        <v>0.93200000000000005</v>
      </c>
      <c r="D1852">
        <v>0.63200000000000001</v>
      </c>
      <c r="E1852">
        <v>9.1404527269577805E-12</v>
      </c>
      <c r="F1852">
        <v>3</v>
      </c>
      <c r="G1852" t="s">
        <v>1323</v>
      </c>
      <c r="H1852" t="s">
        <v>1324</v>
      </c>
      <c r="I1852" t="str">
        <f>HYPERLINK("https://zfin.org/ZDB-GENE-030131-7715")</f>
        <v>https://zfin.org/ZDB-GENE-030131-7715</v>
      </c>
      <c r="J1852" t="s">
        <v>1325</v>
      </c>
    </row>
    <row r="1853" spans="1:10" x14ac:dyDescent="0.2">
      <c r="A1853">
        <v>6.6617035296079404E-16</v>
      </c>
      <c r="B1853">
        <v>0.45832069950547599</v>
      </c>
      <c r="C1853">
        <v>0.45500000000000002</v>
      </c>
      <c r="D1853">
        <v>0.16800000000000001</v>
      </c>
      <c r="E1853">
        <v>9.2584355654491107E-12</v>
      </c>
      <c r="F1853">
        <v>3</v>
      </c>
      <c r="G1853" t="s">
        <v>4238</v>
      </c>
      <c r="H1853" t="s">
        <v>4239</v>
      </c>
      <c r="I1853" t="str">
        <f>HYPERLINK("https://zfin.org/ZDB-GENE-040426-1745")</f>
        <v>https://zfin.org/ZDB-GENE-040426-1745</v>
      </c>
      <c r="J1853" t="s">
        <v>4240</v>
      </c>
    </row>
    <row r="1854" spans="1:10" x14ac:dyDescent="0.2">
      <c r="A1854">
        <v>6.7695285588678296E-16</v>
      </c>
      <c r="B1854">
        <v>0.38132224464392001</v>
      </c>
      <c r="C1854">
        <v>0.34100000000000003</v>
      </c>
      <c r="D1854">
        <v>0.104</v>
      </c>
      <c r="E1854">
        <v>9.40829079111451E-12</v>
      </c>
      <c r="F1854">
        <v>3</v>
      </c>
      <c r="G1854" t="s">
        <v>4241</v>
      </c>
      <c r="H1854" t="s">
        <v>4242</v>
      </c>
      <c r="I1854" t="str">
        <f>HYPERLINK("https://zfin.org/ZDB-GENE-040426-1386")</f>
        <v>https://zfin.org/ZDB-GENE-040426-1386</v>
      </c>
      <c r="J1854" t="s">
        <v>4243</v>
      </c>
    </row>
    <row r="1855" spans="1:10" x14ac:dyDescent="0.2">
      <c r="A1855">
        <v>7.0829437374115304E-16</v>
      </c>
      <c r="B1855">
        <v>0.29741916349858399</v>
      </c>
      <c r="C1855">
        <v>0.14399999999999999</v>
      </c>
      <c r="D1855">
        <v>2.4E-2</v>
      </c>
      <c r="E1855">
        <v>9.8438752062545496E-12</v>
      </c>
      <c r="F1855">
        <v>3</v>
      </c>
      <c r="G1855" t="s">
        <v>4244</v>
      </c>
      <c r="H1855" t="s">
        <v>4245</v>
      </c>
      <c r="I1855" t="str">
        <f>HYPERLINK("https://zfin.org/ZDB-GENE-040426-1198")</f>
        <v>https://zfin.org/ZDB-GENE-040426-1198</v>
      </c>
      <c r="J1855" t="s">
        <v>4246</v>
      </c>
    </row>
    <row r="1856" spans="1:10" x14ac:dyDescent="0.2">
      <c r="A1856">
        <v>7.1344387630026395E-16</v>
      </c>
      <c r="B1856">
        <v>0.47295290767887899</v>
      </c>
      <c r="C1856">
        <v>0.56799999999999995</v>
      </c>
      <c r="D1856">
        <v>0.23499999999999999</v>
      </c>
      <c r="E1856">
        <v>9.91544299282107E-12</v>
      </c>
      <c r="F1856">
        <v>3</v>
      </c>
      <c r="G1856" t="s">
        <v>3429</v>
      </c>
      <c r="H1856" t="s">
        <v>3430</v>
      </c>
      <c r="I1856" t="str">
        <f>HYPERLINK("https://zfin.org/ZDB-GENE-061215-102")</f>
        <v>https://zfin.org/ZDB-GENE-061215-102</v>
      </c>
      <c r="J1856" t="s">
        <v>3431</v>
      </c>
    </row>
    <row r="1857" spans="1:10" x14ac:dyDescent="0.2">
      <c r="A1857">
        <v>7.2390070371847195E-16</v>
      </c>
      <c r="B1857">
        <v>0.27530904014874802</v>
      </c>
      <c r="C1857">
        <v>1</v>
      </c>
      <c r="D1857">
        <v>0.98499999999999999</v>
      </c>
      <c r="E1857">
        <v>1.00607719802793E-11</v>
      </c>
      <c r="F1857">
        <v>3</v>
      </c>
      <c r="G1857" t="s">
        <v>2193</v>
      </c>
      <c r="H1857" t="s">
        <v>2194</v>
      </c>
      <c r="I1857" t="str">
        <f>HYPERLINK("https://zfin.org/ZDB-GENE-040426-1718")</f>
        <v>https://zfin.org/ZDB-GENE-040426-1718</v>
      </c>
      <c r="J1857" t="s">
        <v>2195</v>
      </c>
    </row>
    <row r="1858" spans="1:10" x14ac:dyDescent="0.2">
      <c r="A1858">
        <v>7.3789471222377196E-16</v>
      </c>
      <c r="B1858">
        <v>0.409912758919944</v>
      </c>
      <c r="C1858">
        <v>0.33300000000000002</v>
      </c>
      <c r="D1858">
        <v>0.10100000000000001</v>
      </c>
      <c r="E1858">
        <v>1.0255260710486E-11</v>
      </c>
      <c r="F1858">
        <v>3</v>
      </c>
      <c r="G1858" t="s">
        <v>4247</v>
      </c>
      <c r="H1858" t="s">
        <v>4248</v>
      </c>
      <c r="I1858" t="str">
        <f>HYPERLINK("https://zfin.org/ZDB-GENE-021125-1")</f>
        <v>https://zfin.org/ZDB-GENE-021125-1</v>
      </c>
      <c r="J1858" t="s">
        <v>4249</v>
      </c>
    </row>
    <row r="1859" spans="1:10" x14ac:dyDescent="0.2">
      <c r="A1859">
        <v>7.4322245049215299E-16</v>
      </c>
      <c r="B1859">
        <v>0.38106466834372699</v>
      </c>
      <c r="C1859">
        <v>0.35599999999999998</v>
      </c>
      <c r="D1859">
        <v>0.111</v>
      </c>
      <c r="E1859">
        <v>1.0329305616939899E-11</v>
      </c>
      <c r="F1859">
        <v>3</v>
      </c>
      <c r="G1859" t="s">
        <v>4250</v>
      </c>
      <c r="H1859" t="s">
        <v>4251</v>
      </c>
      <c r="I1859" t="str">
        <f>HYPERLINK("https://zfin.org/ZDB-GENE-040912-152")</f>
        <v>https://zfin.org/ZDB-GENE-040912-152</v>
      </c>
      <c r="J1859" t="s">
        <v>4252</v>
      </c>
    </row>
    <row r="1860" spans="1:10" x14ac:dyDescent="0.2">
      <c r="A1860">
        <v>7.4723944038063001E-16</v>
      </c>
      <c r="B1860">
        <v>-1.05007908931282</v>
      </c>
      <c r="C1860">
        <v>0.22</v>
      </c>
      <c r="D1860">
        <v>0.53600000000000003</v>
      </c>
      <c r="E1860">
        <v>1.038513374241E-11</v>
      </c>
      <c r="F1860">
        <v>3</v>
      </c>
      <c r="G1860" t="s">
        <v>2334</v>
      </c>
      <c r="H1860" t="s">
        <v>2335</v>
      </c>
      <c r="I1860" t="str">
        <f>HYPERLINK("https://zfin.org/ZDB-GENE-030131-6757")</f>
        <v>https://zfin.org/ZDB-GENE-030131-6757</v>
      </c>
      <c r="J1860" t="s">
        <v>2336</v>
      </c>
    </row>
    <row r="1861" spans="1:10" x14ac:dyDescent="0.2">
      <c r="A1861">
        <v>7.4953435942650402E-16</v>
      </c>
      <c r="B1861">
        <v>0.53271885938171204</v>
      </c>
      <c r="C1861">
        <v>0.33300000000000002</v>
      </c>
      <c r="D1861">
        <v>0.105</v>
      </c>
      <c r="E1861">
        <v>1.0417028527309601E-11</v>
      </c>
      <c r="F1861">
        <v>3</v>
      </c>
      <c r="G1861" t="s">
        <v>4253</v>
      </c>
      <c r="H1861" t="s">
        <v>4254</v>
      </c>
      <c r="I1861" t="str">
        <f>HYPERLINK("https://zfin.org/ZDB-GENE-040426-1669")</f>
        <v>https://zfin.org/ZDB-GENE-040426-1669</v>
      </c>
      <c r="J1861" t="s">
        <v>4255</v>
      </c>
    </row>
    <row r="1862" spans="1:10" x14ac:dyDescent="0.2">
      <c r="A1862">
        <v>8.0116035578363305E-16</v>
      </c>
      <c r="B1862">
        <v>0.42253538281103498</v>
      </c>
      <c r="C1862">
        <v>1</v>
      </c>
      <c r="D1862">
        <v>0.94499999999999995</v>
      </c>
      <c r="E1862">
        <v>1.11345266246809E-11</v>
      </c>
      <c r="F1862">
        <v>3</v>
      </c>
      <c r="G1862" t="s">
        <v>2057</v>
      </c>
      <c r="H1862" t="s">
        <v>2058</v>
      </c>
      <c r="I1862" t="str">
        <f>HYPERLINK("https://zfin.org/ZDB-GENE-011205-18")</f>
        <v>https://zfin.org/ZDB-GENE-011205-18</v>
      </c>
      <c r="J1862" t="s">
        <v>2059</v>
      </c>
    </row>
    <row r="1863" spans="1:10" x14ac:dyDescent="0.2">
      <c r="A1863">
        <v>8.5441893465563902E-16</v>
      </c>
      <c r="B1863">
        <v>0.48395347180070297</v>
      </c>
      <c r="C1863">
        <v>0.83299999999999996</v>
      </c>
      <c r="D1863">
        <v>0.497</v>
      </c>
      <c r="E1863">
        <v>1.18747143538441E-11</v>
      </c>
      <c r="F1863">
        <v>3</v>
      </c>
      <c r="G1863" t="s">
        <v>4256</v>
      </c>
      <c r="H1863" t="s">
        <v>4257</v>
      </c>
      <c r="I1863" t="str">
        <f>HYPERLINK("https://zfin.org/ZDB-GENE-040720-3")</f>
        <v>https://zfin.org/ZDB-GENE-040720-3</v>
      </c>
      <c r="J1863" t="s">
        <v>4258</v>
      </c>
    </row>
    <row r="1864" spans="1:10" x14ac:dyDescent="0.2">
      <c r="A1864">
        <v>8.6266280284592605E-16</v>
      </c>
      <c r="B1864">
        <v>-1.0631597891489499</v>
      </c>
      <c r="C1864">
        <v>0.371</v>
      </c>
      <c r="D1864">
        <v>0.59599999999999997</v>
      </c>
      <c r="E1864">
        <v>1.1989287633952701E-11</v>
      </c>
      <c r="F1864">
        <v>3</v>
      </c>
      <c r="G1864" t="s">
        <v>2253</v>
      </c>
      <c r="H1864" t="s">
        <v>2254</v>
      </c>
      <c r="I1864" t="str">
        <f>HYPERLINK("https://zfin.org/ZDB-GENE-030131-9914")</f>
        <v>https://zfin.org/ZDB-GENE-030131-9914</v>
      </c>
      <c r="J1864" t="s">
        <v>2255</v>
      </c>
    </row>
    <row r="1865" spans="1:10" x14ac:dyDescent="0.2">
      <c r="A1865">
        <v>1.0599563790926299E-15</v>
      </c>
      <c r="B1865">
        <v>0.36298786230548602</v>
      </c>
      <c r="C1865">
        <v>0.30299999999999999</v>
      </c>
      <c r="D1865">
        <v>8.6999999999999994E-2</v>
      </c>
      <c r="E1865">
        <v>1.4731273756629401E-11</v>
      </c>
      <c r="F1865">
        <v>3</v>
      </c>
      <c r="G1865" t="s">
        <v>4259</v>
      </c>
      <c r="H1865" t="s">
        <v>4260</v>
      </c>
      <c r="I1865" t="str">
        <f>HYPERLINK("https://zfin.org/ZDB-GENE-041010-86")</f>
        <v>https://zfin.org/ZDB-GENE-041010-86</v>
      </c>
      <c r="J1865" t="s">
        <v>4261</v>
      </c>
    </row>
    <row r="1866" spans="1:10" x14ac:dyDescent="0.2">
      <c r="A1866">
        <v>1.1775684157602801E-15</v>
      </c>
      <c r="B1866">
        <v>0.51860010831908099</v>
      </c>
      <c r="C1866">
        <v>0.88600000000000001</v>
      </c>
      <c r="D1866">
        <v>0.55800000000000005</v>
      </c>
      <c r="E1866">
        <v>1.6365845842236401E-11</v>
      </c>
      <c r="F1866">
        <v>3</v>
      </c>
      <c r="G1866" t="s">
        <v>1417</v>
      </c>
      <c r="H1866" t="s">
        <v>1418</v>
      </c>
      <c r="I1866" t="str">
        <f>HYPERLINK("https://zfin.org/ZDB-GENE-050522-133")</f>
        <v>https://zfin.org/ZDB-GENE-050522-133</v>
      </c>
      <c r="J1866" t="s">
        <v>1419</v>
      </c>
    </row>
    <row r="1867" spans="1:10" x14ac:dyDescent="0.2">
      <c r="A1867">
        <v>1.20239410686143E-15</v>
      </c>
      <c r="B1867">
        <v>-1.3186127040223501</v>
      </c>
      <c r="C1867">
        <v>0.152</v>
      </c>
      <c r="D1867">
        <v>0.47199999999999998</v>
      </c>
      <c r="E1867">
        <v>1.6710873297160101E-11</v>
      </c>
      <c r="F1867">
        <v>3</v>
      </c>
      <c r="G1867" t="s">
        <v>2508</v>
      </c>
      <c r="H1867" t="s">
        <v>2509</v>
      </c>
      <c r="I1867" t="str">
        <f>HYPERLINK("https://zfin.org/ZDB-GENE-050320-109")</f>
        <v>https://zfin.org/ZDB-GENE-050320-109</v>
      </c>
      <c r="J1867" t="s">
        <v>2510</v>
      </c>
    </row>
    <row r="1868" spans="1:10" x14ac:dyDescent="0.2">
      <c r="A1868">
        <v>1.2216590032831099E-15</v>
      </c>
      <c r="B1868">
        <v>-0.99061196204527602</v>
      </c>
      <c r="C1868">
        <v>0.20499999999999999</v>
      </c>
      <c r="D1868">
        <v>0.52100000000000002</v>
      </c>
      <c r="E1868">
        <v>1.69786168276287E-11</v>
      </c>
      <c r="F1868">
        <v>3</v>
      </c>
      <c r="G1868" t="s">
        <v>2745</v>
      </c>
      <c r="H1868" t="s">
        <v>2746</v>
      </c>
      <c r="I1868" t="str">
        <f>HYPERLINK("https://zfin.org/ZDB-GENE-041210-191")</f>
        <v>https://zfin.org/ZDB-GENE-041210-191</v>
      </c>
      <c r="J1868" t="s">
        <v>2747</v>
      </c>
    </row>
    <row r="1869" spans="1:10" x14ac:dyDescent="0.2">
      <c r="A1869">
        <v>1.2324483581939E-15</v>
      </c>
      <c r="B1869">
        <v>0.37320021801334202</v>
      </c>
      <c r="C1869">
        <v>0.28799999999999998</v>
      </c>
      <c r="D1869">
        <v>0.08</v>
      </c>
      <c r="E1869">
        <v>1.7128567282178801E-11</v>
      </c>
      <c r="F1869">
        <v>3</v>
      </c>
      <c r="G1869" t="s">
        <v>4262</v>
      </c>
      <c r="H1869" t="s">
        <v>4263</v>
      </c>
      <c r="I1869" t="str">
        <f>HYPERLINK("https://zfin.org/ZDB-GENE-030815-1")</f>
        <v>https://zfin.org/ZDB-GENE-030815-1</v>
      </c>
      <c r="J1869" t="s">
        <v>4264</v>
      </c>
    </row>
    <row r="1870" spans="1:10" x14ac:dyDescent="0.2">
      <c r="A1870">
        <v>1.2375497343774801E-15</v>
      </c>
      <c r="B1870">
        <v>0.50008389920599805</v>
      </c>
      <c r="C1870">
        <v>0.88600000000000001</v>
      </c>
      <c r="D1870">
        <v>0.57799999999999996</v>
      </c>
      <c r="E1870">
        <v>1.71994662083782E-11</v>
      </c>
      <c r="F1870">
        <v>3</v>
      </c>
      <c r="G1870" t="s">
        <v>4265</v>
      </c>
      <c r="H1870" t="s">
        <v>4266</v>
      </c>
      <c r="I1870" t="str">
        <f>HYPERLINK("https://zfin.org/ZDB-GENE-990415-57")</f>
        <v>https://zfin.org/ZDB-GENE-990415-57</v>
      </c>
      <c r="J1870" t="s">
        <v>4267</v>
      </c>
    </row>
    <row r="1871" spans="1:10" x14ac:dyDescent="0.2">
      <c r="A1871">
        <v>1.3372371517085301E-15</v>
      </c>
      <c r="B1871">
        <v>0.37649708688856198</v>
      </c>
      <c r="C1871">
        <v>0.96199999999999997</v>
      </c>
      <c r="D1871">
        <v>0.88700000000000001</v>
      </c>
      <c r="E1871">
        <v>1.85849219344452E-11</v>
      </c>
      <c r="F1871">
        <v>3</v>
      </c>
      <c r="G1871" t="s">
        <v>2102</v>
      </c>
      <c r="H1871" t="s">
        <v>2103</v>
      </c>
      <c r="I1871" t="str">
        <f>HYPERLINK("https://zfin.org/ZDB-GENE-030131-7275")</f>
        <v>https://zfin.org/ZDB-GENE-030131-7275</v>
      </c>
      <c r="J1871" t="s">
        <v>2104</v>
      </c>
    </row>
    <row r="1872" spans="1:10" x14ac:dyDescent="0.2">
      <c r="A1872">
        <v>1.3714892119035299E-15</v>
      </c>
      <c r="B1872">
        <v>0.52564256183850699</v>
      </c>
      <c r="C1872">
        <v>0.85599999999999998</v>
      </c>
      <c r="D1872">
        <v>0.51500000000000001</v>
      </c>
      <c r="E1872">
        <v>1.9060957067035302E-11</v>
      </c>
      <c r="F1872">
        <v>3</v>
      </c>
      <c r="G1872" t="s">
        <v>1215</v>
      </c>
      <c r="H1872" t="s">
        <v>1216</v>
      </c>
      <c r="I1872" t="str">
        <f>HYPERLINK("https://zfin.org/ZDB-GENE-071015-3")</f>
        <v>https://zfin.org/ZDB-GENE-071015-3</v>
      </c>
      <c r="J1872" t="s">
        <v>1217</v>
      </c>
    </row>
    <row r="1873" spans="1:10" x14ac:dyDescent="0.2">
      <c r="A1873">
        <v>1.38173830940915E-15</v>
      </c>
      <c r="B1873">
        <v>0.55720242771966599</v>
      </c>
      <c r="C1873">
        <v>0.621</v>
      </c>
      <c r="D1873">
        <v>0.28599999999999998</v>
      </c>
      <c r="E1873">
        <v>1.9203399024168301E-11</v>
      </c>
      <c r="F1873">
        <v>3</v>
      </c>
      <c r="G1873" t="s">
        <v>4268</v>
      </c>
      <c r="H1873" t="s">
        <v>4269</v>
      </c>
      <c r="I1873" t="str">
        <f>HYPERLINK("https://zfin.org/ZDB-GENE-040426-2405")</f>
        <v>https://zfin.org/ZDB-GENE-040426-2405</v>
      </c>
      <c r="J1873" t="s">
        <v>4270</v>
      </c>
    </row>
    <row r="1874" spans="1:10" x14ac:dyDescent="0.2">
      <c r="A1874">
        <v>1.68225891083632E-15</v>
      </c>
      <c r="B1874">
        <v>0.26723494384763302</v>
      </c>
      <c r="C1874">
        <v>0.106</v>
      </c>
      <c r="D1874">
        <v>1.4E-2</v>
      </c>
      <c r="E1874">
        <v>2.3380034342803099E-11</v>
      </c>
      <c r="F1874">
        <v>3</v>
      </c>
      <c r="G1874" t="s">
        <v>852</v>
      </c>
      <c r="H1874" t="s">
        <v>853</v>
      </c>
      <c r="I1874" t="str">
        <f>HYPERLINK("https://zfin.org/ZDB-GENE-040910-5")</f>
        <v>https://zfin.org/ZDB-GENE-040910-5</v>
      </c>
      <c r="J1874" t="s">
        <v>854</v>
      </c>
    </row>
    <row r="1875" spans="1:10" x14ac:dyDescent="0.2">
      <c r="A1875">
        <v>1.9216427315329099E-15</v>
      </c>
      <c r="B1875">
        <v>0.36092019682428</v>
      </c>
      <c r="C1875">
        <v>0.17399999999999999</v>
      </c>
      <c r="D1875">
        <v>3.5000000000000003E-2</v>
      </c>
      <c r="E1875">
        <v>2.6706990682844399E-11</v>
      </c>
      <c r="F1875">
        <v>3</v>
      </c>
      <c r="G1875" t="s">
        <v>1358</v>
      </c>
      <c r="H1875" t="s">
        <v>1359</v>
      </c>
      <c r="I1875" t="str">
        <f>HYPERLINK("https://zfin.org/ZDB-GENE-080225-36")</f>
        <v>https://zfin.org/ZDB-GENE-080225-36</v>
      </c>
      <c r="J1875" t="s">
        <v>1360</v>
      </c>
    </row>
    <row r="1876" spans="1:10" x14ac:dyDescent="0.2">
      <c r="A1876">
        <v>2.1173913158421599E-15</v>
      </c>
      <c r="B1876">
        <v>0.41025885919897798</v>
      </c>
      <c r="C1876">
        <v>0.35599999999999998</v>
      </c>
      <c r="D1876">
        <v>0.11600000000000001</v>
      </c>
      <c r="E1876">
        <v>2.9427504507574298E-11</v>
      </c>
      <c r="F1876">
        <v>3</v>
      </c>
      <c r="G1876" t="s">
        <v>4271</v>
      </c>
      <c r="H1876" t="s">
        <v>4272</v>
      </c>
      <c r="I1876" t="str">
        <f>HYPERLINK("https://zfin.org/ZDB-GENE-041010-106")</f>
        <v>https://zfin.org/ZDB-GENE-041010-106</v>
      </c>
      <c r="J1876" t="s">
        <v>4273</v>
      </c>
    </row>
    <row r="1877" spans="1:10" x14ac:dyDescent="0.2">
      <c r="A1877">
        <v>2.17846210990813E-15</v>
      </c>
      <c r="B1877">
        <v>0.457587723208224</v>
      </c>
      <c r="C1877">
        <v>0.47699999999999998</v>
      </c>
      <c r="D1877">
        <v>0.185</v>
      </c>
      <c r="E1877">
        <v>3.0276266403503298E-11</v>
      </c>
      <c r="F1877">
        <v>3</v>
      </c>
      <c r="G1877" t="s">
        <v>4274</v>
      </c>
      <c r="H1877" t="s">
        <v>4275</v>
      </c>
      <c r="I1877" t="str">
        <f>HYPERLINK("https://zfin.org/ZDB-GENE-041114-82")</f>
        <v>https://zfin.org/ZDB-GENE-041114-82</v>
      </c>
      <c r="J1877" t="s">
        <v>4276</v>
      </c>
    </row>
    <row r="1878" spans="1:10" x14ac:dyDescent="0.2">
      <c r="A1878">
        <v>2.2854406501356799E-15</v>
      </c>
      <c r="B1878">
        <v>0.44506034351449802</v>
      </c>
      <c r="C1878">
        <v>0.48499999999999999</v>
      </c>
      <c r="D1878">
        <v>0.19</v>
      </c>
      <c r="E1878">
        <v>3.1763054155585701E-11</v>
      </c>
      <c r="F1878">
        <v>3</v>
      </c>
      <c r="G1878" t="s">
        <v>4277</v>
      </c>
      <c r="H1878" t="s">
        <v>4278</v>
      </c>
      <c r="I1878" t="str">
        <f>HYPERLINK("https://zfin.org/ZDB-GENE-030131-587")</f>
        <v>https://zfin.org/ZDB-GENE-030131-587</v>
      </c>
      <c r="J1878" t="s">
        <v>4279</v>
      </c>
    </row>
    <row r="1879" spans="1:10" x14ac:dyDescent="0.2">
      <c r="A1879">
        <v>2.59320349387804E-15</v>
      </c>
      <c r="B1879">
        <v>0.27375456516712898</v>
      </c>
      <c r="C1879">
        <v>0.121</v>
      </c>
      <c r="D1879">
        <v>1.7999999999999999E-2</v>
      </c>
      <c r="E1879">
        <v>3.6040342157917002E-11</v>
      </c>
      <c r="F1879">
        <v>3</v>
      </c>
      <c r="G1879" t="s">
        <v>417</v>
      </c>
      <c r="H1879" t="s">
        <v>418</v>
      </c>
      <c r="I1879" t="str">
        <f>HYPERLINK("https://zfin.org/ZDB-GENE-060503-508")</f>
        <v>https://zfin.org/ZDB-GENE-060503-508</v>
      </c>
      <c r="J1879" t="s">
        <v>419</v>
      </c>
    </row>
    <row r="1880" spans="1:10" x14ac:dyDescent="0.2">
      <c r="A1880">
        <v>2.7303941150651199E-15</v>
      </c>
      <c r="B1880">
        <v>0.41147758786495098</v>
      </c>
      <c r="C1880">
        <v>0.36399999999999999</v>
      </c>
      <c r="D1880">
        <v>0.11899999999999999</v>
      </c>
      <c r="E1880">
        <v>3.7947017411175003E-11</v>
      </c>
      <c r="F1880">
        <v>3</v>
      </c>
      <c r="G1880" t="s">
        <v>4280</v>
      </c>
      <c r="H1880" t="s">
        <v>4281</v>
      </c>
      <c r="I1880" t="str">
        <f>HYPERLINK("https://zfin.org/ZDB-GENE-031118-2")</f>
        <v>https://zfin.org/ZDB-GENE-031118-2</v>
      </c>
      <c r="J1880" t="s">
        <v>4282</v>
      </c>
    </row>
    <row r="1881" spans="1:10" x14ac:dyDescent="0.2">
      <c r="A1881">
        <v>3.15090602017091E-15</v>
      </c>
      <c r="B1881">
        <v>0.376262766071632</v>
      </c>
      <c r="C1881">
        <v>0.33300000000000002</v>
      </c>
      <c r="D1881">
        <v>0.104</v>
      </c>
      <c r="E1881">
        <v>4.3791291868335298E-11</v>
      </c>
      <c r="F1881">
        <v>3</v>
      </c>
      <c r="G1881" t="s">
        <v>4283</v>
      </c>
      <c r="H1881" t="s">
        <v>4284</v>
      </c>
      <c r="I1881" t="str">
        <f>HYPERLINK("https://zfin.org/ZDB-GENE-050522-494")</f>
        <v>https://zfin.org/ZDB-GENE-050522-494</v>
      </c>
      <c r="J1881" t="s">
        <v>4285</v>
      </c>
    </row>
    <row r="1882" spans="1:10" x14ac:dyDescent="0.2">
      <c r="A1882">
        <v>3.3924577472912101E-15</v>
      </c>
      <c r="B1882">
        <v>0.452904611065371</v>
      </c>
      <c r="C1882">
        <v>0.44700000000000001</v>
      </c>
      <c r="D1882">
        <v>0.16900000000000001</v>
      </c>
      <c r="E1882">
        <v>4.71483777718533E-11</v>
      </c>
      <c r="F1882">
        <v>3</v>
      </c>
      <c r="G1882" t="s">
        <v>4286</v>
      </c>
      <c r="H1882" t="s">
        <v>4287</v>
      </c>
      <c r="I1882" t="str">
        <f>HYPERLINK("https://zfin.org/ZDB-GENE-040625-104")</f>
        <v>https://zfin.org/ZDB-GENE-040625-104</v>
      </c>
      <c r="J1882" t="s">
        <v>4288</v>
      </c>
    </row>
    <row r="1883" spans="1:10" x14ac:dyDescent="0.2">
      <c r="A1883">
        <v>3.5059582864325199E-15</v>
      </c>
      <c r="B1883">
        <v>-1.1140263336735901</v>
      </c>
      <c r="C1883">
        <v>0.106</v>
      </c>
      <c r="D1883">
        <v>0.436</v>
      </c>
      <c r="E1883">
        <v>4.8725808264839101E-11</v>
      </c>
      <c r="F1883">
        <v>3</v>
      </c>
      <c r="G1883" t="s">
        <v>2391</v>
      </c>
      <c r="H1883" t="s">
        <v>2392</v>
      </c>
      <c r="I1883" t="str">
        <f>HYPERLINK("https://zfin.org/ZDB-GENE-020802-2")</f>
        <v>https://zfin.org/ZDB-GENE-020802-2</v>
      </c>
      <c r="J1883" t="s">
        <v>2393</v>
      </c>
    </row>
    <row r="1884" spans="1:10" x14ac:dyDescent="0.2">
      <c r="A1884">
        <v>3.5348429075958698E-15</v>
      </c>
      <c r="B1884">
        <v>0.410826069830107</v>
      </c>
      <c r="C1884">
        <v>0.439</v>
      </c>
      <c r="D1884">
        <v>0.16</v>
      </c>
      <c r="E1884">
        <v>4.9127246729767399E-11</v>
      </c>
      <c r="F1884">
        <v>3</v>
      </c>
      <c r="G1884" t="s">
        <v>4289</v>
      </c>
      <c r="H1884" t="s">
        <v>4290</v>
      </c>
      <c r="I1884" t="str">
        <f>HYPERLINK("https://zfin.org/ZDB-GENE-050506-79")</f>
        <v>https://zfin.org/ZDB-GENE-050506-79</v>
      </c>
      <c r="J1884" t="s">
        <v>4291</v>
      </c>
    </row>
    <row r="1885" spans="1:10" x14ac:dyDescent="0.2">
      <c r="A1885">
        <v>3.62282395635038E-15</v>
      </c>
      <c r="B1885">
        <v>0.469622464377563</v>
      </c>
      <c r="C1885">
        <v>0.85599999999999998</v>
      </c>
      <c r="D1885">
        <v>0.52300000000000002</v>
      </c>
      <c r="E1885">
        <v>5.0350007345357499E-11</v>
      </c>
      <c r="F1885">
        <v>3</v>
      </c>
      <c r="G1885" t="s">
        <v>4292</v>
      </c>
      <c r="H1885" t="s">
        <v>4293</v>
      </c>
      <c r="I1885" t="str">
        <f>HYPERLINK("https://zfin.org/ZDB-GENE-050417-65")</f>
        <v>https://zfin.org/ZDB-GENE-050417-65</v>
      </c>
      <c r="J1885" t="s">
        <v>3962</v>
      </c>
    </row>
    <row r="1886" spans="1:10" x14ac:dyDescent="0.2">
      <c r="A1886">
        <v>3.9227243601816399E-15</v>
      </c>
      <c r="B1886">
        <v>0.48685889753436401</v>
      </c>
      <c r="C1886">
        <v>0.45500000000000002</v>
      </c>
      <c r="D1886">
        <v>0.17100000000000001</v>
      </c>
      <c r="E1886">
        <v>5.4518023157804398E-11</v>
      </c>
      <c r="F1886">
        <v>3</v>
      </c>
      <c r="G1886" t="s">
        <v>4294</v>
      </c>
      <c r="H1886" t="s">
        <v>4295</v>
      </c>
      <c r="I1886" t="str">
        <f>HYPERLINK("https://zfin.org/ZDB-GENE-120214-41")</f>
        <v>https://zfin.org/ZDB-GENE-120214-41</v>
      </c>
      <c r="J1886" t="s">
        <v>4296</v>
      </c>
    </row>
    <row r="1887" spans="1:10" x14ac:dyDescent="0.2">
      <c r="A1887">
        <v>4.0319706796134998E-15</v>
      </c>
      <c r="B1887">
        <v>0.32181551176853901</v>
      </c>
      <c r="C1887">
        <v>0.19700000000000001</v>
      </c>
      <c r="D1887">
        <v>4.3999999999999997E-2</v>
      </c>
      <c r="E1887">
        <v>5.6036328505268499E-11</v>
      </c>
      <c r="F1887">
        <v>3</v>
      </c>
      <c r="G1887" t="s">
        <v>1002</v>
      </c>
      <c r="H1887" t="s">
        <v>1003</v>
      </c>
      <c r="I1887" t="str">
        <f>HYPERLINK("https://zfin.org/ZDB-GENE-040426-2294")</f>
        <v>https://zfin.org/ZDB-GENE-040426-2294</v>
      </c>
      <c r="J1887" t="s">
        <v>1004</v>
      </c>
    </row>
    <row r="1888" spans="1:10" x14ac:dyDescent="0.2">
      <c r="A1888">
        <v>4.3096304399294298E-15</v>
      </c>
      <c r="B1888">
        <v>0.372639780644973</v>
      </c>
      <c r="C1888">
        <v>0.28000000000000003</v>
      </c>
      <c r="D1888">
        <v>7.9000000000000001E-2</v>
      </c>
      <c r="E1888">
        <v>5.9895243854139199E-11</v>
      </c>
      <c r="F1888">
        <v>3</v>
      </c>
      <c r="G1888" t="s">
        <v>990</v>
      </c>
      <c r="H1888" t="s">
        <v>991</v>
      </c>
      <c r="I1888" t="str">
        <f>HYPERLINK("https://zfin.org/ZDB-GENE-041210-60")</f>
        <v>https://zfin.org/ZDB-GENE-041210-60</v>
      </c>
      <c r="J1888" t="s">
        <v>992</v>
      </c>
    </row>
    <row r="1889" spans="1:10" x14ac:dyDescent="0.2">
      <c r="A1889">
        <v>4.3594144475414002E-15</v>
      </c>
      <c r="B1889">
        <v>0.47053570436256598</v>
      </c>
      <c r="C1889">
        <v>0.69699999999999995</v>
      </c>
      <c r="D1889">
        <v>0.35499999999999998</v>
      </c>
      <c r="E1889">
        <v>6.05871419919304E-11</v>
      </c>
      <c r="F1889">
        <v>3</v>
      </c>
      <c r="G1889" t="s">
        <v>4297</v>
      </c>
      <c r="H1889" t="s">
        <v>4298</v>
      </c>
      <c r="I1889" t="str">
        <f>HYPERLINK("https://zfin.org/ZDB-GENE-040625-10")</f>
        <v>https://zfin.org/ZDB-GENE-040625-10</v>
      </c>
      <c r="J1889" t="s">
        <v>4299</v>
      </c>
    </row>
    <row r="1890" spans="1:10" x14ac:dyDescent="0.2">
      <c r="A1890">
        <v>4.74648654816951E-15</v>
      </c>
      <c r="B1890">
        <v>-1.5210406195584001</v>
      </c>
      <c r="C1890">
        <v>0.129</v>
      </c>
      <c r="D1890">
        <v>0.45200000000000001</v>
      </c>
      <c r="E1890">
        <v>6.5966670046459798E-11</v>
      </c>
      <c r="F1890">
        <v>3</v>
      </c>
      <c r="G1890" t="s">
        <v>2706</v>
      </c>
      <c r="H1890" t="s">
        <v>2707</v>
      </c>
      <c r="I1890" t="str">
        <f>HYPERLINK("https://zfin.org/ZDB-GENE-080829-12")</f>
        <v>https://zfin.org/ZDB-GENE-080829-12</v>
      </c>
      <c r="J1890" t="s">
        <v>2708</v>
      </c>
    </row>
    <row r="1891" spans="1:10" x14ac:dyDescent="0.2">
      <c r="A1891">
        <v>5.2268158000777604E-15</v>
      </c>
      <c r="B1891">
        <v>0.42552192904177399</v>
      </c>
      <c r="C1891">
        <v>0.36399999999999999</v>
      </c>
      <c r="D1891">
        <v>0.123</v>
      </c>
      <c r="E1891">
        <v>7.2642285989480701E-11</v>
      </c>
      <c r="F1891">
        <v>3</v>
      </c>
      <c r="G1891" t="s">
        <v>4300</v>
      </c>
      <c r="H1891" t="s">
        <v>4301</v>
      </c>
      <c r="I1891" t="str">
        <f>HYPERLINK("https://zfin.org/ZDB-GENE-031219-6")</f>
        <v>https://zfin.org/ZDB-GENE-031219-6</v>
      </c>
      <c r="J1891" t="s">
        <v>4302</v>
      </c>
    </row>
    <row r="1892" spans="1:10" x14ac:dyDescent="0.2">
      <c r="A1892">
        <v>5.4676070419426097E-15</v>
      </c>
      <c r="B1892">
        <v>0.34994625240101501</v>
      </c>
      <c r="C1892">
        <v>0.14399999999999999</v>
      </c>
      <c r="D1892">
        <v>2.5000000000000001E-2</v>
      </c>
      <c r="E1892">
        <v>7.5988802668918402E-11</v>
      </c>
      <c r="F1892">
        <v>3</v>
      </c>
      <c r="G1892" t="s">
        <v>585</v>
      </c>
      <c r="H1892" t="s">
        <v>586</v>
      </c>
      <c r="I1892" t="str">
        <f>HYPERLINK("https://zfin.org/ZDB-GENE-090313-271")</f>
        <v>https://zfin.org/ZDB-GENE-090313-271</v>
      </c>
      <c r="J1892" t="s">
        <v>587</v>
      </c>
    </row>
    <row r="1893" spans="1:10" x14ac:dyDescent="0.2">
      <c r="A1893">
        <v>5.6338279035873298E-15</v>
      </c>
      <c r="B1893">
        <v>0.32241868192371498</v>
      </c>
      <c r="C1893">
        <v>1</v>
      </c>
      <c r="D1893">
        <v>0.96599999999999997</v>
      </c>
      <c r="E1893">
        <v>7.8298940204056706E-11</v>
      </c>
      <c r="F1893">
        <v>3</v>
      </c>
      <c r="G1893" t="s">
        <v>2286</v>
      </c>
      <c r="H1893" t="s">
        <v>2287</v>
      </c>
      <c r="I1893" t="str">
        <f>HYPERLINK("https://zfin.org/ZDB-GENE-040622-5")</f>
        <v>https://zfin.org/ZDB-GENE-040622-5</v>
      </c>
      <c r="J1893" t="s">
        <v>2288</v>
      </c>
    </row>
    <row r="1894" spans="1:10" x14ac:dyDescent="0.2">
      <c r="A1894">
        <v>5.6373808955809203E-15</v>
      </c>
      <c r="B1894">
        <v>-0.38502209356031297</v>
      </c>
      <c r="C1894">
        <v>0.98499999999999999</v>
      </c>
      <c r="D1894">
        <v>0.995</v>
      </c>
      <c r="E1894">
        <v>7.8348319686783698E-11</v>
      </c>
      <c r="F1894">
        <v>3</v>
      </c>
      <c r="G1894" t="s">
        <v>849</v>
      </c>
      <c r="H1894" t="s">
        <v>850</v>
      </c>
      <c r="I1894" t="str">
        <f>HYPERLINK("https://zfin.org/ZDB-GENE-040426-2209")</f>
        <v>https://zfin.org/ZDB-GENE-040426-2209</v>
      </c>
      <c r="J1894" t="s">
        <v>851</v>
      </c>
    </row>
    <row r="1895" spans="1:10" x14ac:dyDescent="0.2">
      <c r="A1895">
        <v>5.7560942582339298E-15</v>
      </c>
      <c r="B1895">
        <v>0.47133666307039701</v>
      </c>
      <c r="C1895">
        <v>0.70499999999999996</v>
      </c>
      <c r="D1895">
        <v>0.35599999999999998</v>
      </c>
      <c r="E1895">
        <v>7.9998198000935194E-11</v>
      </c>
      <c r="F1895">
        <v>3</v>
      </c>
      <c r="G1895" t="s">
        <v>2000</v>
      </c>
      <c r="H1895" t="s">
        <v>2001</v>
      </c>
      <c r="I1895" t="str">
        <f>HYPERLINK("https://zfin.org/ZDB-GENE-031105-2")</f>
        <v>https://zfin.org/ZDB-GENE-031105-2</v>
      </c>
      <c r="J1895" t="s">
        <v>2002</v>
      </c>
    </row>
    <row r="1896" spans="1:10" x14ac:dyDescent="0.2">
      <c r="A1896">
        <v>5.8019829406824703E-15</v>
      </c>
      <c r="B1896">
        <v>-0.92594266611064102</v>
      </c>
      <c r="C1896">
        <v>0.13600000000000001</v>
      </c>
      <c r="D1896">
        <v>0.46400000000000002</v>
      </c>
      <c r="E1896">
        <v>8.0635958909604997E-11</v>
      </c>
      <c r="F1896">
        <v>3</v>
      </c>
      <c r="G1896" t="s">
        <v>2379</v>
      </c>
      <c r="H1896" t="s">
        <v>2380</v>
      </c>
      <c r="I1896" t="str">
        <f>HYPERLINK("https://zfin.org/ZDB-GENE-040930-3")</f>
        <v>https://zfin.org/ZDB-GENE-040930-3</v>
      </c>
      <c r="J1896" t="s">
        <v>2381</v>
      </c>
    </row>
    <row r="1897" spans="1:10" x14ac:dyDescent="0.2">
      <c r="A1897">
        <v>6.1163709388230001E-15</v>
      </c>
      <c r="B1897">
        <v>0.56061055768110302</v>
      </c>
      <c r="C1897">
        <v>0.85599999999999998</v>
      </c>
      <c r="D1897">
        <v>0.61099999999999999</v>
      </c>
      <c r="E1897">
        <v>8.5005323307762105E-11</v>
      </c>
      <c r="F1897">
        <v>3</v>
      </c>
      <c r="G1897" t="s">
        <v>4303</v>
      </c>
      <c r="H1897" t="s">
        <v>4304</v>
      </c>
      <c r="I1897" t="str">
        <f>HYPERLINK("https://zfin.org/ZDB-GENE-121214-209")</f>
        <v>https://zfin.org/ZDB-GENE-121214-209</v>
      </c>
      <c r="J1897" t="s">
        <v>4305</v>
      </c>
    </row>
    <row r="1898" spans="1:10" x14ac:dyDescent="0.2">
      <c r="A1898">
        <v>6.1470621108175997E-15</v>
      </c>
      <c r="B1898">
        <v>0.50294034610440996</v>
      </c>
      <c r="C1898">
        <v>0.56799999999999995</v>
      </c>
      <c r="D1898">
        <v>0.26300000000000001</v>
      </c>
      <c r="E1898">
        <v>8.5431869216143001E-11</v>
      </c>
      <c r="F1898">
        <v>3</v>
      </c>
      <c r="G1898" t="s">
        <v>2138</v>
      </c>
      <c r="H1898" t="s">
        <v>2139</v>
      </c>
      <c r="I1898" t="str">
        <f>HYPERLINK("https://zfin.org/ZDB-GENE-050227-18")</f>
        <v>https://zfin.org/ZDB-GENE-050227-18</v>
      </c>
      <c r="J1898" t="s">
        <v>2140</v>
      </c>
    </row>
    <row r="1899" spans="1:10" x14ac:dyDescent="0.2">
      <c r="A1899">
        <v>6.2781696888792804E-15</v>
      </c>
      <c r="B1899">
        <v>0.43215978097239799</v>
      </c>
      <c r="C1899">
        <v>0.22</v>
      </c>
      <c r="D1899">
        <v>5.3999999999999999E-2</v>
      </c>
      <c r="E1899">
        <v>8.7254002336044197E-11</v>
      </c>
      <c r="F1899">
        <v>3</v>
      </c>
      <c r="G1899" t="s">
        <v>33</v>
      </c>
      <c r="H1899" t="s">
        <v>34</v>
      </c>
      <c r="I1899" t="str">
        <f>HYPERLINK("https://zfin.org/ZDB-GENE-040718-221")</f>
        <v>https://zfin.org/ZDB-GENE-040718-221</v>
      </c>
      <c r="J1899" t="s">
        <v>35</v>
      </c>
    </row>
    <row r="1900" spans="1:10" x14ac:dyDescent="0.2">
      <c r="A1900">
        <v>6.8994597803504502E-15</v>
      </c>
      <c r="B1900">
        <v>0.398598636403103</v>
      </c>
      <c r="C1900">
        <v>0.36399999999999999</v>
      </c>
      <c r="D1900">
        <v>0.123</v>
      </c>
      <c r="E1900">
        <v>9.5888692027310595E-11</v>
      </c>
      <c r="F1900">
        <v>3</v>
      </c>
      <c r="G1900" t="s">
        <v>4306</v>
      </c>
      <c r="H1900" t="s">
        <v>4307</v>
      </c>
      <c r="I1900" t="str">
        <f>HYPERLINK("https://zfin.org/ZDB-GENE-070928-24")</f>
        <v>https://zfin.org/ZDB-GENE-070928-24</v>
      </c>
      <c r="J1900" t="s">
        <v>4308</v>
      </c>
    </row>
    <row r="1901" spans="1:10" x14ac:dyDescent="0.2">
      <c r="A1901">
        <v>7.2369963853721701E-15</v>
      </c>
      <c r="B1901">
        <v>0.32025777049044701</v>
      </c>
      <c r="C1901">
        <v>0.19700000000000001</v>
      </c>
      <c r="D1901">
        <v>4.3999999999999997E-2</v>
      </c>
      <c r="E1901">
        <v>1.00579775763902E-10</v>
      </c>
      <c r="F1901">
        <v>3</v>
      </c>
      <c r="G1901" t="s">
        <v>4309</v>
      </c>
      <c r="H1901" t="s">
        <v>4310</v>
      </c>
      <c r="I1901" t="str">
        <f>HYPERLINK("https://zfin.org/ZDB-GENE-040704-20")</f>
        <v>https://zfin.org/ZDB-GENE-040704-20</v>
      </c>
      <c r="J1901" t="s">
        <v>4311</v>
      </c>
    </row>
    <row r="1902" spans="1:10" x14ac:dyDescent="0.2">
      <c r="A1902">
        <v>8.7933258830074695E-15</v>
      </c>
      <c r="B1902">
        <v>0.40751273326656101</v>
      </c>
      <c r="C1902">
        <v>0.25800000000000001</v>
      </c>
      <c r="D1902">
        <v>7.0999999999999994E-2</v>
      </c>
      <c r="E1902">
        <v>1.2220964312203801E-10</v>
      </c>
      <c r="F1902">
        <v>3</v>
      </c>
      <c r="G1902" t="s">
        <v>4312</v>
      </c>
      <c r="H1902" t="s">
        <v>4313</v>
      </c>
      <c r="I1902" t="str">
        <f>HYPERLINK("https://zfin.org/ZDB-GENE-040426-2344")</f>
        <v>https://zfin.org/ZDB-GENE-040426-2344</v>
      </c>
      <c r="J1902" t="s">
        <v>4314</v>
      </c>
    </row>
    <row r="1903" spans="1:10" x14ac:dyDescent="0.2">
      <c r="A1903">
        <v>1.01997449456629E-14</v>
      </c>
      <c r="B1903">
        <v>0.30079176742576502</v>
      </c>
      <c r="C1903">
        <v>0.17399999999999999</v>
      </c>
      <c r="D1903">
        <v>3.5999999999999997E-2</v>
      </c>
      <c r="E1903">
        <v>1.4175605525482399E-10</v>
      </c>
      <c r="F1903">
        <v>3</v>
      </c>
      <c r="G1903" t="s">
        <v>4315</v>
      </c>
      <c r="H1903" t="s">
        <v>4316</v>
      </c>
      <c r="I1903" t="str">
        <f>HYPERLINK("https://zfin.org/ZDB-GENE-040426-1247")</f>
        <v>https://zfin.org/ZDB-GENE-040426-1247</v>
      </c>
      <c r="J1903" t="s">
        <v>4317</v>
      </c>
    </row>
    <row r="1904" spans="1:10" x14ac:dyDescent="0.2">
      <c r="A1904">
        <v>1.0452783234380599E-14</v>
      </c>
      <c r="B1904">
        <v>0.39461089851376202</v>
      </c>
      <c r="C1904">
        <v>0.20499999999999999</v>
      </c>
      <c r="D1904">
        <v>4.8000000000000001E-2</v>
      </c>
      <c r="E1904">
        <v>1.45272781391422E-10</v>
      </c>
      <c r="F1904">
        <v>3</v>
      </c>
      <c r="G1904" t="s">
        <v>4318</v>
      </c>
      <c r="H1904" t="s">
        <v>4319</v>
      </c>
      <c r="I1904" t="str">
        <f>HYPERLINK("https://zfin.org/ZDB-GENE-030131-9771")</f>
        <v>https://zfin.org/ZDB-GENE-030131-9771</v>
      </c>
      <c r="J1904" t="s">
        <v>4320</v>
      </c>
    </row>
    <row r="1905" spans="1:10" x14ac:dyDescent="0.2">
      <c r="A1905">
        <v>1.08838409130548E-14</v>
      </c>
      <c r="B1905">
        <v>-0.58518964423084596</v>
      </c>
      <c r="C1905">
        <v>0.81100000000000005</v>
      </c>
      <c r="D1905">
        <v>0.86299999999999999</v>
      </c>
      <c r="E1905">
        <v>1.51263621009636E-10</v>
      </c>
      <c r="F1905">
        <v>3</v>
      </c>
      <c r="G1905" t="s">
        <v>1644</v>
      </c>
      <c r="H1905" t="s">
        <v>1645</v>
      </c>
      <c r="I1905" t="str">
        <f>HYPERLINK("https://zfin.org/ZDB-GENE-040426-1955")</f>
        <v>https://zfin.org/ZDB-GENE-040426-1955</v>
      </c>
      <c r="J1905" t="s">
        <v>1646</v>
      </c>
    </row>
    <row r="1906" spans="1:10" x14ac:dyDescent="0.2">
      <c r="A1906">
        <v>1.1075291022951401E-14</v>
      </c>
      <c r="B1906">
        <v>0.49811566374296001</v>
      </c>
      <c r="C1906">
        <v>0.76500000000000001</v>
      </c>
      <c r="D1906">
        <v>0.436</v>
      </c>
      <c r="E1906">
        <v>1.5392439463697799E-10</v>
      </c>
      <c r="F1906">
        <v>3</v>
      </c>
      <c r="G1906" t="s">
        <v>2063</v>
      </c>
      <c r="H1906" t="s">
        <v>2064</v>
      </c>
      <c r="I1906" t="str">
        <f>HYPERLINK("https://zfin.org/ZDB-GENE-050522-377")</f>
        <v>https://zfin.org/ZDB-GENE-050522-377</v>
      </c>
      <c r="J1906" t="s">
        <v>2065</v>
      </c>
    </row>
    <row r="1907" spans="1:10" x14ac:dyDescent="0.2">
      <c r="A1907">
        <v>1.11178530640539E-14</v>
      </c>
      <c r="B1907">
        <v>0.42901650878285102</v>
      </c>
      <c r="C1907">
        <v>0.93200000000000005</v>
      </c>
      <c r="D1907">
        <v>0.69499999999999995</v>
      </c>
      <c r="E1907">
        <v>1.5451592188422099E-10</v>
      </c>
      <c r="F1907">
        <v>3</v>
      </c>
      <c r="G1907" t="s">
        <v>3139</v>
      </c>
      <c r="H1907" t="s">
        <v>3140</v>
      </c>
      <c r="I1907" t="str">
        <f>HYPERLINK("https://zfin.org/ZDB-GENE-100215-2")</f>
        <v>https://zfin.org/ZDB-GENE-100215-2</v>
      </c>
      <c r="J1907" t="s">
        <v>3141</v>
      </c>
    </row>
    <row r="1908" spans="1:10" x14ac:dyDescent="0.2">
      <c r="A1908">
        <v>1.11634102288301E-14</v>
      </c>
      <c r="B1908">
        <v>0.39777319994629801</v>
      </c>
      <c r="C1908">
        <v>0.379</v>
      </c>
      <c r="D1908">
        <v>0.13</v>
      </c>
      <c r="E1908">
        <v>1.5514907536028001E-10</v>
      </c>
      <c r="F1908">
        <v>3</v>
      </c>
      <c r="G1908" t="s">
        <v>4321</v>
      </c>
      <c r="H1908" t="s">
        <v>4322</v>
      </c>
      <c r="I1908" t="str">
        <f>HYPERLINK("https://zfin.org/ZDB-GENE-041114-71")</f>
        <v>https://zfin.org/ZDB-GENE-041114-71</v>
      </c>
      <c r="J1908" t="s">
        <v>4323</v>
      </c>
    </row>
    <row r="1909" spans="1:10" x14ac:dyDescent="0.2">
      <c r="A1909">
        <v>1.15001796915885E-14</v>
      </c>
      <c r="B1909">
        <v>0.46473371396476698</v>
      </c>
      <c r="C1909">
        <v>0.49199999999999999</v>
      </c>
      <c r="D1909">
        <v>0.19600000000000001</v>
      </c>
      <c r="E1909">
        <v>1.5982949735369699E-10</v>
      </c>
      <c r="F1909">
        <v>3</v>
      </c>
      <c r="G1909" t="s">
        <v>4324</v>
      </c>
      <c r="H1909" t="s">
        <v>4325</v>
      </c>
      <c r="I1909" t="str">
        <f>HYPERLINK("https://zfin.org/ZDB-GENE-050417-13")</f>
        <v>https://zfin.org/ZDB-GENE-050417-13</v>
      </c>
      <c r="J1909" t="s">
        <v>4326</v>
      </c>
    </row>
    <row r="1910" spans="1:10" x14ac:dyDescent="0.2">
      <c r="A1910">
        <v>1.15086415148519E-14</v>
      </c>
      <c r="B1910">
        <v>0.41707389356193802</v>
      </c>
      <c r="C1910">
        <v>0.47699999999999998</v>
      </c>
      <c r="D1910">
        <v>0.18099999999999999</v>
      </c>
      <c r="E1910">
        <v>1.5994709977341099E-10</v>
      </c>
      <c r="F1910">
        <v>3</v>
      </c>
      <c r="G1910" t="s">
        <v>4327</v>
      </c>
      <c r="H1910" t="s">
        <v>4328</v>
      </c>
      <c r="I1910" t="str">
        <f>HYPERLINK("https://zfin.org/ZDB-GENE-030131-1768")</f>
        <v>https://zfin.org/ZDB-GENE-030131-1768</v>
      </c>
      <c r="J1910" t="s">
        <v>4329</v>
      </c>
    </row>
    <row r="1911" spans="1:10" x14ac:dyDescent="0.2">
      <c r="A1911">
        <v>1.31214876657835E-14</v>
      </c>
      <c r="B1911">
        <v>0.42272483298686803</v>
      </c>
      <c r="C1911">
        <v>0.36399999999999999</v>
      </c>
      <c r="D1911">
        <v>0.124</v>
      </c>
      <c r="E1911">
        <v>1.8236243557906E-10</v>
      </c>
      <c r="F1911">
        <v>3</v>
      </c>
      <c r="G1911" t="s">
        <v>776</v>
      </c>
      <c r="H1911" t="s">
        <v>777</v>
      </c>
      <c r="I1911" t="str">
        <f>HYPERLINK("https://zfin.org/ZDB-GENE-040426-1310")</f>
        <v>https://zfin.org/ZDB-GENE-040426-1310</v>
      </c>
      <c r="J1911" t="s">
        <v>778</v>
      </c>
    </row>
    <row r="1912" spans="1:10" x14ac:dyDescent="0.2">
      <c r="A1912">
        <v>1.3324335531841399E-14</v>
      </c>
      <c r="B1912">
        <v>0.26702765586815302</v>
      </c>
      <c r="C1912">
        <v>0.129</v>
      </c>
      <c r="D1912">
        <v>2.1000000000000001E-2</v>
      </c>
      <c r="E1912">
        <v>1.85181615221531E-10</v>
      </c>
      <c r="F1912">
        <v>3</v>
      </c>
      <c r="G1912" t="s">
        <v>4330</v>
      </c>
      <c r="H1912" t="s">
        <v>4331</v>
      </c>
      <c r="I1912" t="str">
        <f>HYPERLINK("https://zfin.org/ZDB-GENE-041111-282")</f>
        <v>https://zfin.org/ZDB-GENE-041111-282</v>
      </c>
      <c r="J1912" t="s">
        <v>4332</v>
      </c>
    </row>
    <row r="1913" spans="1:10" x14ac:dyDescent="0.2">
      <c r="A1913">
        <v>1.35992369631872E-14</v>
      </c>
      <c r="B1913">
        <v>0.53154188982177097</v>
      </c>
      <c r="C1913">
        <v>0.121</v>
      </c>
      <c r="D1913">
        <v>1.9E-2</v>
      </c>
      <c r="E1913">
        <v>1.8900219531437501E-10</v>
      </c>
      <c r="F1913">
        <v>3</v>
      </c>
      <c r="G1913" t="s">
        <v>4333</v>
      </c>
      <c r="H1913" t="s">
        <v>4334</v>
      </c>
      <c r="I1913" t="str">
        <f>HYPERLINK("https://zfin.org/ZDB-GENE-030804-13")</f>
        <v>https://zfin.org/ZDB-GENE-030804-13</v>
      </c>
      <c r="J1913" t="s">
        <v>4335</v>
      </c>
    </row>
    <row r="1914" spans="1:10" x14ac:dyDescent="0.2">
      <c r="A1914">
        <v>1.39314657471566E-14</v>
      </c>
      <c r="B1914">
        <v>0.51800200363322402</v>
      </c>
      <c r="C1914">
        <v>0.56100000000000005</v>
      </c>
      <c r="D1914">
        <v>0.25</v>
      </c>
      <c r="E1914">
        <v>1.9361951095398201E-10</v>
      </c>
      <c r="F1914">
        <v>3</v>
      </c>
      <c r="G1914" t="s">
        <v>4336</v>
      </c>
      <c r="H1914" t="s">
        <v>4337</v>
      </c>
      <c r="I1914" t="str">
        <f>HYPERLINK("https://zfin.org/ZDB-GENE-040625-144")</f>
        <v>https://zfin.org/ZDB-GENE-040625-144</v>
      </c>
      <c r="J1914" t="s">
        <v>4338</v>
      </c>
    </row>
    <row r="1915" spans="1:10" x14ac:dyDescent="0.2">
      <c r="A1915">
        <v>1.40277204471048E-14</v>
      </c>
      <c r="B1915">
        <v>-1.0119848691415101</v>
      </c>
      <c r="C1915">
        <v>8.3000000000000004E-2</v>
      </c>
      <c r="D1915">
        <v>0.41399999999999998</v>
      </c>
      <c r="E1915">
        <v>1.94957258773863E-10</v>
      </c>
      <c r="F1915">
        <v>3</v>
      </c>
      <c r="G1915" t="s">
        <v>2274</v>
      </c>
      <c r="H1915" t="s">
        <v>2275</v>
      </c>
      <c r="I1915" t="str">
        <f>HYPERLINK("https://zfin.org/ZDB-GENE-041114-138")</f>
        <v>https://zfin.org/ZDB-GENE-041114-138</v>
      </c>
      <c r="J1915" t="s">
        <v>2276</v>
      </c>
    </row>
    <row r="1916" spans="1:10" x14ac:dyDescent="0.2">
      <c r="A1916">
        <v>1.4767575144771899E-14</v>
      </c>
      <c r="B1916">
        <v>0.47454226174609099</v>
      </c>
      <c r="C1916">
        <v>0.50800000000000001</v>
      </c>
      <c r="D1916">
        <v>0.21099999999999999</v>
      </c>
      <c r="E1916">
        <v>2.0523975936204101E-10</v>
      </c>
      <c r="F1916">
        <v>3</v>
      </c>
      <c r="G1916" t="s">
        <v>3169</v>
      </c>
      <c r="H1916" t="s">
        <v>3170</v>
      </c>
      <c r="I1916" t="str">
        <f>HYPERLINK("https://zfin.org/ZDB-GENE-030715-1")</f>
        <v>https://zfin.org/ZDB-GENE-030715-1</v>
      </c>
      <c r="J1916" t="s">
        <v>3171</v>
      </c>
    </row>
    <row r="1917" spans="1:10" x14ac:dyDescent="0.2">
      <c r="A1917">
        <v>1.5683172191484599E-14</v>
      </c>
      <c r="B1917">
        <v>0.46096578612443001</v>
      </c>
      <c r="C1917">
        <v>0.72</v>
      </c>
      <c r="D1917">
        <v>0.372</v>
      </c>
      <c r="E1917">
        <v>2.1796472711725299E-10</v>
      </c>
      <c r="F1917">
        <v>3</v>
      </c>
      <c r="G1917" t="s">
        <v>1263</v>
      </c>
      <c r="H1917" t="s">
        <v>1264</v>
      </c>
      <c r="I1917" t="str">
        <f>HYPERLINK("https://zfin.org/ZDB-GENE-110914-234")</f>
        <v>https://zfin.org/ZDB-GENE-110914-234</v>
      </c>
      <c r="J1917" t="s">
        <v>1265</v>
      </c>
    </row>
    <row r="1918" spans="1:10" x14ac:dyDescent="0.2">
      <c r="A1918">
        <v>1.6074642005899899E-14</v>
      </c>
      <c r="B1918">
        <v>0.50871231602482003</v>
      </c>
      <c r="C1918">
        <v>0.379</v>
      </c>
      <c r="D1918">
        <v>0.13700000000000001</v>
      </c>
      <c r="E1918">
        <v>2.23405374597997E-10</v>
      </c>
      <c r="F1918">
        <v>3</v>
      </c>
      <c r="G1918" t="s">
        <v>2208</v>
      </c>
      <c r="H1918" t="s">
        <v>2209</v>
      </c>
      <c r="I1918" t="str">
        <f>HYPERLINK("https://zfin.org/ZDB-GENE-041114-95")</f>
        <v>https://zfin.org/ZDB-GENE-041114-95</v>
      </c>
      <c r="J1918" t="s">
        <v>2210</v>
      </c>
    </row>
    <row r="1919" spans="1:10" x14ac:dyDescent="0.2">
      <c r="A1919">
        <v>1.74450044220949E-14</v>
      </c>
      <c r="B1919">
        <v>0.45412602374792599</v>
      </c>
      <c r="C1919">
        <v>0.33300000000000002</v>
      </c>
      <c r="D1919">
        <v>0.11</v>
      </c>
      <c r="E1919">
        <v>2.4245067145827502E-10</v>
      </c>
      <c r="F1919">
        <v>3</v>
      </c>
      <c r="G1919" t="s">
        <v>4339</v>
      </c>
      <c r="H1919" t="s">
        <v>4340</v>
      </c>
      <c r="I1919" t="str">
        <f>HYPERLINK("https://zfin.org/ZDB-GENE-040426-2801")</f>
        <v>https://zfin.org/ZDB-GENE-040426-2801</v>
      </c>
      <c r="J1919" t="s">
        <v>4341</v>
      </c>
    </row>
    <row r="1920" spans="1:10" x14ac:dyDescent="0.2">
      <c r="A1920">
        <v>1.76200875800854E-14</v>
      </c>
      <c r="B1920">
        <v>0.54442350914396798</v>
      </c>
      <c r="C1920">
        <v>0.39400000000000002</v>
      </c>
      <c r="D1920">
        <v>0.14299999999999999</v>
      </c>
      <c r="E1920">
        <v>2.4488397718802601E-10</v>
      </c>
      <c r="F1920">
        <v>3</v>
      </c>
      <c r="G1920" t="s">
        <v>3303</v>
      </c>
      <c r="H1920" t="s">
        <v>3304</v>
      </c>
      <c r="I1920" t="str">
        <f>HYPERLINK("https://zfin.org/ZDB-GENE-030131-8832")</f>
        <v>https://zfin.org/ZDB-GENE-030131-8832</v>
      </c>
      <c r="J1920" t="s">
        <v>3305</v>
      </c>
    </row>
    <row r="1921" spans="1:10" x14ac:dyDescent="0.2">
      <c r="A1921">
        <v>1.9517561905725201E-14</v>
      </c>
      <c r="B1921">
        <v>0.30696765659701603</v>
      </c>
      <c r="C1921">
        <v>0.25</v>
      </c>
      <c r="D1921">
        <v>6.8000000000000005E-2</v>
      </c>
      <c r="E1921">
        <v>2.7125507536576901E-10</v>
      </c>
      <c r="F1921">
        <v>3</v>
      </c>
      <c r="G1921" t="s">
        <v>799</v>
      </c>
      <c r="H1921" t="s">
        <v>800</v>
      </c>
      <c r="I1921" t="str">
        <f>HYPERLINK("https://zfin.org/ZDB-GENE-070112-2282")</f>
        <v>https://zfin.org/ZDB-GENE-070112-2282</v>
      </c>
      <c r="J1921" t="s">
        <v>801</v>
      </c>
    </row>
    <row r="1922" spans="1:10" x14ac:dyDescent="0.2">
      <c r="A1922">
        <v>2.09138526050769E-14</v>
      </c>
      <c r="B1922">
        <v>-1.04071694734048</v>
      </c>
      <c r="C1922">
        <v>0.34100000000000003</v>
      </c>
      <c r="D1922">
        <v>0.57899999999999996</v>
      </c>
      <c r="E1922">
        <v>2.9066072350535901E-10</v>
      </c>
      <c r="F1922">
        <v>3</v>
      </c>
      <c r="G1922" t="s">
        <v>2777</v>
      </c>
      <c r="H1922" t="s">
        <v>2778</v>
      </c>
      <c r="I1922" t="str">
        <f>HYPERLINK("https://zfin.org/ZDB-GENE-030428-2")</f>
        <v>https://zfin.org/ZDB-GENE-030428-2</v>
      </c>
      <c r="J1922" t="s">
        <v>2779</v>
      </c>
    </row>
    <row r="1923" spans="1:10" x14ac:dyDescent="0.2">
      <c r="A1923">
        <v>2.3777211887331699E-14</v>
      </c>
      <c r="B1923">
        <v>0.49809218681446199</v>
      </c>
      <c r="C1923">
        <v>0.56799999999999995</v>
      </c>
      <c r="D1923">
        <v>0.25900000000000001</v>
      </c>
      <c r="E1923">
        <v>3.3045569081013598E-10</v>
      </c>
      <c r="F1923">
        <v>3</v>
      </c>
      <c r="G1923" t="s">
        <v>1839</v>
      </c>
      <c r="H1923" t="s">
        <v>1840</v>
      </c>
      <c r="I1923" t="str">
        <f>HYPERLINK("https://zfin.org/ZDB-GENE-030131-4317")</f>
        <v>https://zfin.org/ZDB-GENE-030131-4317</v>
      </c>
      <c r="J1923" t="s">
        <v>1841</v>
      </c>
    </row>
    <row r="1924" spans="1:10" x14ac:dyDescent="0.2">
      <c r="A1924">
        <v>2.4983686171465399E-14</v>
      </c>
      <c r="B1924">
        <v>-1.1002351200408</v>
      </c>
      <c r="C1924">
        <v>0.16700000000000001</v>
      </c>
      <c r="D1924">
        <v>0.46600000000000003</v>
      </c>
      <c r="E1924">
        <v>3.4722327041102502E-10</v>
      </c>
      <c r="F1924">
        <v>3</v>
      </c>
      <c r="G1924" t="s">
        <v>2466</v>
      </c>
      <c r="H1924" t="s">
        <v>2467</v>
      </c>
      <c r="I1924" t="str">
        <f>HYPERLINK("https://zfin.org/ZDB-GENE-010412-1")</f>
        <v>https://zfin.org/ZDB-GENE-010412-1</v>
      </c>
      <c r="J1924" t="s">
        <v>2468</v>
      </c>
    </row>
    <row r="1925" spans="1:10" x14ac:dyDescent="0.2">
      <c r="A1925">
        <v>2.7859153121316901E-14</v>
      </c>
      <c r="B1925">
        <v>-1.1814619269712401</v>
      </c>
      <c r="C1925">
        <v>0.379</v>
      </c>
      <c r="D1925">
        <v>0.61699999999999999</v>
      </c>
      <c r="E1925">
        <v>3.8718651008006198E-10</v>
      </c>
      <c r="F1925">
        <v>3</v>
      </c>
      <c r="G1925" t="s">
        <v>2153</v>
      </c>
      <c r="H1925" t="s">
        <v>2154</v>
      </c>
      <c r="I1925" t="str">
        <f>HYPERLINK("https://zfin.org/ZDB-GENE-031016-2")</f>
        <v>https://zfin.org/ZDB-GENE-031016-2</v>
      </c>
      <c r="J1925" t="s">
        <v>2155</v>
      </c>
    </row>
    <row r="1926" spans="1:10" x14ac:dyDescent="0.2">
      <c r="A1926">
        <v>2.8864204894712701E-14</v>
      </c>
      <c r="B1926">
        <v>0.47996096068566901</v>
      </c>
      <c r="C1926">
        <v>0.56799999999999995</v>
      </c>
      <c r="D1926">
        <v>0.254</v>
      </c>
      <c r="E1926">
        <v>4.0115471962671602E-10</v>
      </c>
      <c r="F1926">
        <v>3</v>
      </c>
      <c r="G1926" t="s">
        <v>696</v>
      </c>
      <c r="H1926" t="s">
        <v>697</v>
      </c>
      <c r="I1926" t="str">
        <f>HYPERLINK("https://zfin.org/ZDB-GENE-081107-63")</f>
        <v>https://zfin.org/ZDB-GENE-081107-63</v>
      </c>
      <c r="J1926" t="s">
        <v>698</v>
      </c>
    </row>
    <row r="1927" spans="1:10" x14ac:dyDescent="0.2">
      <c r="A1927">
        <v>3.0332705643905398E-14</v>
      </c>
      <c r="B1927">
        <v>0.61875984766919001</v>
      </c>
      <c r="C1927">
        <v>0.57599999999999996</v>
      </c>
      <c r="D1927">
        <v>0.27800000000000002</v>
      </c>
      <c r="E1927">
        <v>4.2156394303899701E-10</v>
      </c>
      <c r="F1927">
        <v>3</v>
      </c>
      <c r="G1927" t="s">
        <v>1086</v>
      </c>
      <c r="H1927" t="s">
        <v>1087</v>
      </c>
      <c r="I1927" t="str">
        <f>HYPERLINK("https://zfin.org/ZDB-GENE-040426-1119")</f>
        <v>https://zfin.org/ZDB-GENE-040426-1119</v>
      </c>
      <c r="J1927" t="s">
        <v>1088</v>
      </c>
    </row>
    <row r="1928" spans="1:10" x14ac:dyDescent="0.2">
      <c r="A1928">
        <v>3.0908092014005898E-14</v>
      </c>
      <c r="B1928">
        <v>0.42314084485006698</v>
      </c>
      <c r="C1928">
        <v>0.64400000000000002</v>
      </c>
      <c r="D1928">
        <v>0.30599999999999999</v>
      </c>
      <c r="E1928">
        <v>4.29560662810654E-10</v>
      </c>
      <c r="F1928">
        <v>3</v>
      </c>
      <c r="G1928" t="s">
        <v>4342</v>
      </c>
      <c r="H1928" t="s">
        <v>4343</v>
      </c>
      <c r="I1928" t="str">
        <f>HYPERLINK("https://zfin.org/ZDB-GENE-040625-55")</f>
        <v>https://zfin.org/ZDB-GENE-040625-55</v>
      </c>
      <c r="J1928" t="s">
        <v>4344</v>
      </c>
    </row>
    <row r="1929" spans="1:10" x14ac:dyDescent="0.2">
      <c r="A1929">
        <v>3.12579815291365E-14</v>
      </c>
      <c r="B1929">
        <v>0.425439735145835</v>
      </c>
      <c r="C1929">
        <v>0.33300000000000002</v>
      </c>
      <c r="D1929">
        <v>0.11</v>
      </c>
      <c r="E1929">
        <v>4.34423427291939E-10</v>
      </c>
      <c r="F1929">
        <v>3</v>
      </c>
      <c r="G1929" t="s">
        <v>1752</v>
      </c>
      <c r="H1929" t="s">
        <v>1753</v>
      </c>
      <c r="I1929" t="str">
        <f>HYPERLINK("https://zfin.org/ZDB-GENE-030131-7917")</f>
        <v>https://zfin.org/ZDB-GENE-030131-7917</v>
      </c>
      <c r="J1929" t="s">
        <v>1754</v>
      </c>
    </row>
    <row r="1930" spans="1:10" x14ac:dyDescent="0.2">
      <c r="A1930">
        <v>3.2307038367182597E-14</v>
      </c>
      <c r="B1930">
        <v>0.37854058910687499</v>
      </c>
      <c r="C1930">
        <v>0.19700000000000001</v>
      </c>
      <c r="D1930">
        <v>4.5999999999999999E-2</v>
      </c>
      <c r="E1930">
        <v>4.4900321922710402E-10</v>
      </c>
      <c r="F1930">
        <v>3</v>
      </c>
      <c r="G1930" t="s">
        <v>1970</v>
      </c>
      <c r="H1930" t="s">
        <v>1971</v>
      </c>
      <c r="I1930" t="str">
        <f>HYPERLINK("https://zfin.org/ZDB-GENE-030804-11")</f>
        <v>https://zfin.org/ZDB-GENE-030804-11</v>
      </c>
      <c r="J1930" t="s">
        <v>1972</v>
      </c>
    </row>
    <row r="1931" spans="1:10" x14ac:dyDescent="0.2">
      <c r="A1931">
        <v>3.2711226575037103E-14</v>
      </c>
      <c r="B1931">
        <v>0.29926443136705</v>
      </c>
      <c r="C1931">
        <v>0.13600000000000001</v>
      </c>
      <c r="D1931">
        <v>2.4E-2</v>
      </c>
      <c r="E1931">
        <v>4.54620626939866E-10</v>
      </c>
      <c r="F1931">
        <v>3</v>
      </c>
      <c r="G1931" t="s">
        <v>1602</v>
      </c>
      <c r="H1931" t="s">
        <v>1603</v>
      </c>
      <c r="I1931" t="str">
        <f>HYPERLINK("https://zfin.org/ZDB-GENE-050417-173")</f>
        <v>https://zfin.org/ZDB-GENE-050417-173</v>
      </c>
      <c r="J1931" t="s">
        <v>1604</v>
      </c>
    </row>
    <row r="1932" spans="1:10" x14ac:dyDescent="0.2">
      <c r="A1932">
        <v>3.3010179522674001E-14</v>
      </c>
      <c r="B1932">
        <v>0.26154616523912</v>
      </c>
      <c r="C1932">
        <v>0.129</v>
      </c>
      <c r="D1932">
        <v>2.1000000000000001E-2</v>
      </c>
      <c r="E1932">
        <v>4.5877547500612299E-10</v>
      </c>
      <c r="F1932">
        <v>3</v>
      </c>
      <c r="G1932" t="s">
        <v>4345</v>
      </c>
      <c r="H1932" t="s">
        <v>4346</v>
      </c>
      <c r="I1932" t="str">
        <f>HYPERLINK("https://zfin.org/ZDB-GENE-130620-1")</f>
        <v>https://zfin.org/ZDB-GENE-130620-1</v>
      </c>
      <c r="J1932" t="s">
        <v>4347</v>
      </c>
    </row>
    <row r="1933" spans="1:10" x14ac:dyDescent="0.2">
      <c r="A1933">
        <v>3.4285937903353499E-14</v>
      </c>
      <c r="B1933">
        <v>0.42471999574643898</v>
      </c>
      <c r="C1933">
        <v>0.53</v>
      </c>
      <c r="D1933">
        <v>0.22</v>
      </c>
      <c r="E1933">
        <v>4.7650596498080699E-10</v>
      </c>
      <c r="F1933">
        <v>3</v>
      </c>
      <c r="G1933" t="s">
        <v>4348</v>
      </c>
      <c r="H1933" t="s">
        <v>4349</v>
      </c>
      <c r="I1933" t="str">
        <f>HYPERLINK("https://zfin.org/ZDB-GENE-040426-2138")</f>
        <v>https://zfin.org/ZDB-GENE-040426-2138</v>
      </c>
      <c r="J1933" t="s">
        <v>4350</v>
      </c>
    </row>
    <row r="1934" spans="1:10" x14ac:dyDescent="0.2">
      <c r="A1934">
        <v>3.6927275167358802E-14</v>
      </c>
      <c r="B1934">
        <v>0.43727710738658099</v>
      </c>
      <c r="C1934">
        <v>0.73499999999999999</v>
      </c>
      <c r="D1934">
        <v>0.37</v>
      </c>
      <c r="E1934">
        <v>5.1321527027595204E-10</v>
      </c>
      <c r="F1934">
        <v>3</v>
      </c>
      <c r="G1934" t="s">
        <v>4351</v>
      </c>
      <c r="H1934" t="s">
        <v>4352</v>
      </c>
      <c r="I1934" t="str">
        <f>HYPERLINK("https://zfin.org/ZDB-GENE-020419-1")</f>
        <v>https://zfin.org/ZDB-GENE-020419-1</v>
      </c>
      <c r="J1934" t="s">
        <v>4353</v>
      </c>
    </row>
    <row r="1935" spans="1:10" x14ac:dyDescent="0.2">
      <c r="A1935">
        <v>3.7216849131770597E-14</v>
      </c>
      <c r="B1935">
        <v>0.53981264075670798</v>
      </c>
      <c r="C1935">
        <v>0.60599999999999998</v>
      </c>
      <c r="D1935">
        <v>0.29799999999999999</v>
      </c>
      <c r="E1935">
        <v>5.1723976923334799E-10</v>
      </c>
      <c r="F1935">
        <v>3</v>
      </c>
      <c r="G1935" t="s">
        <v>4354</v>
      </c>
      <c r="H1935" t="s">
        <v>4355</v>
      </c>
      <c r="I1935" t="str">
        <f>HYPERLINK("https://zfin.org/ZDB-GENE-030131-2784")</f>
        <v>https://zfin.org/ZDB-GENE-030131-2784</v>
      </c>
      <c r="J1935" t="s">
        <v>4356</v>
      </c>
    </row>
    <row r="1936" spans="1:10" x14ac:dyDescent="0.2">
      <c r="A1936">
        <v>4.0906238456851099E-14</v>
      </c>
      <c r="B1936">
        <v>0.273147053337993</v>
      </c>
      <c r="C1936">
        <v>0.13600000000000001</v>
      </c>
      <c r="D1936">
        <v>2.4E-2</v>
      </c>
      <c r="E1936">
        <v>5.6851490207331698E-10</v>
      </c>
      <c r="F1936">
        <v>3</v>
      </c>
      <c r="G1936" t="s">
        <v>4357</v>
      </c>
      <c r="H1936" t="s">
        <v>4358</v>
      </c>
      <c r="I1936" t="str">
        <f>HYPERLINK("https://zfin.org/ZDB-GENE-070410-41")</f>
        <v>https://zfin.org/ZDB-GENE-070410-41</v>
      </c>
      <c r="J1936" t="s">
        <v>4359</v>
      </c>
    </row>
    <row r="1937" spans="1:10" x14ac:dyDescent="0.2">
      <c r="A1937">
        <v>4.1712067625238803E-14</v>
      </c>
      <c r="B1937">
        <v>0.29180086145123302</v>
      </c>
      <c r="C1937">
        <v>0.22700000000000001</v>
      </c>
      <c r="D1937">
        <v>5.7000000000000002E-2</v>
      </c>
      <c r="E1937">
        <v>5.7971431585556898E-10</v>
      </c>
      <c r="F1937">
        <v>3</v>
      </c>
      <c r="G1937" t="s">
        <v>99</v>
      </c>
      <c r="H1937" t="s">
        <v>100</v>
      </c>
      <c r="I1937" t="str">
        <f>HYPERLINK("https://zfin.org/ZDB-GENE-061013-378")</f>
        <v>https://zfin.org/ZDB-GENE-061013-378</v>
      </c>
      <c r="J1937" t="s">
        <v>101</v>
      </c>
    </row>
    <row r="1938" spans="1:10" x14ac:dyDescent="0.2">
      <c r="A1938">
        <v>4.2103528849826803E-14</v>
      </c>
      <c r="B1938">
        <v>0.31985332201411898</v>
      </c>
      <c r="C1938">
        <v>0.189</v>
      </c>
      <c r="D1938">
        <v>4.2000000000000003E-2</v>
      </c>
      <c r="E1938">
        <v>5.8515484395489303E-10</v>
      </c>
      <c r="F1938">
        <v>3</v>
      </c>
      <c r="G1938" t="s">
        <v>4360</v>
      </c>
      <c r="H1938" t="s">
        <v>4361</v>
      </c>
      <c r="I1938" t="str">
        <f>HYPERLINK("https://zfin.org/ZDB-GENE-031002-47")</f>
        <v>https://zfin.org/ZDB-GENE-031002-47</v>
      </c>
      <c r="J1938" t="s">
        <v>4362</v>
      </c>
    </row>
    <row r="1939" spans="1:10" x14ac:dyDescent="0.2">
      <c r="A1939">
        <v>4.4738471539480602E-14</v>
      </c>
      <c r="B1939">
        <v>0.37805012977992802</v>
      </c>
      <c r="C1939">
        <v>0.28000000000000003</v>
      </c>
      <c r="D1939">
        <v>8.3000000000000004E-2</v>
      </c>
      <c r="E1939">
        <v>6.2177527745570096E-10</v>
      </c>
      <c r="F1939">
        <v>3</v>
      </c>
      <c r="G1939" t="s">
        <v>4363</v>
      </c>
      <c r="H1939" t="s">
        <v>4364</v>
      </c>
      <c r="I1939" t="str">
        <f>HYPERLINK("https://zfin.org/ZDB-GENE-040808-14")</f>
        <v>https://zfin.org/ZDB-GENE-040808-14</v>
      </c>
      <c r="J1939" t="s">
        <v>4365</v>
      </c>
    </row>
    <row r="1940" spans="1:10" x14ac:dyDescent="0.2">
      <c r="A1940">
        <v>4.9844762125888203E-14</v>
      </c>
      <c r="B1940">
        <v>0.26489706948784503</v>
      </c>
      <c r="C1940">
        <v>0.121</v>
      </c>
      <c r="D1940">
        <v>1.9E-2</v>
      </c>
      <c r="E1940">
        <v>6.9274250402559398E-10</v>
      </c>
      <c r="F1940">
        <v>3</v>
      </c>
      <c r="G1940" t="s">
        <v>4366</v>
      </c>
      <c r="H1940" t="s">
        <v>4367</v>
      </c>
      <c r="I1940" t="str">
        <f>HYPERLINK("https://zfin.org/ZDB-GENE-030131-904")</f>
        <v>https://zfin.org/ZDB-GENE-030131-904</v>
      </c>
      <c r="J1940" t="s">
        <v>4368</v>
      </c>
    </row>
    <row r="1941" spans="1:10" x14ac:dyDescent="0.2">
      <c r="A1941">
        <v>5.0047523469186998E-14</v>
      </c>
      <c r="B1941">
        <v>0.51172360682500795</v>
      </c>
      <c r="C1941">
        <v>0.26500000000000001</v>
      </c>
      <c r="D1941">
        <v>7.4999999999999997E-2</v>
      </c>
      <c r="E1941">
        <v>6.9556048117476097E-10</v>
      </c>
      <c r="F1941">
        <v>3</v>
      </c>
      <c r="G1941" t="s">
        <v>10</v>
      </c>
      <c r="H1941" t="s">
        <v>11</v>
      </c>
      <c r="I1941" t="str">
        <f>HYPERLINK("https://zfin.org/ZDB-GENE-110406-5")</f>
        <v>https://zfin.org/ZDB-GENE-110406-5</v>
      </c>
      <c r="J1941" t="s">
        <v>12</v>
      </c>
    </row>
    <row r="1942" spans="1:10" x14ac:dyDescent="0.2">
      <c r="A1942">
        <v>5.3538675972660602E-14</v>
      </c>
      <c r="B1942">
        <v>-1.25735405879559</v>
      </c>
      <c r="C1942">
        <v>0.114</v>
      </c>
      <c r="D1942">
        <v>0.42299999999999999</v>
      </c>
      <c r="E1942">
        <v>7.4408051866803699E-10</v>
      </c>
      <c r="F1942">
        <v>3</v>
      </c>
      <c r="G1942" t="s">
        <v>2697</v>
      </c>
      <c r="H1942" t="s">
        <v>2698</v>
      </c>
      <c r="I1942" t="str">
        <f>HYPERLINK("https://zfin.org/ZDB-GENE-141215-49")</f>
        <v>https://zfin.org/ZDB-GENE-141215-49</v>
      </c>
      <c r="J1942" t="s">
        <v>2699</v>
      </c>
    </row>
    <row r="1943" spans="1:10" x14ac:dyDescent="0.2">
      <c r="A1943">
        <v>5.5447658383157597E-14</v>
      </c>
      <c r="B1943">
        <v>0.46694896716715301</v>
      </c>
      <c r="C1943">
        <v>0.75800000000000001</v>
      </c>
      <c r="D1943">
        <v>0.40600000000000003</v>
      </c>
      <c r="E1943">
        <v>7.7061155620912401E-10</v>
      </c>
      <c r="F1943">
        <v>3</v>
      </c>
      <c r="G1943" t="s">
        <v>4369</v>
      </c>
      <c r="H1943" t="s">
        <v>4370</v>
      </c>
      <c r="I1943" t="str">
        <f>HYPERLINK("https://zfin.org/ZDB-GENE-070629-3")</f>
        <v>https://zfin.org/ZDB-GENE-070629-3</v>
      </c>
      <c r="J1943" t="s">
        <v>4371</v>
      </c>
    </row>
    <row r="1944" spans="1:10" x14ac:dyDescent="0.2">
      <c r="A1944">
        <v>6.0867796578439797E-14</v>
      </c>
      <c r="B1944">
        <v>0.27695665280986398</v>
      </c>
      <c r="C1944">
        <v>1</v>
      </c>
      <c r="D1944">
        <v>0.97799999999999998</v>
      </c>
      <c r="E1944">
        <v>8.4594063684715605E-10</v>
      </c>
      <c r="F1944">
        <v>3</v>
      </c>
      <c r="G1944" t="s">
        <v>1925</v>
      </c>
      <c r="H1944" t="s">
        <v>1926</v>
      </c>
      <c r="I1944" t="str">
        <f>HYPERLINK("https://zfin.org/ZDB-GENE-030131-1291")</f>
        <v>https://zfin.org/ZDB-GENE-030131-1291</v>
      </c>
      <c r="J1944" t="s">
        <v>1927</v>
      </c>
    </row>
    <row r="1945" spans="1:10" x14ac:dyDescent="0.2">
      <c r="A1945">
        <v>6.2607811675981505E-14</v>
      </c>
      <c r="B1945">
        <v>0.51186556676041695</v>
      </c>
      <c r="C1945">
        <v>0.41699999999999998</v>
      </c>
      <c r="D1945">
        <v>0.154</v>
      </c>
      <c r="E1945">
        <v>8.7012336667278997E-10</v>
      </c>
      <c r="F1945">
        <v>3</v>
      </c>
      <c r="G1945" t="s">
        <v>4372</v>
      </c>
      <c r="H1945" t="s">
        <v>4373</v>
      </c>
      <c r="I1945" t="str">
        <f>HYPERLINK("https://zfin.org/ZDB-GENE-030131-6898")</f>
        <v>https://zfin.org/ZDB-GENE-030131-6898</v>
      </c>
      <c r="J1945" t="s">
        <v>4374</v>
      </c>
    </row>
    <row r="1946" spans="1:10" x14ac:dyDescent="0.2">
      <c r="A1946">
        <v>6.4044933305520199E-14</v>
      </c>
      <c r="B1946">
        <v>0.44917078038242803</v>
      </c>
      <c r="C1946">
        <v>0.871</v>
      </c>
      <c r="D1946">
        <v>0.626</v>
      </c>
      <c r="E1946">
        <v>8.9009648308011898E-10</v>
      </c>
      <c r="F1946">
        <v>3</v>
      </c>
      <c r="G1946" t="s">
        <v>2214</v>
      </c>
      <c r="H1946" t="s">
        <v>2215</v>
      </c>
      <c r="I1946" t="str">
        <f>HYPERLINK("https://zfin.org/ZDB-GENE-040426-1916")</f>
        <v>https://zfin.org/ZDB-GENE-040426-1916</v>
      </c>
      <c r="J1946" t="s">
        <v>2216</v>
      </c>
    </row>
    <row r="1947" spans="1:10" x14ac:dyDescent="0.2">
      <c r="A1947">
        <v>6.50861368351675E-14</v>
      </c>
      <c r="B1947">
        <v>0.47550942723192602</v>
      </c>
      <c r="C1947">
        <v>0.5</v>
      </c>
      <c r="D1947">
        <v>0.20599999999999999</v>
      </c>
      <c r="E1947">
        <v>9.0456712973515801E-10</v>
      </c>
      <c r="F1947">
        <v>3</v>
      </c>
      <c r="G1947" t="s">
        <v>1080</v>
      </c>
      <c r="H1947" t="s">
        <v>1081</v>
      </c>
      <c r="I1947" t="str">
        <f>HYPERLINK("https://zfin.org/ZDB-GENE-040426-1784")</f>
        <v>https://zfin.org/ZDB-GENE-040426-1784</v>
      </c>
      <c r="J1947" t="s">
        <v>1082</v>
      </c>
    </row>
    <row r="1948" spans="1:10" x14ac:dyDescent="0.2">
      <c r="A1948">
        <v>6.71960744805318E-14</v>
      </c>
      <c r="B1948">
        <v>0.475412949662392</v>
      </c>
      <c r="C1948">
        <v>0.72</v>
      </c>
      <c r="D1948">
        <v>0.38800000000000001</v>
      </c>
      <c r="E1948">
        <v>9.3389104313043096E-10</v>
      </c>
      <c r="F1948">
        <v>3</v>
      </c>
      <c r="G1948" t="s">
        <v>4375</v>
      </c>
      <c r="H1948" t="s">
        <v>4376</v>
      </c>
      <c r="I1948" t="str">
        <f>HYPERLINK("https://zfin.org/ZDB-GENE-030131-3827")</f>
        <v>https://zfin.org/ZDB-GENE-030131-3827</v>
      </c>
      <c r="J1948" t="s">
        <v>4377</v>
      </c>
    </row>
    <row r="1949" spans="1:10" x14ac:dyDescent="0.2">
      <c r="A1949">
        <v>7.2082652834520095E-14</v>
      </c>
      <c r="B1949">
        <v>0.30224647198481502</v>
      </c>
      <c r="C1949">
        <v>0.318</v>
      </c>
      <c r="D1949">
        <v>9.9000000000000005E-2</v>
      </c>
      <c r="E1949">
        <v>1.00180470909416E-9</v>
      </c>
      <c r="F1949">
        <v>3</v>
      </c>
      <c r="G1949" t="s">
        <v>4378</v>
      </c>
      <c r="H1949" t="s">
        <v>4379</v>
      </c>
      <c r="I1949" t="str">
        <f>HYPERLINK("https://zfin.org/ZDB-GENE-050306-25")</f>
        <v>https://zfin.org/ZDB-GENE-050306-25</v>
      </c>
      <c r="J1949" t="s">
        <v>4380</v>
      </c>
    </row>
    <row r="1950" spans="1:10" x14ac:dyDescent="0.2">
      <c r="A1950">
        <v>7.2439357035383997E-14</v>
      </c>
      <c r="B1950">
        <v>0.37775136135312098</v>
      </c>
      <c r="C1950">
        <v>0.38600000000000001</v>
      </c>
      <c r="D1950">
        <v>0.13900000000000001</v>
      </c>
      <c r="E1950">
        <v>1.00676218407777E-9</v>
      </c>
      <c r="F1950">
        <v>3</v>
      </c>
      <c r="G1950" t="s">
        <v>4381</v>
      </c>
      <c r="H1950" t="s">
        <v>4382</v>
      </c>
      <c r="I1950" t="str">
        <f>HYPERLINK("https://zfin.org/ZDB-GENE-060616-2")</f>
        <v>https://zfin.org/ZDB-GENE-060616-2</v>
      </c>
      <c r="J1950" t="s">
        <v>4383</v>
      </c>
    </row>
    <row r="1951" spans="1:10" x14ac:dyDescent="0.2">
      <c r="A1951">
        <v>7.9931168481443096E-14</v>
      </c>
      <c r="B1951">
        <v>0.37627359232498597</v>
      </c>
      <c r="C1951">
        <v>0.38600000000000001</v>
      </c>
      <c r="D1951">
        <v>0.13700000000000001</v>
      </c>
      <c r="E1951">
        <v>1.1108833795551E-9</v>
      </c>
      <c r="F1951">
        <v>3</v>
      </c>
      <c r="G1951" t="s">
        <v>4384</v>
      </c>
      <c r="H1951" t="s">
        <v>4385</v>
      </c>
      <c r="I1951" t="str">
        <f>HYPERLINK("https://zfin.org/ZDB-GENE-040426-904")</f>
        <v>https://zfin.org/ZDB-GENE-040426-904</v>
      </c>
      <c r="J1951" t="s">
        <v>4386</v>
      </c>
    </row>
    <row r="1952" spans="1:10" x14ac:dyDescent="0.2">
      <c r="A1952">
        <v>8.1857334775135197E-14</v>
      </c>
      <c r="B1952">
        <v>0.34971535070753501</v>
      </c>
      <c r="C1952">
        <v>0.36399999999999999</v>
      </c>
      <c r="D1952">
        <v>0.125</v>
      </c>
      <c r="E1952">
        <v>1.13765323870483E-9</v>
      </c>
      <c r="F1952">
        <v>3</v>
      </c>
      <c r="G1952" t="s">
        <v>4387</v>
      </c>
      <c r="H1952" t="s">
        <v>4388</v>
      </c>
      <c r="I1952" t="str">
        <f>HYPERLINK("https://zfin.org/ZDB-GENE-030131-2365")</f>
        <v>https://zfin.org/ZDB-GENE-030131-2365</v>
      </c>
      <c r="J1952" t="s">
        <v>4389</v>
      </c>
    </row>
    <row r="1953" spans="1:10" x14ac:dyDescent="0.2">
      <c r="A1953">
        <v>8.2301587647611395E-14</v>
      </c>
      <c r="B1953">
        <v>0.37532999939127498</v>
      </c>
      <c r="C1953">
        <v>0.51500000000000001</v>
      </c>
      <c r="D1953">
        <v>0.21</v>
      </c>
      <c r="E1953">
        <v>1.1438274651265001E-9</v>
      </c>
      <c r="F1953">
        <v>3</v>
      </c>
      <c r="G1953" t="s">
        <v>1191</v>
      </c>
      <c r="H1953" t="s">
        <v>1192</v>
      </c>
      <c r="I1953" t="str">
        <f>HYPERLINK("https://zfin.org/ZDB-GENE-030131-6965")</f>
        <v>https://zfin.org/ZDB-GENE-030131-6965</v>
      </c>
      <c r="J1953" t="s">
        <v>1193</v>
      </c>
    </row>
    <row r="1954" spans="1:10" x14ac:dyDescent="0.2">
      <c r="A1954">
        <v>8.2763747160464298E-14</v>
      </c>
      <c r="B1954">
        <v>0.32023406105431301</v>
      </c>
      <c r="C1954">
        <v>0.34100000000000003</v>
      </c>
      <c r="D1954">
        <v>0.111</v>
      </c>
      <c r="E1954">
        <v>1.15025055803613E-9</v>
      </c>
      <c r="F1954">
        <v>3</v>
      </c>
      <c r="G1954" t="s">
        <v>4390</v>
      </c>
      <c r="H1954" t="s">
        <v>4391</v>
      </c>
      <c r="I1954" t="str">
        <f>HYPERLINK("https://zfin.org/ZDB-GENE-010320-2")</f>
        <v>https://zfin.org/ZDB-GENE-010320-2</v>
      </c>
      <c r="J1954" t="s">
        <v>4392</v>
      </c>
    </row>
    <row r="1955" spans="1:10" x14ac:dyDescent="0.2">
      <c r="A1955">
        <v>8.3546261798276704E-14</v>
      </c>
      <c r="B1955">
        <v>0.25879539837190002</v>
      </c>
      <c r="C1955">
        <v>1</v>
      </c>
      <c r="D1955">
        <v>0.98199999999999998</v>
      </c>
      <c r="E1955">
        <v>1.1611259464724501E-9</v>
      </c>
      <c r="F1955">
        <v>3</v>
      </c>
      <c r="G1955" t="s">
        <v>1946</v>
      </c>
      <c r="H1955" t="s">
        <v>1947</v>
      </c>
      <c r="I1955" t="str">
        <f>HYPERLINK("https://zfin.org/ZDB-GENE-050506-107")</f>
        <v>https://zfin.org/ZDB-GENE-050506-107</v>
      </c>
      <c r="J1955" t="s">
        <v>1948</v>
      </c>
    </row>
    <row r="1956" spans="1:10" x14ac:dyDescent="0.2">
      <c r="A1956">
        <v>8.44971476176499E-14</v>
      </c>
      <c r="B1956">
        <v>0.27733646174349003</v>
      </c>
      <c r="C1956">
        <v>0.159</v>
      </c>
      <c r="D1956">
        <v>3.2000000000000001E-2</v>
      </c>
      <c r="E1956">
        <v>1.1743413575901E-9</v>
      </c>
      <c r="F1956">
        <v>3</v>
      </c>
      <c r="G1956" t="s">
        <v>4393</v>
      </c>
      <c r="H1956" t="s">
        <v>4394</v>
      </c>
      <c r="I1956" t="str">
        <f>HYPERLINK("https://zfin.org/ZDB-GENE-040718-463")</f>
        <v>https://zfin.org/ZDB-GENE-040718-463</v>
      </c>
      <c r="J1956" t="s">
        <v>4395</v>
      </c>
    </row>
    <row r="1957" spans="1:10" x14ac:dyDescent="0.2">
      <c r="A1957">
        <v>9.0825201505333494E-14</v>
      </c>
      <c r="B1957">
        <v>0.27015971904460701</v>
      </c>
      <c r="C1957">
        <v>0.99199999999999999</v>
      </c>
      <c r="D1957">
        <v>0.95099999999999996</v>
      </c>
      <c r="E1957">
        <v>1.26228865052112E-9</v>
      </c>
      <c r="F1957">
        <v>3</v>
      </c>
      <c r="G1957" t="s">
        <v>2331</v>
      </c>
      <c r="H1957" t="s">
        <v>2332</v>
      </c>
      <c r="I1957" t="str">
        <f>HYPERLINK("https://zfin.org/ZDB-GENE-040426-1700")</f>
        <v>https://zfin.org/ZDB-GENE-040426-1700</v>
      </c>
      <c r="J1957" t="s">
        <v>2333</v>
      </c>
    </row>
    <row r="1958" spans="1:10" x14ac:dyDescent="0.2">
      <c r="A1958">
        <v>9.2373366981752999E-14</v>
      </c>
      <c r="B1958">
        <v>0.28269592358400197</v>
      </c>
      <c r="C1958">
        <v>1</v>
      </c>
      <c r="D1958">
        <v>0.96399999999999997</v>
      </c>
      <c r="E1958">
        <v>1.2838050543124E-9</v>
      </c>
      <c r="F1958">
        <v>3</v>
      </c>
      <c r="G1958" t="s">
        <v>2202</v>
      </c>
      <c r="H1958" t="s">
        <v>2203</v>
      </c>
      <c r="I1958" t="str">
        <f>HYPERLINK("https://zfin.org/ZDB-GENE-020419-20")</f>
        <v>https://zfin.org/ZDB-GENE-020419-20</v>
      </c>
      <c r="J1958" t="s">
        <v>2204</v>
      </c>
    </row>
    <row r="1959" spans="1:10" x14ac:dyDescent="0.2">
      <c r="A1959">
        <v>9.2682678822967704E-14</v>
      </c>
      <c r="B1959">
        <v>0.65476794133531502</v>
      </c>
      <c r="C1959">
        <v>0.27300000000000002</v>
      </c>
      <c r="D1959">
        <v>8.3000000000000004E-2</v>
      </c>
      <c r="E1959">
        <v>1.2881038702816E-9</v>
      </c>
      <c r="F1959">
        <v>3</v>
      </c>
      <c r="G1959" t="s">
        <v>4396</v>
      </c>
      <c r="H1959" t="s">
        <v>4397</v>
      </c>
      <c r="I1959" t="str">
        <f>HYPERLINK("https://zfin.org/ZDB-GENE-040426-1882")</f>
        <v>https://zfin.org/ZDB-GENE-040426-1882</v>
      </c>
      <c r="J1959" t="s">
        <v>4398</v>
      </c>
    </row>
    <row r="1960" spans="1:10" x14ac:dyDescent="0.2">
      <c r="A1960">
        <v>9.4224452438805098E-14</v>
      </c>
      <c r="B1960">
        <v>0.41299407978290897</v>
      </c>
      <c r="C1960">
        <v>0.49199999999999999</v>
      </c>
      <c r="D1960">
        <v>0.20399999999999999</v>
      </c>
      <c r="E1960">
        <v>1.3095314399945099E-9</v>
      </c>
      <c r="F1960">
        <v>3</v>
      </c>
      <c r="G1960" t="s">
        <v>1731</v>
      </c>
      <c r="H1960" t="s">
        <v>1732</v>
      </c>
      <c r="I1960" t="str">
        <f>HYPERLINK("https://zfin.org/ZDB-GENE-040426-2200")</f>
        <v>https://zfin.org/ZDB-GENE-040426-2200</v>
      </c>
      <c r="J1960" t="s">
        <v>1733</v>
      </c>
    </row>
    <row r="1961" spans="1:10" x14ac:dyDescent="0.2">
      <c r="A1961">
        <v>9.5781979346591895E-14</v>
      </c>
      <c r="B1961">
        <v>-1.10348126094691</v>
      </c>
      <c r="C1961">
        <v>0.106</v>
      </c>
      <c r="D1961">
        <v>0.41899999999999998</v>
      </c>
      <c r="E1961">
        <v>1.33117794895893E-9</v>
      </c>
      <c r="F1961">
        <v>3</v>
      </c>
      <c r="G1961" t="s">
        <v>2457</v>
      </c>
      <c r="H1961" t="s">
        <v>2458</v>
      </c>
      <c r="I1961" t="str">
        <f>HYPERLINK("https://zfin.org/ZDB-GENE-070424-30")</f>
        <v>https://zfin.org/ZDB-GENE-070424-30</v>
      </c>
      <c r="J1961" t="s">
        <v>2459</v>
      </c>
    </row>
    <row r="1962" spans="1:10" x14ac:dyDescent="0.2">
      <c r="A1962">
        <v>9.6275652314483497E-14</v>
      </c>
      <c r="B1962">
        <v>0.260120170497735</v>
      </c>
      <c r="C1962">
        <v>1</v>
      </c>
      <c r="D1962">
        <v>0.98699999999999999</v>
      </c>
      <c r="E1962">
        <v>1.33803901586669E-9</v>
      </c>
      <c r="F1962">
        <v>3</v>
      </c>
      <c r="G1962" t="s">
        <v>1898</v>
      </c>
      <c r="H1962" t="s">
        <v>1899</v>
      </c>
      <c r="I1962" t="str">
        <f>HYPERLINK("https://zfin.org/ZDB-GENE-031001-9")</f>
        <v>https://zfin.org/ZDB-GENE-031001-9</v>
      </c>
      <c r="J1962" t="s">
        <v>1900</v>
      </c>
    </row>
    <row r="1963" spans="1:10" x14ac:dyDescent="0.2">
      <c r="A1963">
        <v>9.7796203210915903E-14</v>
      </c>
      <c r="B1963">
        <v>0.37153374178541099</v>
      </c>
      <c r="C1963">
        <v>0.39400000000000002</v>
      </c>
      <c r="D1963">
        <v>0.14399999999999999</v>
      </c>
      <c r="E1963">
        <v>1.35917163222531E-9</v>
      </c>
      <c r="F1963">
        <v>3</v>
      </c>
      <c r="G1963" t="s">
        <v>4399</v>
      </c>
      <c r="H1963" t="s">
        <v>4400</v>
      </c>
      <c r="I1963" t="str">
        <f>HYPERLINK("https://zfin.org/ZDB-GENE-040426-2763")</f>
        <v>https://zfin.org/ZDB-GENE-040426-2763</v>
      </c>
      <c r="J1963" t="s">
        <v>4401</v>
      </c>
    </row>
    <row r="1964" spans="1:10" x14ac:dyDescent="0.2">
      <c r="A1964">
        <v>1.0389132495447999E-13</v>
      </c>
      <c r="B1964">
        <v>0.29647325856921702</v>
      </c>
      <c r="C1964">
        <v>0.114</v>
      </c>
      <c r="D1964">
        <v>1.7999999999999999E-2</v>
      </c>
      <c r="E1964">
        <v>1.44388163421737E-9</v>
      </c>
      <c r="F1964">
        <v>3</v>
      </c>
      <c r="G1964" t="s">
        <v>999</v>
      </c>
      <c r="H1964" t="s">
        <v>1000</v>
      </c>
      <c r="I1964" t="str">
        <f>HYPERLINK("https://zfin.org/ZDB-GENE-160114-44")</f>
        <v>https://zfin.org/ZDB-GENE-160114-44</v>
      </c>
      <c r="J1964" t="s">
        <v>1001</v>
      </c>
    </row>
    <row r="1965" spans="1:10" x14ac:dyDescent="0.2">
      <c r="A1965">
        <v>1.0638940146646001E-13</v>
      </c>
      <c r="B1965">
        <v>0.42743762603631302</v>
      </c>
      <c r="C1965">
        <v>0.379</v>
      </c>
      <c r="D1965">
        <v>0.13800000000000001</v>
      </c>
      <c r="E1965">
        <v>1.47859990158086E-9</v>
      </c>
      <c r="F1965">
        <v>3</v>
      </c>
      <c r="G1965" t="s">
        <v>4402</v>
      </c>
      <c r="H1965" t="s">
        <v>4403</v>
      </c>
      <c r="I1965" t="str">
        <f>HYPERLINK("https://zfin.org/ZDB-GENE-040426-701")</f>
        <v>https://zfin.org/ZDB-GENE-040426-701</v>
      </c>
      <c r="J1965" t="s">
        <v>4404</v>
      </c>
    </row>
    <row r="1966" spans="1:10" x14ac:dyDescent="0.2">
      <c r="A1966">
        <v>1.08349288196329E-13</v>
      </c>
      <c r="B1966">
        <v>0.37936841595451998</v>
      </c>
      <c r="C1966">
        <v>0.5</v>
      </c>
      <c r="D1966">
        <v>0.20399999999999999</v>
      </c>
      <c r="E1966">
        <v>1.5058384073525799E-9</v>
      </c>
      <c r="F1966">
        <v>3</v>
      </c>
      <c r="G1966" t="s">
        <v>4405</v>
      </c>
      <c r="H1966" t="s">
        <v>4406</v>
      </c>
      <c r="I1966" t="str">
        <f>HYPERLINK("https://zfin.org/ZDB-GENE-091207-2")</f>
        <v>https://zfin.org/ZDB-GENE-091207-2</v>
      </c>
      <c r="J1966" t="s">
        <v>4407</v>
      </c>
    </row>
    <row r="1967" spans="1:10" x14ac:dyDescent="0.2">
      <c r="A1967">
        <v>1.10686892076663E-13</v>
      </c>
      <c r="B1967">
        <v>-1.04807167090303</v>
      </c>
      <c r="C1967">
        <v>0.159</v>
      </c>
      <c r="D1967">
        <v>0.47499999999999998</v>
      </c>
      <c r="E1967">
        <v>1.53832642608146E-9</v>
      </c>
      <c r="F1967">
        <v>3</v>
      </c>
      <c r="G1967" t="s">
        <v>2607</v>
      </c>
      <c r="H1967" t="s">
        <v>2608</v>
      </c>
      <c r="I1967" t="str">
        <f>HYPERLINK("https://zfin.org/ZDB-GENE-030911-2")</f>
        <v>https://zfin.org/ZDB-GENE-030911-2</v>
      </c>
      <c r="J1967" t="s">
        <v>2609</v>
      </c>
    </row>
    <row r="1968" spans="1:10" x14ac:dyDescent="0.2">
      <c r="A1968">
        <v>1.1581299870470201E-13</v>
      </c>
      <c r="B1968">
        <v>0.28592824413807699</v>
      </c>
      <c r="C1968">
        <v>0.152</v>
      </c>
      <c r="D1968">
        <v>0.03</v>
      </c>
      <c r="E1968">
        <v>1.6095690559979501E-9</v>
      </c>
      <c r="F1968">
        <v>3</v>
      </c>
      <c r="G1968" t="s">
        <v>4408</v>
      </c>
      <c r="H1968" t="s">
        <v>4409</v>
      </c>
      <c r="I1968" t="str">
        <f>HYPERLINK("https://zfin.org/ZDB-GENE-001221-1")</f>
        <v>https://zfin.org/ZDB-GENE-001221-1</v>
      </c>
      <c r="J1968" t="s">
        <v>4410</v>
      </c>
    </row>
    <row r="1969" spans="1:10" x14ac:dyDescent="0.2">
      <c r="A1969">
        <v>1.20112916522811E-13</v>
      </c>
      <c r="B1969">
        <v>0.34485522319807399</v>
      </c>
      <c r="C1969">
        <v>0.99199999999999999</v>
      </c>
      <c r="D1969">
        <v>0.88100000000000001</v>
      </c>
      <c r="E1969">
        <v>1.66932931383403E-9</v>
      </c>
      <c r="F1969">
        <v>3</v>
      </c>
      <c r="G1969" t="s">
        <v>2355</v>
      </c>
      <c r="H1969" t="s">
        <v>2356</v>
      </c>
      <c r="I1969" t="str">
        <f>HYPERLINK("https://zfin.org/ZDB-GENE-040426-1788")</f>
        <v>https://zfin.org/ZDB-GENE-040426-1788</v>
      </c>
      <c r="J1969" t="s">
        <v>2357</v>
      </c>
    </row>
    <row r="1970" spans="1:10" x14ac:dyDescent="0.2">
      <c r="A1970">
        <v>1.2273708427887201E-13</v>
      </c>
      <c r="B1970">
        <v>0.31290740938131101</v>
      </c>
      <c r="C1970">
        <v>0.33300000000000002</v>
      </c>
      <c r="D1970">
        <v>0.109</v>
      </c>
      <c r="E1970">
        <v>1.70579999730776E-9</v>
      </c>
      <c r="F1970">
        <v>3</v>
      </c>
      <c r="G1970" t="s">
        <v>4411</v>
      </c>
      <c r="H1970" t="s">
        <v>4412</v>
      </c>
      <c r="I1970" t="str">
        <f>HYPERLINK("https://zfin.org/ZDB-GENE-040426-2256")</f>
        <v>https://zfin.org/ZDB-GENE-040426-2256</v>
      </c>
      <c r="J1970" t="s">
        <v>4413</v>
      </c>
    </row>
    <row r="1971" spans="1:10" x14ac:dyDescent="0.2">
      <c r="A1971">
        <v>1.2353845969570499E-13</v>
      </c>
      <c r="B1971">
        <v>0.35930068300189499</v>
      </c>
      <c r="C1971">
        <v>0.25</v>
      </c>
      <c r="D1971">
        <v>7.0000000000000007E-2</v>
      </c>
      <c r="E1971">
        <v>1.71693751285091E-9</v>
      </c>
      <c r="F1971">
        <v>3</v>
      </c>
      <c r="G1971" t="s">
        <v>4414</v>
      </c>
      <c r="H1971" t="s">
        <v>4415</v>
      </c>
      <c r="I1971" t="str">
        <f>HYPERLINK("https://zfin.org/ZDB-GENE-040801-226")</f>
        <v>https://zfin.org/ZDB-GENE-040801-226</v>
      </c>
      <c r="J1971" t="s">
        <v>4416</v>
      </c>
    </row>
    <row r="1972" spans="1:10" x14ac:dyDescent="0.2">
      <c r="A1972">
        <v>1.26866006866818E-13</v>
      </c>
      <c r="B1972">
        <v>0.33227797295488998</v>
      </c>
      <c r="C1972">
        <v>0.20499999999999999</v>
      </c>
      <c r="D1972">
        <v>5.0999999999999997E-2</v>
      </c>
      <c r="E1972">
        <v>1.7631837634350401E-9</v>
      </c>
      <c r="F1972">
        <v>3</v>
      </c>
      <c r="G1972" t="s">
        <v>1131</v>
      </c>
      <c r="H1972" t="s">
        <v>1132</v>
      </c>
      <c r="I1972" t="str">
        <f>HYPERLINK("https://zfin.org/ZDB-GENE-040718-384")</f>
        <v>https://zfin.org/ZDB-GENE-040718-384</v>
      </c>
      <c r="J1972" t="s">
        <v>1133</v>
      </c>
    </row>
    <row r="1973" spans="1:10" x14ac:dyDescent="0.2">
      <c r="A1973">
        <v>1.32132210687748E-13</v>
      </c>
      <c r="B1973">
        <v>0.36373980835999198</v>
      </c>
      <c r="C1973">
        <v>0.38600000000000001</v>
      </c>
      <c r="D1973">
        <v>0.13900000000000001</v>
      </c>
      <c r="E1973">
        <v>1.8363734641383199E-9</v>
      </c>
      <c r="F1973">
        <v>3</v>
      </c>
      <c r="G1973" t="s">
        <v>4417</v>
      </c>
      <c r="H1973" t="s">
        <v>4418</v>
      </c>
      <c r="I1973" t="str">
        <f>HYPERLINK("https://zfin.org/ZDB-GENE-041024-8")</f>
        <v>https://zfin.org/ZDB-GENE-041024-8</v>
      </c>
      <c r="J1973" t="s">
        <v>4419</v>
      </c>
    </row>
    <row r="1974" spans="1:10" x14ac:dyDescent="0.2">
      <c r="A1974">
        <v>1.4171577557438299E-13</v>
      </c>
      <c r="B1974">
        <v>0.49355316320596199</v>
      </c>
      <c r="C1974">
        <v>0.98499999999999999</v>
      </c>
      <c r="D1974">
        <v>0.82499999999999996</v>
      </c>
      <c r="E1974">
        <v>1.9695658489327701E-9</v>
      </c>
      <c r="F1974">
        <v>3</v>
      </c>
      <c r="G1974" t="s">
        <v>4420</v>
      </c>
      <c r="H1974" t="s">
        <v>4421</v>
      </c>
      <c r="I1974" t="str">
        <f>HYPERLINK("https://zfin.org/ZDB-GENE-050417-65")</f>
        <v>https://zfin.org/ZDB-GENE-050417-65</v>
      </c>
      <c r="J1974" t="s">
        <v>4422</v>
      </c>
    </row>
    <row r="1975" spans="1:10" x14ac:dyDescent="0.2">
      <c r="A1975">
        <v>1.4918196028367201E-13</v>
      </c>
      <c r="B1975">
        <v>0.48326613052968398</v>
      </c>
      <c r="C1975">
        <v>0.59799999999999998</v>
      </c>
      <c r="D1975">
        <v>0.27900000000000003</v>
      </c>
      <c r="E1975">
        <v>2.0733308840224698E-9</v>
      </c>
      <c r="F1975">
        <v>3</v>
      </c>
      <c r="G1975" t="s">
        <v>4423</v>
      </c>
      <c r="H1975" t="s">
        <v>4424</v>
      </c>
      <c r="I1975" t="str">
        <f>HYPERLINK("https://zfin.org/")</f>
        <v>https://zfin.org/</v>
      </c>
    </row>
    <row r="1976" spans="1:10" x14ac:dyDescent="0.2">
      <c r="A1976">
        <v>1.56721063141102E-13</v>
      </c>
      <c r="B1976">
        <v>0.48961257513769102</v>
      </c>
      <c r="C1976">
        <v>0.75800000000000001</v>
      </c>
      <c r="D1976">
        <v>0.435</v>
      </c>
      <c r="E1976">
        <v>2.17810933553503E-9</v>
      </c>
      <c r="F1976">
        <v>3</v>
      </c>
      <c r="G1976" t="s">
        <v>4425</v>
      </c>
      <c r="H1976" t="s">
        <v>4426</v>
      </c>
      <c r="I1976" t="str">
        <f>HYPERLINK("https://zfin.org/ZDB-GENE-030131-3085")</f>
        <v>https://zfin.org/ZDB-GENE-030131-3085</v>
      </c>
      <c r="J1976" t="s">
        <v>4427</v>
      </c>
    </row>
    <row r="1977" spans="1:10" x14ac:dyDescent="0.2">
      <c r="A1977">
        <v>1.6341226815784299E-13</v>
      </c>
      <c r="B1977">
        <v>0.39040956710748098</v>
      </c>
      <c r="C1977">
        <v>0.42399999999999999</v>
      </c>
      <c r="D1977">
        <v>0.161</v>
      </c>
      <c r="E1977">
        <v>2.2711037028576998E-9</v>
      </c>
      <c r="F1977">
        <v>3</v>
      </c>
      <c r="G1977" t="s">
        <v>1668</v>
      </c>
      <c r="H1977" t="s">
        <v>1669</v>
      </c>
      <c r="I1977" t="str">
        <f>HYPERLINK("https://zfin.org/ZDB-GENE-040801-249")</f>
        <v>https://zfin.org/ZDB-GENE-040801-249</v>
      </c>
      <c r="J1977" t="s">
        <v>1670</v>
      </c>
    </row>
    <row r="1978" spans="1:10" x14ac:dyDescent="0.2">
      <c r="A1978">
        <v>1.87405998332388E-13</v>
      </c>
      <c r="B1978">
        <v>0.35228687367970501</v>
      </c>
      <c r="C1978">
        <v>0.22700000000000001</v>
      </c>
      <c r="D1978">
        <v>0.06</v>
      </c>
      <c r="E1978">
        <v>2.6045685648235301E-9</v>
      </c>
      <c r="F1978">
        <v>3</v>
      </c>
      <c r="G1978" t="s">
        <v>4428</v>
      </c>
      <c r="H1978" t="s">
        <v>4429</v>
      </c>
      <c r="I1978" t="str">
        <f>HYPERLINK("https://zfin.org/ZDB-GENE-040808-28")</f>
        <v>https://zfin.org/ZDB-GENE-040808-28</v>
      </c>
      <c r="J1978" t="s">
        <v>4430</v>
      </c>
    </row>
    <row r="1979" spans="1:10" x14ac:dyDescent="0.2">
      <c r="A1979">
        <v>1.9104986387252001E-13</v>
      </c>
      <c r="B1979">
        <v>0.36277096779914902</v>
      </c>
      <c r="C1979">
        <v>0.318</v>
      </c>
      <c r="D1979">
        <v>0.10299999999999999</v>
      </c>
      <c r="E1979">
        <v>2.6552110081002802E-9</v>
      </c>
      <c r="F1979">
        <v>3</v>
      </c>
      <c r="G1979" t="s">
        <v>4431</v>
      </c>
      <c r="H1979" t="s">
        <v>4432</v>
      </c>
      <c r="I1979" t="str">
        <f>HYPERLINK("https://zfin.org/ZDB-GENE-030616-252")</f>
        <v>https://zfin.org/ZDB-GENE-030616-252</v>
      </c>
      <c r="J1979" t="s">
        <v>4433</v>
      </c>
    </row>
    <row r="1980" spans="1:10" x14ac:dyDescent="0.2">
      <c r="A1980">
        <v>2.2234685811896399E-13</v>
      </c>
      <c r="B1980">
        <v>0.36737597542731398</v>
      </c>
      <c r="C1980">
        <v>0.121</v>
      </c>
      <c r="D1980">
        <v>2.1000000000000001E-2</v>
      </c>
      <c r="E1980">
        <v>3.09017663413736E-9</v>
      </c>
      <c r="F1980">
        <v>3</v>
      </c>
      <c r="G1980" t="s">
        <v>372</v>
      </c>
      <c r="H1980" t="s">
        <v>373</v>
      </c>
      <c r="I1980" t="str">
        <f>HYPERLINK("https://zfin.org/ZDB-GENE-060201-2")</f>
        <v>https://zfin.org/ZDB-GENE-060201-2</v>
      </c>
      <c r="J1980" t="s">
        <v>374</v>
      </c>
    </row>
    <row r="1981" spans="1:10" x14ac:dyDescent="0.2">
      <c r="A1981">
        <v>2.24948377315458E-13</v>
      </c>
      <c r="B1981">
        <v>0.26084583713302201</v>
      </c>
      <c r="C1981">
        <v>1</v>
      </c>
      <c r="D1981">
        <v>0.97399999999999998</v>
      </c>
      <c r="E1981">
        <v>3.1263325479302401E-9</v>
      </c>
      <c r="F1981">
        <v>3</v>
      </c>
      <c r="G1981" t="s">
        <v>2361</v>
      </c>
      <c r="H1981" t="s">
        <v>2362</v>
      </c>
      <c r="I1981" t="str">
        <f>HYPERLINK("https://zfin.org/ZDB-GENE-040801-183")</f>
        <v>https://zfin.org/ZDB-GENE-040801-183</v>
      </c>
      <c r="J1981" t="s">
        <v>2363</v>
      </c>
    </row>
    <row r="1982" spans="1:10" x14ac:dyDescent="0.2">
      <c r="A1982">
        <v>2.4957325175369199E-13</v>
      </c>
      <c r="B1982">
        <v>0.32218589232956502</v>
      </c>
      <c r="C1982">
        <v>0.17399999999999999</v>
      </c>
      <c r="D1982">
        <v>3.9E-2</v>
      </c>
      <c r="E1982">
        <v>3.4685690528728101E-9</v>
      </c>
      <c r="F1982">
        <v>3</v>
      </c>
      <c r="G1982" t="s">
        <v>4434</v>
      </c>
      <c r="H1982" t="s">
        <v>4435</v>
      </c>
      <c r="I1982" t="str">
        <f>HYPERLINK("https://zfin.org/ZDB-GENE-030131-3278")</f>
        <v>https://zfin.org/ZDB-GENE-030131-3278</v>
      </c>
      <c r="J1982" t="s">
        <v>4436</v>
      </c>
    </row>
    <row r="1983" spans="1:10" x14ac:dyDescent="0.2">
      <c r="A1983">
        <v>2.6841874589434302E-13</v>
      </c>
      <c r="B1983">
        <v>0.48710256847458</v>
      </c>
      <c r="C1983">
        <v>0.53</v>
      </c>
      <c r="D1983">
        <v>0.246</v>
      </c>
      <c r="E1983">
        <v>3.7304837304395803E-9</v>
      </c>
      <c r="F1983">
        <v>3</v>
      </c>
      <c r="G1983" t="s">
        <v>4437</v>
      </c>
      <c r="H1983" t="s">
        <v>4438</v>
      </c>
      <c r="I1983" t="str">
        <f>HYPERLINK("https://zfin.org/ZDB-GENE-030131-1600")</f>
        <v>https://zfin.org/ZDB-GENE-030131-1600</v>
      </c>
      <c r="J1983" t="s">
        <v>4439</v>
      </c>
    </row>
    <row r="1984" spans="1:10" x14ac:dyDescent="0.2">
      <c r="A1984">
        <v>2.7435543250030298E-13</v>
      </c>
      <c r="B1984">
        <v>0.32032817090299498</v>
      </c>
      <c r="C1984">
        <v>0.25</v>
      </c>
      <c r="D1984">
        <v>7.0999999999999994E-2</v>
      </c>
      <c r="E1984">
        <v>3.8129918008892099E-9</v>
      </c>
      <c r="F1984">
        <v>3</v>
      </c>
      <c r="G1984" t="s">
        <v>4440</v>
      </c>
      <c r="H1984" t="s">
        <v>4441</v>
      </c>
      <c r="I1984" t="str">
        <f>HYPERLINK("https://zfin.org/ZDB-GENE-040426-710")</f>
        <v>https://zfin.org/ZDB-GENE-040426-710</v>
      </c>
      <c r="J1984" t="s">
        <v>4442</v>
      </c>
    </row>
    <row r="1985" spans="1:10" x14ac:dyDescent="0.2">
      <c r="A1985">
        <v>2.9859513362033E-13</v>
      </c>
      <c r="B1985">
        <v>0.26449348182898402</v>
      </c>
      <c r="C1985">
        <v>0.17399999999999999</v>
      </c>
      <c r="D1985">
        <v>3.9E-2</v>
      </c>
      <c r="E1985">
        <v>4.1498751670553399E-9</v>
      </c>
      <c r="F1985">
        <v>3</v>
      </c>
      <c r="G1985" t="s">
        <v>4443</v>
      </c>
      <c r="H1985" t="s">
        <v>4444</v>
      </c>
      <c r="I1985" t="str">
        <f>HYPERLINK("https://zfin.org/ZDB-GENE-040426-1569")</f>
        <v>https://zfin.org/ZDB-GENE-040426-1569</v>
      </c>
      <c r="J1985" t="s">
        <v>4445</v>
      </c>
    </row>
    <row r="1986" spans="1:10" x14ac:dyDescent="0.2">
      <c r="A1986">
        <v>3.0593792426889499E-13</v>
      </c>
      <c r="B1986">
        <v>0.35939382853206298</v>
      </c>
      <c r="C1986">
        <v>0.34100000000000003</v>
      </c>
      <c r="D1986">
        <v>0.11799999999999999</v>
      </c>
      <c r="E1986">
        <v>4.2519252714891001E-9</v>
      </c>
      <c r="F1986">
        <v>3</v>
      </c>
      <c r="G1986" t="s">
        <v>4446</v>
      </c>
      <c r="H1986" t="s">
        <v>4447</v>
      </c>
      <c r="I1986" t="str">
        <f>HYPERLINK("https://zfin.org/ZDB-GENE-080204-83")</f>
        <v>https://zfin.org/ZDB-GENE-080204-83</v>
      </c>
      <c r="J1986" t="s">
        <v>4448</v>
      </c>
    </row>
    <row r="1987" spans="1:10" x14ac:dyDescent="0.2">
      <c r="A1987">
        <v>3.1627992869812201E-13</v>
      </c>
      <c r="B1987">
        <v>0.53168304902292596</v>
      </c>
      <c r="C1987">
        <v>0.22</v>
      </c>
      <c r="D1987">
        <v>0.06</v>
      </c>
      <c r="E1987">
        <v>4.3956584490465002E-9</v>
      </c>
      <c r="F1987">
        <v>3</v>
      </c>
      <c r="G1987" t="s">
        <v>4449</v>
      </c>
      <c r="H1987" t="s">
        <v>4450</v>
      </c>
      <c r="I1987" t="str">
        <f>HYPERLINK("https://zfin.org/ZDB-GENE-030826-1")</f>
        <v>https://zfin.org/ZDB-GENE-030826-1</v>
      </c>
      <c r="J1987" t="s">
        <v>4451</v>
      </c>
    </row>
    <row r="1988" spans="1:10" x14ac:dyDescent="0.2">
      <c r="A1988">
        <v>3.3623407477121499E-13</v>
      </c>
      <c r="B1988">
        <v>0.449881291898723</v>
      </c>
      <c r="C1988">
        <v>0.57599999999999996</v>
      </c>
      <c r="D1988">
        <v>0.26400000000000001</v>
      </c>
      <c r="E1988">
        <v>4.67298117117034E-9</v>
      </c>
      <c r="F1988">
        <v>3</v>
      </c>
      <c r="G1988" t="s">
        <v>1326</v>
      </c>
      <c r="H1988" t="s">
        <v>1327</v>
      </c>
      <c r="I1988" t="str">
        <f>HYPERLINK("https://zfin.org/ZDB-GENE-030131-8410")</f>
        <v>https://zfin.org/ZDB-GENE-030131-8410</v>
      </c>
      <c r="J1988" t="s">
        <v>1328</v>
      </c>
    </row>
    <row r="1989" spans="1:10" x14ac:dyDescent="0.2">
      <c r="A1989">
        <v>3.3753738163300199E-13</v>
      </c>
      <c r="B1989">
        <v>0.32716338408449303</v>
      </c>
      <c r="C1989">
        <v>0.22700000000000001</v>
      </c>
      <c r="D1989">
        <v>6.0999999999999999E-2</v>
      </c>
      <c r="E1989">
        <v>4.6910945299354604E-9</v>
      </c>
      <c r="F1989">
        <v>3</v>
      </c>
      <c r="G1989" t="s">
        <v>4452</v>
      </c>
      <c r="H1989" t="s">
        <v>4453</v>
      </c>
      <c r="I1989" t="str">
        <f>HYPERLINK("https://zfin.org/ZDB-GENE-030131-966")</f>
        <v>https://zfin.org/ZDB-GENE-030131-966</v>
      </c>
      <c r="J1989" t="s">
        <v>4454</v>
      </c>
    </row>
    <row r="1990" spans="1:10" x14ac:dyDescent="0.2">
      <c r="A1990">
        <v>3.41551367514815E-13</v>
      </c>
      <c r="B1990">
        <v>0.268251060307928</v>
      </c>
      <c r="C1990">
        <v>0.19700000000000001</v>
      </c>
      <c r="D1990">
        <v>4.9000000000000002E-2</v>
      </c>
      <c r="E1990">
        <v>4.7468809057209097E-9</v>
      </c>
      <c r="F1990">
        <v>3</v>
      </c>
      <c r="G1990" t="s">
        <v>345</v>
      </c>
      <c r="H1990" t="s">
        <v>346</v>
      </c>
      <c r="I1990" t="str">
        <f>HYPERLINK("https://zfin.org/ZDB-GENE-021022-2")</f>
        <v>https://zfin.org/ZDB-GENE-021022-2</v>
      </c>
      <c r="J1990" t="s">
        <v>347</v>
      </c>
    </row>
    <row r="1991" spans="1:10" x14ac:dyDescent="0.2">
      <c r="A1991">
        <v>3.5332372963968502E-13</v>
      </c>
      <c r="B1991">
        <v>0.35400825448803702</v>
      </c>
      <c r="C1991">
        <v>0.129</v>
      </c>
      <c r="D1991">
        <v>2.3E-2</v>
      </c>
      <c r="E1991">
        <v>4.9104931945323401E-9</v>
      </c>
      <c r="F1991">
        <v>3</v>
      </c>
      <c r="G1991" t="s">
        <v>4455</v>
      </c>
      <c r="H1991" t="s">
        <v>4456</v>
      </c>
      <c r="I1991" t="str">
        <f>HYPERLINK("https://zfin.org/ZDB-GENE-050208-508")</f>
        <v>https://zfin.org/ZDB-GENE-050208-508</v>
      </c>
      <c r="J1991" t="s">
        <v>4457</v>
      </c>
    </row>
    <row r="1992" spans="1:10" x14ac:dyDescent="0.2">
      <c r="A1992">
        <v>3.8865308630094498E-13</v>
      </c>
      <c r="B1992">
        <v>0.29844240156707003</v>
      </c>
      <c r="C1992">
        <v>0.30299999999999999</v>
      </c>
      <c r="D1992">
        <v>9.6000000000000002E-2</v>
      </c>
      <c r="E1992">
        <v>5.4015005934105301E-9</v>
      </c>
      <c r="F1992">
        <v>3</v>
      </c>
      <c r="G1992" t="s">
        <v>4458</v>
      </c>
      <c r="H1992" t="s">
        <v>4459</v>
      </c>
      <c r="I1992" t="str">
        <f>HYPERLINK("https://zfin.org/ZDB-GENE-040727-4")</f>
        <v>https://zfin.org/ZDB-GENE-040727-4</v>
      </c>
      <c r="J1992" t="s">
        <v>4460</v>
      </c>
    </row>
    <row r="1993" spans="1:10" x14ac:dyDescent="0.2">
      <c r="A1993">
        <v>3.9260300159570701E-13</v>
      </c>
      <c r="B1993">
        <v>0.48640407631168497</v>
      </c>
      <c r="C1993">
        <v>0.47</v>
      </c>
      <c r="D1993">
        <v>0.19800000000000001</v>
      </c>
      <c r="E1993">
        <v>5.4563965161771398E-9</v>
      </c>
      <c r="F1993">
        <v>3</v>
      </c>
      <c r="G1993" t="s">
        <v>4461</v>
      </c>
      <c r="H1993" t="s">
        <v>4462</v>
      </c>
      <c r="I1993" t="str">
        <f>HYPERLINK("https://zfin.org/ZDB-GENE-040625-116")</f>
        <v>https://zfin.org/ZDB-GENE-040625-116</v>
      </c>
      <c r="J1993" t="s">
        <v>4463</v>
      </c>
    </row>
    <row r="1994" spans="1:10" x14ac:dyDescent="0.2">
      <c r="A1994">
        <v>4.2109205789462898E-13</v>
      </c>
      <c r="B1994">
        <v>0.36920405983947902</v>
      </c>
      <c r="C1994">
        <v>0.33300000000000002</v>
      </c>
      <c r="D1994">
        <v>0.114</v>
      </c>
      <c r="E1994">
        <v>5.8523374206195498E-9</v>
      </c>
      <c r="F1994">
        <v>3</v>
      </c>
      <c r="G1994" t="s">
        <v>1361</v>
      </c>
      <c r="H1994" t="s">
        <v>1362</v>
      </c>
      <c r="I1994" t="str">
        <f>HYPERLINK("https://zfin.org/ZDB-GENE-040614-2")</f>
        <v>https://zfin.org/ZDB-GENE-040614-2</v>
      </c>
      <c r="J1994" t="s">
        <v>1363</v>
      </c>
    </row>
    <row r="1995" spans="1:10" x14ac:dyDescent="0.2">
      <c r="A1995">
        <v>4.2516123529579397E-13</v>
      </c>
      <c r="B1995">
        <v>0.36180520864460602</v>
      </c>
      <c r="C1995">
        <v>0.22700000000000001</v>
      </c>
      <c r="D1995">
        <v>6.2E-2</v>
      </c>
      <c r="E1995">
        <v>5.9088908481409398E-9</v>
      </c>
      <c r="F1995">
        <v>3</v>
      </c>
      <c r="G1995" t="s">
        <v>4464</v>
      </c>
      <c r="H1995" t="s">
        <v>4465</v>
      </c>
      <c r="I1995" t="str">
        <f>HYPERLINK("https://zfin.org/ZDB-GENE-040905-4")</f>
        <v>https://zfin.org/ZDB-GENE-040905-4</v>
      </c>
      <c r="J1995" t="s">
        <v>4466</v>
      </c>
    </row>
    <row r="1996" spans="1:10" x14ac:dyDescent="0.2">
      <c r="A1996">
        <v>4.2559195053467E-13</v>
      </c>
      <c r="B1996">
        <v>0.35576642739185599</v>
      </c>
      <c r="C1996">
        <v>0.97699999999999998</v>
      </c>
      <c r="D1996">
        <v>0.85299999999999998</v>
      </c>
      <c r="E1996">
        <v>5.9148769285308399E-9</v>
      </c>
      <c r="F1996">
        <v>3</v>
      </c>
      <c r="G1996" t="s">
        <v>4467</v>
      </c>
      <c r="H1996" t="s">
        <v>4468</v>
      </c>
      <c r="I1996" t="str">
        <f>HYPERLINK("https://zfin.org/ZDB-GENE-030131-168")</f>
        <v>https://zfin.org/ZDB-GENE-030131-168</v>
      </c>
      <c r="J1996" t="s">
        <v>4469</v>
      </c>
    </row>
    <row r="1997" spans="1:10" x14ac:dyDescent="0.2">
      <c r="A1997">
        <v>4.49979913830625E-13</v>
      </c>
      <c r="B1997">
        <v>0.35672125076691402</v>
      </c>
      <c r="C1997">
        <v>0.47</v>
      </c>
      <c r="D1997">
        <v>0.19</v>
      </c>
      <c r="E1997">
        <v>6.2538208424180303E-9</v>
      </c>
      <c r="F1997">
        <v>3</v>
      </c>
      <c r="G1997" t="s">
        <v>4470</v>
      </c>
      <c r="H1997" t="s">
        <v>4471</v>
      </c>
      <c r="I1997" t="str">
        <f>HYPERLINK("https://zfin.org/ZDB-GENE-040426-1266")</f>
        <v>https://zfin.org/ZDB-GENE-040426-1266</v>
      </c>
      <c r="J1997" t="s">
        <v>4472</v>
      </c>
    </row>
    <row r="1998" spans="1:10" x14ac:dyDescent="0.2">
      <c r="A1998">
        <v>4.7033217199751797E-13</v>
      </c>
      <c r="B1998">
        <v>0.29047104692546399</v>
      </c>
      <c r="C1998">
        <v>1</v>
      </c>
      <c r="D1998">
        <v>0.95299999999999996</v>
      </c>
      <c r="E1998">
        <v>6.5366765264214999E-9</v>
      </c>
      <c r="F1998">
        <v>3</v>
      </c>
      <c r="G1998" t="s">
        <v>2349</v>
      </c>
      <c r="H1998" t="s">
        <v>2350</v>
      </c>
      <c r="I1998" t="str">
        <f>HYPERLINK("https://zfin.org/ZDB-GENE-030131-8656")</f>
        <v>https://zfin.org/ZDB-GENE-030131-8656</v>
      </c>
      <c r="J1998" t="s">
        <v>2351</v>
      </c>
    </row>
    <row r="1999" spans="1:10" x14ac:dyDescent="0.2">
      <c r="A1999">
        <v>4.7490174078282996E-13</v>
      </c>
      <c r="B1999">
        <v>0.27794952371700399</v>
      </c>
      <c r="C1999">
        <v>0.21199999999999999</v>
      </c>
      <c r="D1999">
        <v>5.3999999999999999E-2</v>
      </c>
      <c r="E1999">
        <v>6.60018439339977E-9</v>
      </c>
      <c r="F1999">
        <v>3</v>
      </c>
      <c r="G1999" t="s">
        <v>4473</v>
      </c>
      <c r="H1999" t="s">
        <v>4474</v>
      </c>
      <c r="I1999" t="str">
        <f>HYPERLINK("https://zfin.org/ZDB-GENE-031030-3")</f>
        <v>https://zfin.org/ZDB-GENE-031030-3</v>
      </c>
      <c r="J1999" t="s">
        <v>4475</v>
      </c>
    </row>
    <row r="2000" spans="1:10" x14ac:dyDescent="0.2">
      <c r="A2000">
        <v>4.7624099914222801E-13</v>
      </c>
      <c r="B2000">
        <v>0.29032087991252797</v>
      </c>
      <c r="C2000">
        <v>0.23499999999999999</v>
      </c>
      <c r="D2000">
        <v>6.3E-2</v>
      </c>
      <c r="E2000">
        <v>6.6187974060786901E-9</v>
      </c>
      <c r="F2000">
        <v>3</v>
      </c>
      <c r="G2000" t="s">
        <v>19</v>
      </c>
      <c r="H2000" t="s">
        <v>20</v>
      </c>
      <c r="I2000" t="str">
        <f>HYPERLINK("https://zfin.org/ZDB-GENE-050413-1")</f>
        <v>https://zfin.org/ZDB-GENE-050413-1</v>
      </c>
      <c r="J2000" t="s">
        <v>21</v>
      </c>
    </row>
    <row r="2001" spans="1:10" x14ac:dyDescent="0.2">
      <c r="A2001">
        <v>4.7696437070206104E-13</v>
      </c>
      <c r="B2001">
        <v>0.461592375347607</v>
      </c>
      <c r="C2001">
        <v>0.86399999999999999</v>
      </c>
      <c r="D2001">
        <v>0.59399999999999997</v>
      </c>
      <c r="E2001">
        <v>6.6288508240172401E-9</v>
      </c>
      <c r="F2001">
        <v>3</v>
      </c>
      <c r="G2001" t="s">
        <v>3065</v>
      </c>
      <c r="H2001" t="s">
        <v>3066</v>
      </c>
      <c r="I2001" t="str">
        <f>HYPERLINK("https://zfin.org/ZDB-GENE-030131-215")</f>
        <v>https://zfin.org/ZDB-GENE-030131-215</v>
      </c>
      <c r="J2001" t="s">
        <v>3067</v>
      </c>
    </row>
    <row r="2002" spans="1:10" x14ac:dyDescent="0.2">
      <c r="A2002">
        <v>5.0596445460753196E-13</v>
      </c>
      <c r="B2002">
        <v>0.35858941312544401</v>
      </c>
      <c r="C2002">
        <v>0.159</v>
      </c>
      <c r="D2002">
        <v>3.5000000000000003E-2</v>
      </c>
      <c r="E2002">
        <v>7.0318939901354798E-9</v>
      </c>
      <c r="F2002">
        <v>3</v>
      </c>
      <c r="G2002" t="s">
        <v>501</v>
      </c>
      <c r="H2002" t="s">
        <v>502</v>
      </c>
      <c r="I2002" t="str">
        <f>HYPERLINK("https://zfin.org/ZDB-GENE-040718-445")</f>
        <v>https://zfin.org/ZDB-GENE-040718-445</v>
      </c>
      <c r="J2002" t="s">
        <v>503</v>
      </c>
    </row>
    <row r="2003" spans="1:10" x14ac:dyDescent="0.2">
      <c r="A2003">
        <v>5.4815966165705001E-13</v>
      </c>
      <c r="B2003">
        <v>0.43723651781626099</v>
      </c>
      <c r="C2003">
        <v>0.50800000000000001</v>
      </c>
      <c r="D2003">
        <v>0.222</v>
      </c>
      <c r="E2003">
        <v>7.6183229777096707E-9</v>
      </c>
      <c r="F2003">
        <v>3</v>
      </c>
      <c r="G2003" t="s">
        <v>4476</v>
      </c>
      <c r="H2003" t="s">
        <v>4477</v>
      </c>
      <c r="I2003" t="str">
        <f>HYPERLINK("https://zfin.org/ZDB-GENE-040426-1385")</f>
        <v>https://zfin.org/ZDB-GENE-040426-1385</v>
      </c>
      <c r="J2003" t="s">
        <v>4478</v>
      </c>
    </row>
    <row r="2004" spans="1:10" x14ac:dyDescent="0.2">
      <c r="A2004">
        <v>5.5336320850213605E-13</v>
      </c>
      <c r="B2004">
        <v>0.27619492514840699</v>
      </c>
      <c r="C2004">
        <v>0.98499999999999999</v>
      </c>
      <c r="D2004">
        <v>0.96299999999999997</v>
      </c>
      <c r="E2004">
        <v>7.6906418717626802E-9</v>
      </c>
      <c r="F2004">
        <v>3</v>
      </c>
      <c r="G2004" t="s">
        <v>2370</v>
      </c>
      <c r="H2004" t="s">
        <v>2371</v>
      </c>
      <c r="I2004" t="str">
        <f>HYPERLINK("https://zfin.org/ZDB-GENE-030131-9092")</f>
        <v>https://zfin.org/ZDB-GENE-030131-9092</v>
      </c>
      <c r="J2004" t="s">
        <v>2372</v>
      </c>
    </row>
    <row r="2005" spans="1:10" x14ac:dyDescent="0.2">
      <c r="A2005">
        <v>5.6260990853283604E-13</v>
      </c>
      <c r="B2005">
        <v>0.51054157743622197</v>
      </c>
      <c r="C2005">
        <v>0.78</v>
      </c>
      <c r="D2005">
        <v>0.51</v>
      </c>
      <c r="E2005">
        <v>7.8191525087893493E-9</v>
      </c>
      <c r="F2005">
        <v>3</v>
      </c>
      <c r="G2005" t="s">
        <v>4479</v>
      </c>
      <c r="H2005" t="s">
        <v>4480</v>
      </c>
      <c r="I2005" t="str">
        <f>HYPERLINK("https://zfin.org/ZDB-GENE-030131-8480")</f>
        <v>https://zfin.org/ZDB-GENE-030131-8480</v>
      </c>
      <c r="J2005" t="s">
        <v>4481</v>
      </c>
    </row>
    <row r="2006" spans="1:10" x14ac:dyDescent="0.2">
      <c r="A2006">
        <v>5.9390047858304702E-13</v>
      </c>
      <c r="B2006">
        <v>0.30037178175550899</v>
      </c>
      <c r="C2006">
        <v>0.99199999999999999</v>
      </c>
      <c r="D2006">
        <v>0.94099999999999995</v>
      </c>
      <c r="E2006">
        <v>8.2540288513471901E-9</v>
      </c>
      <c r="F2006">
        <v>3</v>
      </c>
      <c r="G2006" t="s">
        <v>2367</v>
      </c>
      <c r="H2006" t="s">
        <v>2368</v>
      </c>
      <c r="I2006" t="str">
        <f>HYPERLINK("https://zfin.org/ZDB-GENE-030131-8512")</f>
        <v>https://zfin.org/ZDB-GENE-030131-8512</v>
      </c>
      <c r="J2006" t="s">
        <v>2369</v>
      </c>
    </row>
    <row r="2007" spans="1:10" x14ac:dyDescent="0.2">
      <c r="A2007">
        <v>6.1071482292166104E-13</v>
      </c>
      <c r="B2007">
        <v>0.46719252185910298</v>
      </c>
      <c r="C2007">
        <v>0.67400000000000004</v>
      </c>
      <c r="D2007">
        <v>0.35399999999999998</v>
      </c>
      <c r="E2007">
        <v>8.4877146089652495E-9</v>
      </c>
      <c r="F2007">
        <v>3</v>
      </c>
      <c r="G2007" t="s">
        <v>1525</v>
      </c>
      <c r="H2007" t="s">
        <v>1526</v>
      </c>
      <c r="I2007" t="str">
        <f>HYPERLINK("https://zfin.org/ZDB-GENE-040426-1781")</f>
        <v>https://zfin.org/ZDB-GENE-040426-1781</v>
      </c>
      <c r="J2007" t="s">
        <v>1527</v>
      </c>
    </row>
    <row r="2008" spans="1:10" x14ac:dyDescent="0.2">
      <c r="A2008">
        <v>6.9438688813874505E-13</v>
      </c>
      <c r="B2008">
        <v>0.46547820675185803</v>
      </c>
      <c r="C2008">
        <v>0.47</v>
      </c>
      <c r="D2008">
        <v>0.20300000000000001</v>
      </c>
      <c r="E2008">
        <v>9.6505889713522699E-9</v>
      </c>
      <c r="F2008">
        <v>3</v>
      </c>
      <c r="G2008" t="s">
        <v>2045</v>
      </c>
      <c r="H2008" t="s">
        <v>2046</v>
      </c>
      <c r="I2008" t="str">
        <f>HYPERLINK("https://zfin.org/ZDB-GENE-100427-3")</f>
        <v>https://zfin.org/ZDB-GENE-100427-3</v>
      </c>
      <c r="J2008" t="s">
        <v>2047</v>
      </c>
    </row>
    <row r="2009" spans="1:10" x14ac:dyDescent="0.2">
      <c r="A2009">
        <v>7.3121053943898898E-13</v>
      </c>
      <c r="B2009">
        <v>-0.70780167942615302</v>
      </c>
      <c r="C2009">
        <v>0.67400000000000004</v>
      </c>
      <c r="D2009">
        <v>0.76900000000000002</v>
      </c>
      <c r="E2009">
        <v>1.01623640771231E-8</v>
      </c>
      <c r="F2009">
        <v>3</v>
      </c>
      <c r="G2009" t="s">
        <v>4482</v>
      </c>
      <c r="H2009" t="s">
        <v>4483</v>
      </c>
      <c r="I2009" t="str">
        <f>HYPERLINK("https://zfin.org/ZDB-GENE-030131-8247")</f>
        <v>https://zfin.org/ZDB-GENE-030131-8247</v>
      </c>
      <c r="J2009" t="s">
        <v>4484</v>
      </c>
    </row>
    <row r="2010" spans="1:10" x14ac:dyDescent="0.2">
      <c r="A2010">
        <v>7.58058061323297E-13</v>
      </c>
      <c r="B2010">
        <v>0.30076217080183598</v>
      </c>
      <c r="C2010">
        <v>0.26500000000000001</v>
      </c>
      <c r="D2010">
        <v>7.9000000000000001E-2</v>
      </c>
      <c r="E2010">
        <v>1.0535490936271201E-8</v>
      </c>
      <c r="F2010">
        <v>3</v>
      </c>
      <c r="G2010" t="s">
        <v>4485</v>
      </c>
      <c r="H2010" t="s">
        <v>4486</v>
      </c>
      <c r="I2010" t="str">
        <f>HYPERLINK("https://zfin.org/ZDB-GENE-030131-2694")</f>
        <v>https://zfin.org/ZDB-GENE-030131-2694</v>
      </c>
      <c r="J2010" t="s">
        <v>4487</v>
      </c>
    </row>
    <row r="2011" spans="1:10" x14ac:dyDescent="0.2">
      <c r="A2011">
        <v>7.5865258381127801E-13</v>
      </c>
      <c r="B2011">
        <v>-0.9928402768122</v>
      </c>
      <c r="C2011">
        <v>0.182</v>
      </c>
      <c r="D2011">
        <v>0.45200000000000001</v>
      </c>
      <c r="E2011">
        <v>1.0543753609809101E-8</v>
      </c>
      <c r="F2011">
        <v>3</v>
      </c>
      <c r="G2011" t="s">
        <v>2394</v>
      </c>
      <c r="H2011" t="s">
        <v>2395</v>
      </c>
      <c r="I2011" t="str">
        <f>HYPERLINK("https://zfin.org/ZDB-GENE-990415-229")</f>
        <v>https://zfin.org/ZDB-GENE-990415-229</v>
      </c>
      <c r="J2011" t="s">
        <v>2396</v>
      </c>
    </row>
    <row r="2012" spans="1:10" x14ac:dyDescent="0.2">
      <c r="A2012">
        <v>7.8246594975143897E-13</v>
      </c>
      <c r="B2012">
        <v>0.35492674149734599</v>
      </c>
      <c r="C2012">
        <v>0.40899999999999997</v>
      </c>
      <c r="D2012">
        <v>0.156</v>
      </c>
      <c r="E2012">
        <v>1.08747117696455E-8</v>
      </c>
      <c r="F2012">
        <v>3</v>
      </c>
      <c r="G2012" t="s">
        <v>4488</v>
      </c>
      <c r="H2012" t="s">
        <v>4489</v>
      </c>
      <c r="I2012" t="str">
        <f>HYPERLINK("https://zfin.org/ZDB-GENE-030131-591")</f>
        <v>https://zfin.org/ZDB-GENE-030131-591</v>
      </c>
      <c r="J2012" t="s">
        <v>4490</v>
      </c>
    </row>
    <row r="2013" spans="1:10" x14ac:dyDescent="0.2">
      <c r="A2013">
        <v>7.8779521049783205E-13</v>
      </c>
      <c r="B2013">
        <v>0.25874549366597099</v>
      </c>
      <c r="C2013">
        <v>1</v>
      </c>
      <c r="D2013">
        <v>0.97399999999999998</v>
      </c>
      <c r="E2013">
        <v>1.0948777835498901E-8</v>
      </c>
      <c r="F2013">
        <v>3</v>
      </c>
      <c r="G2013" t="s">
        <v>1982</v>
      </c>
      <c r="H2013" t="s">
        <v>1983</v>
      </c>
      <c r="I2013" t="str">
        <f>HYPERLINK("https://zfin.org/ZDB-GENE-030131-8756")</f>
        <v>https://zfin.org/ZDB-GENE-030131-8756</v>
      </c>
      <c r="J2013" t="s">
        <v>1984</v>
      </c>
    </row>
    <row r="2014" spans="1:10" x14ac:dyDescent="0.2">
      <c r="A2014">
        <v>8.1349349926809995E-13</v>
      </c>
      <c r="B2014">
        <v>-0.99752163783398395</v>
      </c>
      <c r="C2014">
        <v>3.7999999999999999E-2</v>
      </c>
      <c r="D2014">
        <v>0.33400000000000002</v>
      </c>
      <c r="E2014">
        <v>1.13059326528281E-8</v>
      </c>
      <c r="F2014">
        <v>3</v>
      </c>
      <c r="G2014" t="s">
        <v>3163</v>
      </c>
      <c r="H2014" t="s">
        <v>3164</v>
      </c>
      <c r="I2014" t="str">
        <f>HYPERLINK("https://zfin.org/ZDB-GENE-030131-8455")</f>
        <v>https://zfin.org/ZDB-GENE-030131-8455</v>
      </c>
      <c r="J2014" t="s">
        <v>3165</v>
      </c>
    </row>
    <row r="2015" spans="1:10" x14ac:dyDescent="0.2">
      <c r="A2015">
        <v>8.2678203027058604E-13</v>
      </c>
      <c r="B2015">
        <v>0.55877495593340198</v>
      </c>
      <c r="C2015">
        <v>0.57599999999999996</v>
      </c>
      <c r="D2015">
        <v>0.28000000000000003</v>
      </c>
      <c r="E2015">
        <v>1.1490616656700599E-8</v>
      </c>
      <c r="F2015">
        <v>3</v>
      </c>
      <c r="G2015" t="s">
        <v>790</v>
      </c>
      <c r="H2015" t="s">
        <v>791</v>
      </c>
      <c r="I2015" t="str">
        <f>HYPERLINK("https://zfin.org/ZDB-GENE-060331-97")</f>
        <v>https://zfin.org/ZDB-GENE-060331-97</v>
      </c>
      <c r="J2015" t="s">
        <v>792</v>
      </c>
    </row>
    <row r="2016" spans="1:10" x14ac:dyDescent="0.2">
      <c r="A2016">
        <v>8.9228637859713601E-13</v>
      </c>
      <c r="B2016">
        <v>0.36133426254960199</v>
      </c>
      <c r="C2016">
        <v>0.25</v>
      </c>
      <c r="D2016">
        <v>7.4999999999999997E-2</v>
      </c>
      <c r="E2016">
        <v>1.2400996089743E-8</v>
      </c>
      <c r="F2016">
        <v>3</v>
      </c>
      <c r="G2016" t="s">
        <v>1728</v>
      </c>
      <c r="H2016" t="s">
        <v>1729</v>
      </c>
      <c r="I2016" t="str">
        <f>HYPERLINK("https://zfin.org/ZDB-GENE-050522-152")</f>
        <v>https://zfin.org/ZDB-GENE-050522-152</v>
      </c>
      <c r="J2016" t="s">
        <v>1730</v>
      </c>
    </row>
    <row r="2017" spans="1:10" x14ac:dyDescent="0.2">
      <c r="A2017">
        <v>8.9526624893830302E-13</v>
      </c>
      <c r="B2017">
        <v>0.36112360441063701</v>
      </c>
      <c r="C2017">
        <v>0.33300000000000002</v>
      </c>
      <c r="D2017">
        <v>0.11600000000000001</v>
      </c>
      <c r="E2017">
        <v>1.24424103277445E-8</v>
      </c>
      <c r="F2017">
        <v>3</v>
      </c>
      <c r="G2017" t="s">
        <v>4491</v>
      </c>
      <c r="H2017" t="s">
        <v>4492</v>
      </c>
      <c r="I2017" t="str">
        <f>HYPERLINK("https://zfin.org/ZDB-GENE-020419-36")</f>
        <v>https://zfin.org/ZDB-GENE-020419-36</v>
      </c>
      <c r="J2017" t="s">
        <v>4493</v>
      </c>
    </row>
    <row r="2018" spans="1:10" x14ac:dyDescent="0.2">
      <c r="A2018">
        <v>9.2941260311617704E-13</v>
      </c>
      <c r="B2018">
        <v>-1.04157853076153</v>
      </c>
      <c r="C2018">
        <v>0.22700000000000001</v>
      </c>
      <c r="D2018">
        <v>0.48399999999999999</v>
      </c>
      <c r="E2018">
        <v>1.2916976358108601E-8</v>
      </c>
      <c r="F2018">
        <v>3</v>
      </c>
      <c r="G2018" t="s">
        <v>4494</v>
      </c>
      <c r="H2018" t="s">
        <v>4495</v>
      </c>
      <c r="I2018" t="str">
        <f>HYPERLINK("https://zfin.org/ZDB-GENE-020910-1")</f>
        <v>https://zfin.org/ZDB-GENE-020910-1</v>
      </c>
      <c r="J2018" t="s">
        <v>4496</v>
      </c>
    </row>
    <row r="2019" spans="1:10" x14ac:dyDescent="0.2">
      <c r="A2019">
        <v>9.8564209552779695E-13</v>
      </c>
      <c r="B2019">
        <v>-0.90175464474445799</v>
      </c>
      <c r="C2019">
        <v>0.20499999999999999</v>
      </c>
      <c r="D2019">
        <v>0.48899999999999999</v>
      </c>
      <c r="E2019">
        <v>1.36984538436453E-8</v>
      </c>
      <c r="F2019">
        <v>3</v>
      </c>
      <c r="G2019" t="s">
        <v>2382</v>
      </c>
      <c r="H2019" t="s">
        <v>2383</v>
      </c>
      <c r="I2019" t="str">
        <f>HYPERLINK("https://zfin.org/ZDB-GENE-050208-317")</f>
        <v>https://zfin.org/ZDB-GENE-050208-317</v>
      </c>
      <c r="J2019" t="s">
        <v>2384</v>
      </c>
    </row>
    <row r="2020" spans="1:10" x14ac:dyDescent="0.2">
      <c r="A2020">
        <v>9.9459480843553604E-13</v>
      </c>
      <c r="B2020">
        <v>0.37967583772251301</v>
      </c>
      <c r="C2020">
        <v>0.59099999999999997</v>
      </c>
      <c r="D2020">
        <v>0.27200000000000002</v>
      </c>
      <c r="E2020">
        <v>1.38228786476371E-8</v>
      </c>
      <c r="F2020">
        <v>3</v>
      </c>
      <c r="G2020" t="s">
        <v>4497</v>
      </c>
      <c r="H2020" t="s">
        <v>4498</v>
      </c>
      <c r="I2020" t="str">
        <f>HYPERLINK("https://zfin.org/ZDB-GENE-040718-214")</f>
        <v>https://zfin.org/ZDB-GENE-040718-214</v>
      </c>
      <c r="J2020" t="s">
        <v>4499</v>
      </c>
    </row>
    <row r="2021" spans="1:10" x14ac:dyDescent="0.2">
      <c r="A2021">
        <v>1.0847860804418799E-12</v>
      </c>
      <c r="B2021">
        <v>-0.60794177803744598</v>
      </c>
      <c r="C2021">
        <v>0.72699999999999998</v>
      </c>
      <c r="D2021">
        <v>0.80700000000000005</v>
      </c>
      <c r="E2021">
        <v>1.5076356945981301E-8</v>
      </c>
      <c r="F2021">
        <v>3</v>
      </c>
      <c r="G2021" t="s">
        <v>1373</v>
      </c>
      <c r="H2021" t="s">
        <v>1374</v>
      </c>
      <c r="I2021" t="str">
        <f>HYPERLINK("https://zfin.org/ZDB-GENE-010726-1")</f>
        <v>https://zfin.org/ZDB-GENE-010726-1</v>
      </c>
      <c r="J2021" t="s">
        <v>1375</v>
      </c>
    </row>
    <row r="2022" spans="1:10" x14ac:dyDescent="0.2">
      <c r="A2022">
        <v>1.09719720038259E-12</v>
      </c>
      <c r="B2022">
        <v>0.275280804863412</v>
      </c>
      <c r="C2022">
        <v>0.14399999999999999</v>
      </c>
      <c r="D2022">
        <v>2.9000000000000001E-2</v>
      </c>
      <c r="E2022">
        <v>1.5248846690917198E-8</v>
      </c>
      <c r="F2022">
        <v>3</v>
      </c>
      <c r="G2022" t="s">
        <v>4500</v>
      </c>
      <c r="H2022" t="s">
        <v>4501</v>
      </c>
      <c r="I2022" t="str">
        <f>HYPERLINK("https://zfin.org/ZDB-GENE-040611-4")</f>
        <v>https://zfin.org/ZDB-GENE-040611-4</v>
      </c>
      <c r="J2022" t="s">
        <v>4502</v>
      </c>
    </row>
    <row r="2023" spans="1:10" x14ac:dyDescent="0.2">
      <c r="A2023">
        <v>1.19408488919828E-12</v>
      </c>
      <c r="B2023">
        <v>0.29002834407968198</v>
      </c>
      <c r="C2023">
        <v>0.28799999999999998</v>
      </c>
      <c r="D2023">
        <v>9.0999999999999998E-2</v>
      </c>
      <c r="E2023">
        <v>1.65953917900777E-8</v>
      </c>
      <c r="F2023">
        <v>3</v>
      </c>
      <c r="G2023" t="s">
        <v>4503</v>
      </c>
      <c r="H2023" t="s">
        <v>4504</v>
      </c>
      <c r="I2023" t="str">
        <f>HYPERLINK("https://zfin.org/ZDB-GENE-030131-395")</f>
        <v>https://zfin.org/ZDB-GENE-030131-395</v>
      </c>
      <c r="J2023" t="s">
        <v>4505</v>
      </c>
    </row>
    <row r="2024" spans="1:10" x14ac:dyDescent="0.2">
      <c r="A2024">
        <v>1.3273080076320801E-12</v>
      </c>
      <c r="B2024">
        <v>0.313673548587801</v>
      </c>
      <c r="C2024">
        <v>0.97</v>
      </c>
      <c r="D2024">
        <v>0.92500000000000004</v>
      </c>
      <c r="E2024">
        <v>1.8446926690070601E-8</v>
      </c>
      <c r="F2024">
        <v>3</v>
      </c>
      <c r="G2024" t="s">
        <v>2529</v>
      </c>
      <c r="H2024" t="s">
        <v>2530</v>
      </c>
      <c r="I2024" t="str">
        <f>HYPERLINK("https://zfin.org/ZDB-GENE-020419-12")</f>
        <v>https://zfin.org/ZDB-GENE-020419-12</v>
      </c>
      <c r="J2024" t="s">
        <v>2531</v>
      </c>
    </row>
    <row r="2025" spans="1:10" x14ac:dyDescent="0.2">
      <c r="A2025">
        <v>1.3562159591866599E-12</v>
      </c>
      <c r="B2025">
        <v>0.31778849581148999</v>
      </c>
      <c r="C2025">
        <v>0.182</v>
      </c>
      <c r="D2025">
        <v>4.3999999999999997E-2</v>
      </c>
      <c r="E2025">
        <v>1.8848689400776302E-8</v>
      </c>
      <c r="F2025">
        <v>3</v>
      </c>
      <c r="G2025" t="s">
        <v>4506</v>
      </c>
      <c r="H2025" t="s">
        <v>4507</v>
      </c>
      <c r="I2025" t="str">
        <f>HYPERLINK("https://zfin.org/ZDB-GENE-070911-3")</f>
        <v>https://zfin.org/ZDB-GENE-070911-3</v>
      </c>
      <c r="J2025" t="s">
        <v>4508</v>
      </c>
    </row>
    <row r="2026" spans="1:10" x14ac:dyDescent="0.2">
      <c r="A2026">
        <v>1.3685916101936E-12</v>
      </c>
      <c r="B2026">
        <v>0.29602993735387001</v>
      </c>
      <c r="C2026">
        <v>0.28000000000000003</v>
      </c>
      <c r="D2026">
        <v>8.7999999999999995E-2</v>
      </c>
      <c r="E2026">
        <v>1.9020686198470601E-8</v>
      </c>
      <c r="F2026">
        <v>3</v>
      </c>
      <c r="G2026" t="s">
        <v>4509</v>
      </c>
      <c r="H2026" t="s">
        <v>4510</v>
      </c>
      <c r="I2026" t="str">
        <f>HYPERLINK("https://zfin.org/ZDB-GENE-050522-200")</f>
        <v>https://zfin.org/ZDB-GENE-050522-200</v>
      </c>
      <c r="J2026" t="s">
        <v>4511</v>
      </c>
    </row>
    <row r="2027" spans="1:10" x14ac:dyDescent="0.2">
      <c r="A2027">
        <v>1.3797850946122301E-12</v>
      </c>
      <c r="B2027">
        <v>0.44307485169215099</v>
      </c>
      <c r="C2027">
        <v>0.879</v>
      </c>
      <c r="D2027">
        <v>0.58799999999999997</v>
      </c>
      <c r="E2027">
        <v>1.9176253244920699E-8</v>
      </c>
      <c r="F2027">
        <v>3</v>
      </c>
      <c r="G2027" t="s">
        <v>2493</v>
      </c>
      <c r="H2027" t="s">
        <v>2494</v>
      </c>
      <c r="I2027" t="str">
        <f>HYPERLINK("https://zfin.org/ZDB-GENE-040426-1707")</f>
        <v>https://zfin.org/ZDB-GENE-040426-1707</v>
      </c>
      <c r="J2027" t="s">
        <v>2495</v>
      </c>
    </row>
    <row r="2028" spans="1:10" x14ac:dyDescent="0.2">
      <c r="A2028">
        <v>1.4527310781305501E-12</v>
      </c>
      <c r="B2028">
        <v>0.48853529313217497</v>
      </c>
      <c r="C2028">
        <v>0.48499999999999999</v>
      </c>
      <c r="D2028">
        <v>0.215</v>
      </c>
      <c r="E2028">
        <v>2.0190056523858401E-8</v>
      </c>
      <c r="F2028">
        <v>3</v>
      </c>
      <c r="G2028" t="s">
        <v>4512</v>
      </c>
      <c r="H2028" t="s">
        <v>4513</v>
      </c>
      <c r="I2028" t="str">
        <f>HYPERLINK("https://zfin.org/ZDB-GENE-030131-3951")</f>
        <v>https://zfin.org/ZDB-GENE-030131-3951</v>
      </c>
      <c r="J2028" t="s">
        <v>4514</v>
      </c>
    </row>
    <row r="2029" spans="1:10" x14ac:dyDescent="0.2">
      <c r="A2029">
        <v>1.55389332614287E-12</v>
      </c>
      <c r="B2029">
        <v>-1.05445281258621</v>
      </c>
      <c r="C2029">
        <v>0.16700000000000001</v>
      </c>
      <c r="D2029">
        <v>0.45100000000000001</v>
      </c>
      <c r="E2029">
        <v>2.15960094467336E-8</v>
      </c>
      <c r="F2029">
        <v>3</v>
      </c>
      <c r="G2029" t="s">
        <v>2415</v>
      </c>
      <c r="H2029" t="s">
        <v>2416</v>
      </c>
      <c r="I2029" t="str">
        <f>HYPERLINK("https://zfin.org/ZDB-GENE-980526-416")</f>
        <v>https://zfin.org/ZDB-GENE-980526-416</v>
      </c>
      <c r="J2029" t="s">
        <v>2417</v>
      </c>
    </row>
    <row r="2030" spans="1:10" x14ac:dyDescent="0.2">
      <c r="A2030">
        <v>1.83279455250883E-12</v>
      </c>
      <c r="B2030">
        <v>0.38761918482128099</v>
      </c>
      <c r="C2030">
        <v>0.50800000000000001</v>
      </c>
      <c r="D2030">
        <v>0.222</v>
      </c>
      <c r="E2030">
        <v>2.5472178690767699E-8</v>
      </c>
      <c r="F2030">
        <v>3</v>
      </c>
      <c r="G2030" t="s">
        <v>4515</v>
      </c>
      <c r="H2030" t="s">
        <v>4516</v>
      </c>
      <c r="I2030" t="str">
        <f>HYPERLINK("https://zfin.org/ZDB-GENE-040718-86")</f>
        <v>https://zfin.org/ZDB-GENE-040718-86</v>
      </c>
      <c r="J2030" t="s">
        <v>4517</v>
      </c>
    </row>
    <row r="2031" spans="1:10" x14ac:dyDescent="0.2">
      <c r="A2031">
        <v>1.9060714213384101E-12</v>
      </c>
      <c r="B2031">
        <v>-0.93239831900508396</v>
      </c>
      <c r="C2031">
        <v>0.22700000000000001</v>
      </c>
      <c r="D2031">
        <v>0.49</v>
      </c>
      <c r="E2031">
        <v>2.6490580613761298E-8</v>
      </c>
      <c r="F2031">
        <v>3</v>
      </c>
      <c r="G2031" t="s">
        <v>2472</v>
      </c>
      <c r="H2031" t="s">
        <v>2473</v>
      </c>
      <c r="I2031" t="str">
        <f>HYPERLINK("https://zfin.org/ZDB-GENE-000208-17")</f>
        <v>https://zfin.org/ZDB-GENE-000208-17</v>
      </c>
      <c r="J2031" t="s">
        <v>2474</v>
      </c>
    </row>
    <row r="2032" spans="1:10" x14ac:dyDescent="0.2">
      <c r="A2032">
        <v>1.97243843044327E-12</v>
      </c>
      <c r="B2032">
        <v>0.44327890563850098</v>
      </c>
      <c r="C2032">
        <v>0.74199999999999999</v>
      </c>
      <c r="D2032">
        <v>0.432</v>
      </c>
      <c r="E2032">
        <v>2.74129493063005E-8</v>
      </c>
      <c r="F2032">
        <v>3</v>
      </c>
      <c r="G2032" t="s">
        <v>4518</v>
      </c>
      <c r="H2032" t="s">
        <v>4519</v>
      </c>
      <c r="I2032" t="str">
        <f>HYPERLINK("https://zfin.org/ZDB-GENE-011212-2")</f>
        <v>https://zfin.org/ZDB-GENE-011212-2</v>
      </c>
      <c r="J2032" t="s">
        <v>4520</v>
      </c>
    </row>
    <row r="2033" spans="1:10" x14ac:dyDescent="0.2">
      <c r="A2033">
        <v>2.0050075323818599E-12</v>
      </c>
      <c r="B2033">
        <v>0.29890231800953998</v>
      </c>
      <c r="C2033">
        <v>0.16700000000000001</v>
      </c>
      <c r="D2033">
        <v>3.7999999999999999E-2</v>
      </c>
      <c r="E2033">
        <v>2.78655946850431E-8</v>
      </c>
      <c r="F2033">
        <v>3</v>
      </c>
      <c r="G2033" t="s">
        <v>4521</v>
      </c>
      <c r="H2033" t="s">
        <v>4522</v>
      </c>
      <c r="I2033" t="str">
        <f>HYPERLINK("https://zfin.org/ZDB-GENE-030131-664")</f>
        <v>https://zfin.org/ZDB-GENE-030131-664</v>
      </c>
      <c r="J2033" t="s">
        <v>4523</v>
      </c>
    </row>
    <row r="2034" spans="1:10" x14ac:dyDescent="0.2">
      <c r="A2034">
        <v>2.0268556879740299E-12</v>
      </c>
      <c r="B2034">
        <v>0.25403866101501899</v>
      </c>
      <c r="C2034">
        <v>0.189</v>
      </c>
      <c r="D2034">
        <v>4.7E-2</v>
      </c>
      <c r="E2034">
        <v>2.8169240351463099E-8</v>
      </c>
      <c r="F2034">
        <v>3</v>
      </c>
      <c r="G2034" t="s">
        <v>4524</v>
      </c>
      <c r="H2034" t="s">
        <v>4525</v>
      </c>
      <c r="I2034" t="str">
        <f>HYPERLINK("https://zfin.org/ZDB-GENE-040426-1556")</f>
        <v>https://zfin.org/ZDB-GENE-040426-1556</v>
      </c>
      <c r="J2034" t="s">
        <v>4526</v>
      </c>
    </row>
    <row r="2035" spans="1:10" x14ac:dyDescent="0.2">
      <c r="A2035">
        <v>2.17466244622016E-12</v>
      </c>
      <c r="B2035">
        <v>0.35886955250073599</v>
      </c>
      <c r="C2035">
        <v>0.22</v>
      </c>
      <c r="D2035">
        <v>6.0999999999999999E-2</v>
      </c>
      <c r="E2035">
        <v>3.0223458677567799E-8</v>
      </c>
      <c r="F2035">
        <v>3</v>
      </c>
      <c r="G2035" t="s">
        <v>4527</v>
      </c>
      <c r="H2035" t="s">
        <v>4528</v>
      </c>
      <c r="I2035" t="str">
        <f>HYPERLINK("https://zfin.org/ZDB-GENE-030131-1796")</f>
        <v>https://zfin.org/ZDB-GENE-030131-1796</v>
      </c>
      <c r="J2035" t="s">
        <v>4529</v>
      </c>
    </row>
    <row r="2036" spans="1:10" x14ac:dyDescent="0.2">
      <c r="A2036">
        <v>2.1918455382287001E-12</v>
      </c>
      <c r="B2036">
        <v>0.45567502683360001</v>
      </c>
      <c r="C2036">
        <v>0.629</v>
      </c>
      <c r="D2036">
        <v>0.31900000000000001</v>
      </c>
      <c r="E2036">
        <v>3.0462269290302498E-8</v>
      </c>
      <c r="F2036">
        <v>3</v>
      </c>
      <c r="G2036" t="s">
        <v>1575</v>
      </c>
      <c r="H2036" t="s">
        <v>1576</v>
      </c>
      <c r="I2036" t="str">
        <f>HYPERLINK("https://zfin.org/ZDB-GENE-040912-86")</f>
        <v>https://zfin.org/ZDB-GENE-040912-86</v>
      </c>
      <c r="J2036" t="s">
        <v>1577</v>
      </c>
    </row>
    <row r="2037" spans="1:10" x14ac:dyDescent="0.2">
      <c r="A2037">
        <v>2.2211342907163798E-12</v>
      </c>
      <c r="B2037">
        <v>0.35438234847642203</v>
      </c>
      <c r="C2037">
        <v>0.52300000000000002</v>
      </c>
      <c r="D2037">
        <v>0.224</v>
      </c>
      <c r="E2037">
        <v>3.0869324372376298E-8</v>
      </c>
      <c r="F2037">
        <v>3</v>
      </c>
      <c r="G2037" t="s">
        <v>4530</v>
      </c>
      <c r="H2037" t="s">
        <v>4531</v>
      </c>
      <c r="I2037" t="str">
        <f>HYPERLINK("https://zfin.org/ZDB-GENE-040426-1589")</f>
        <v>https://zfin.org/ZDB-GENE-040426-1589</v>
      </c>
      <c r="J2037" t="s">
        <v>4532</v>
      </c>
    </row>
    <row r="2038" spans="1:10" x14ac:dyDescent="0.2">
      <c r="A2038">
        <v>2.4954886840188398E-12</v>
      </c>
      <c r="B2038">
        <v>0.36101203500116602</v>
      </c>
      <c r="C2038">
        <v>0.379</v>
      </c>
      <c r="D2038">
        <v>0.14399999999999999</v>
      </c>
      <c r="E2038">
        <v>3.4682301730493898E-8</v>
      </c>
      <c r="F2038">
        <v>3</v>
      </c>
      <c r="G2038" t="s">
        <v>2135</v>
      </c>
      <c r="H2038" t="s">
        <v>2136</v>
      </c>
      <c r="I2038" t="str">
        <f>HYPERLINK("https://zfin.org/ZDB-GENE-090313-33")</f>
        <v>https://zfin.org/ZDB-GENE-090313-33</v>
      </c>
      <c r="J2038" t="s">
        <v>2137</v>
      </c>
    </row>
    <row r="2039" spans="1:10" x14ac:dyDescent="0.2">
      <c r="A2039">
        <v>2.5420171852328099E-12</v>
      </c>
      <c r="B2039">
        <v>0.40855993169774801</v>
      </c>
      <c r="C2039">
        <v>0.371</v>
      </c>
      <c r="D2039">
        <v>0.14299999999999999</v>
      </c>
      <c r="E2039">
        <v>3.5328954840365597E-8</v>
      </c>
      <c r="F2039">
        <v>3</v>
      </c>
      <c r="G2039" t="s">
        <v>4533</v>
      </c>
      <c r="H2039" t="s">
        <v>4534</v>
      </c>
      <c r="I2039" t="str">
        <f>HYPERLINK("https://zfin.org/ZDB-GENE-060825-59")</f>
        <v>https://zfin.org/ZDB-GENE-060825-59</v>
      </c>
      <c r="J2039" t="s">
        <v>4535</v>
      </c>
    </row>
    <row r="2040" spans="1:10" x14ac:dyDescent="0.2">
      <c r="A2040">
        <v>2.5757828080275299E-12</v>
      </c>
      <c r="B2040">
        <v>0.28614933240433699</v>
      </c>
      <c r="C2040">
        <v>0.33300000000000002</v>
      </c>
      <c r="D2040">
        <v>0.11600000000000001</v>
      </c>
      <c r="E2040">
        <v>3.5798229465966599E-8</v>
      </c>
      <c r="F2040">
        <v>3</v>
      </c>
      <c r="G2040" t="s">
        <v>4536</v>
      </c>
      <c r="H2040" t="s">
        <v>4537</v>
      </c>
      <c r="I2040" t="str">
        <f>HYPERLINK("https://zfin.org/ZDB-GENE-030131-792")</f>
        <v>https://zfin.org/ZDB-GENE-030131-792</v>
      </c>
      <c r="J2040" t="s">
        <v>4538</v>
      </c>
    </row>
    <row r="2041" spans="1:10" x14ac:dyDescent="0.2">
      <c r="A2041">
        <v>2.5851696978089999E-12</v>
      </c>
      <c r="B2041">
        <v>-0.86363273283701003</v>
      </c>
      <c r="C2041">
        <v>0.189</v>
      </c>
      <c r="D2041">
        <v>0.48099999999999998</v>
      </c>
      <c r="E2041">
        <v>3.5928688460149401E-8</v>
      </c>
      <c r="F2041">
        <v>3</v>
      </c>
      <c r="G2041" t="s">
        <v>2469</v>
      </c>
      <c r="H2041" t="s">
        <v>2470</v>
      </c>
      <c r="I2041" t="str">
        <f>HYPERLINK("https://zfin.org/ZDB-GENE-030131-8909")</f>
        <v>https://zfin.org/ZDB-GENE-030131-8909</v>
      </c>
      <c r="J2041" t="s">
        <v>2471</v>
      </c>
    </row>
    <row r="2042" spans="1:10" x14ac:dyDescent="0.2">
      <c r="A2042">
        <v>2.64619444476161E-12</v>
      </c>
      <c r="B2042">
        <v>0.31091914340190302</v>
      </c>
      <c r="C2042">
        <v>0.21199999999999999</v>
      </c>
      <c r="D2042">
        <v>5.7000000000000002E-2</v>
      </c>
      <c r="E2042">
        <v>3.6776810393296897E-8</v>
      </c>
      <c r="F2042">
        <v>3</v>
      </c>
      <c r="G2042" t="s">
        <v>4539</v>
      </c>
      <c r="H2042" t="s">
        <v>4540</v>
      </c>
      <c r="I2042" t="str">
        <f>HYPERLINK("https://zfin.org/ZDB-GENE-030131-6312")</f>
        <v>https://zfin.org/ZDB-GENE-030131-6312</v>
      </c>
      <c r="J2042" t="s">
        <v>4541</v>
      </c>
    </row>
    <row r="2043" spans="1:10" x14ac:dyDescent="0.2">
      <c r="A2043">
        <v>2.69441548941755E-12</v>
      </c>
      <c r="B2043">
        <v>0.38466115010359198</v>
      </c>
      <c r="C2043">
        <v>0.35599999999999998</v>
      </c>
      <c r="D2043">
        <v>0.13100000000000001</v>
      </c>
      <c r="E2043">
        <v>3.7446986471925101E-8</v>
      </c>
      <c r="F2043">
        <v>3</v>
      </c>
      <c r="G2043" t="s">
        <v>4542</v>
      </c>
      <c r="H2043" t="s">
        <v>4543</v>
      </c>
      <c r="I2043" t="str">
        <f>HYPERLINK("https://zfin.org/ZDB-GENE-040426-2687")</f>
        <v>https://zfin.org/ZDB-GENE-040426-2687</v>
      </c>
      <c r="J2043" t="s">
        <v>4544</v>
      </c>
    </row>
    <row r="2044" spans="1:10" x14ac:dyDescent="0.2">
      <c r="A2044">
        <v>2.7366792328675999E-12</v>
      </c>
      <c r="B2044">
        <v>0.31751707335113299</v>
      </c>
      <c r="C2044">
        <v>0.32600000000000001</v>
      </c>
      <c r="D2044">
        <v>0.112</v>
      </c>
      <c r="E2044">
        <v>3.8034367978393903E-8</v>
      </c>
      <c r="F2044">
        <v>3</v>
      </c>
      <c r="G2044" t="s">
        <v>4545</v>
      </c>
      <c r="H2044" t="s">
        <v>4546</v>
      </c>
      <c r="I2044" t="str">
        <f>HYPERLINK("https://zfin.org/ZDB-GENE-040808-57")</f>
        <v>https://zfin.org/ZDB-GENE-040808-57</v>
      </c>
      <c r="J2044" t="s">
        <v>4547</v>
      </c>
    </row>
    <row r="2045" spans="1:10" x14ac:dyDescent="0.2">
      <c r="A2045">
        <v>2.87713719214865E-12</v>
      </c>
      <c r="B2045">
        <v>0.37162137605683498</v>
      </c>
      <c r="C2045">
        <v>0.53800000000000003</v>
      </c>
      <c r="D2045">
        <v>0.245</v>
      </c>
      <c r="E2045">
        <v>3.9986452696481897E-8</v>
      </c>
      <c r="F2045">
        <v>3</v>
      </c>
      <c r="G2045" t="s">
        <v>4548</v>
      </c>
      <c r="H2045" t="s">
        <v>4549</v>
      </c>
      <c r="I2045" t="str">
        <f>HYPERLINK("https://zfin.org/ZDB-GENE-030131-533")</f>
        <v>https://zfin.org/ZDB-GENE-030131-533</v>
      </c>
      <c r="J2045" t="s">
        <v>4550</v>
      </c>
    </row>
    <row r="2046" spans="1:10" x14ac:dyDescent="0.2">
      <c r="A2046">
        <v>2.9691481360862698E-12</v>
      </c>
      <c r="B2046">
        <v>0.45637382390724301</v>
      </c>
      <c r="C2046">
        <v>0.49199999999999999</v>
      </c>
      <c r="D2046">
        <v>0.22</v>
      </c>
      <c r="E2046">
        <v>4.1265220795327002E-8</v>
      </c>
      <c r="F2046">
        <v>3</v>
      </c>
      <c r="G2046" t="s">
        <v>4551</v>
      </c>
      <c r="H2046" t="s">
        <v>4552</v>
      </c>
      <c r="I2046" t="str">
        <f>HYPERLINK("https://zfin.org/ZDB-GENE-040426-876")</f>
        <v>https://zfin.org/ZDB-GENE-040426-876</v>
      </c>
      <c r="J2046" t="s">
        <v>4553</v>
      </c>
    </row>
    <row r="2047" spans="1:10" x14ac:dyDescent="0.2">
      <c r="A2047">
        <v>3.11232856632913E-12</v>
      </c>
      <c r="B2047">
        <v>0.32892571408343602</v>
      </c>
      <c r="C2047">
        <v>0.22</v>
      </c>
      <c r="D2047">
        <v>6.2E-2</v>
      </c>
      <c r="E2047">
        <v>4.3255142414842199E-8</v>
      </c>
      <c r="F2047">
        <v>3</v>
      </c>
      <c r="G2047" t="s">
        <v>4554</v>
      </c>
      <c r="H2047" t="s">
        <v>4555</v>
      </c>
      <c r="I2047" t="str">
        <f>HYPERLINK("https://zfin.org/ZDB-GENE-050417-156")</f>
        <v>https://zfin.org/ZDB-GENE-050417-156</v>
      </c>
      <c r="J2047" t="s">
        <v>4556</v>
      </c>
    </row>
    <row r="2048" spans="1:10" x14ac:dyDescent="0.2">
      <c r="A2048">
        <v>3.1691957717296201E-12</v>
      </c>
      <c r="B2048">
        <v>0.48215615871274198</v>
      </c>
      <c r="C2048">
        <v>0.80300000000000005</v>
      </c>
      <c r="D2048">
        <v>0.49099999999999999</v>
      </c>
      <c r="E2048">
        <v>4.4045482835498301E-8</v>
      </c>
      <c r="F2048">
        <v>3</v>
      </c>
      <c r="G2048" t="s">
        <v>4557</v>
      </c>
      <c r="H2048" t="s">
        <v>4558</v>
      </c>
      <c r="I2048" t="str">
        <f>HYPERLINK("https://zfin.org/ZDB-GENE-030912-14")</f>
        <v>https://zfin.org/ZDB-GENE-030912-14</v>
      </c>
      <c r="J2048" t="s">
        <v>4559</v>
      </c>
    </row>
    <row r="2049" spans="1:10" x14ac:dyDescent="0.2">
      <c r="A2049">
        <v>3.2826186847533501E-12</v>
      </c>
      <c r="B2049">
        <v>0.38159957331048699</v>
      </c>
      <c r="C2049">
        <v>0.64400000000000002</v>
      </c>
      <c r="D2049">
        <v>0.31</v>
      </c>
      <c r="E2049">
        <v>4.5621834480702E-8</v>
      </c>
      <c r="F2049">
        <v>3</v>
      </c>
      <c r="G2049" t="s">
        <v>4560</v>
      </c>
      <c r="H2049" t="s">
        <v>4561</v>
      </c>
      <c r="I2049" t="str">
        <f>HYPERLINK("https://zfin.org/ZDB-GENE-040714-2")</f>
        <v>https://zfin.org/ZDB-GENE-040714-2</v>
      </c>
      <c r="J2049" t="s">
        <v>4562</v>
      </c>
    </row>
    <row r="2050" spans="1:10" x14ac:dyDescent="0.2">
      <c r="A2050">
        <v>3.3343484936599899E-12</v>
      </c>
      <c r="B2050">
        <v>0.3073441884068</v>
      </c>
      <c r="C2050">
        <v>0.379</v>
      </c>
      <c r="D2050">
        <v>0.13900000000000001</v>
      </c>
      <c r="E2050">
        <v>4.6340775364886503E-8</v>
      </c>
      <c r="F2050">
        <v>3</v>
      </c>
      <c r="G2050" t="s">
        <v>4563</v>
      </c>
      <c r="H2050" t="s">
        <v>4564</v>
      </c>
      <c r="I2050" t="str">
        <f>HYPERLINK("https://zfin.org/ZDB-GENE-050417-110")</f>
        <v>https://zfin.org/ZDB-GENE-050417-110</v>
      </c>
      <c r="J2050" t="s">
        <v>4565</v>
      </c>
    </row>
    <row r="2051" spans="1:10" x14ac:dyDescent="0.2">
      <c r="A2051">
        <v>3.55008487692964E-12</v>
      </c>
      <c r="B2051">
        <v>0.418088339041222</v>
      </c>
      <c r="C2051">
        <v>0.72</v>
      </c>
      <c r="D2051">
        <v>0.40100000000000002</v>
      </c>
      <c r="E2051">
        <v>4.9339079619568097E-8</v>
      </c>
      <c r="F2051">
        <v>3</v>
      </c>
      <c r="G2051" t="s">
        <v>1098</v>
      </c>
      <c r="H2051" t="s">
        <v>1099</v>
      </c>
      <c r="I2051" t="str">
        <f>HYPERLINK("https://zfin.org/ZDB-GENE-030127-1")</f>
        <v>https://zfin.org/ZDB-GENE-030127-1</v>
      </c>
      <c r="J2051" t="s">
        <v>1100</v>
      </c>
    </row>
    <row r="2052" spans="1:10" x14ac:dyDescent="0.2">
      <c r="A2052">
        <v>3.6195737857588101E-12</v>
      </c>
      <c r="B2052">
        <v>0.42459503138052102</v>
      </c>
      <c r="C2052">
        <v>0.63600000000000001</v>
      </c>
      <c r="D2052">
        <v>0.318</v>
      </c>
      <c r="E2052">
        <v>5.0304836474476001E-8</v>
      </c>
      <c r="F2052">
        <v>3</v>
      </c>
      <c r="G2052" t="s">
        <v>4566</v>
      </c>
      <c r="H2052" t="s">
        <v>4567</v>
      </c>
      <c r="I2052" t="str">
        <f>HYPERLINK("https://zfin.org/ZDB-GENE-040718-279")</f>
        <v>https://zfin.org/ZDB-GENE-040718-279</v>
      </c>
      <c r="J2052" t="s">
        <v>4568</v>
      </c>
    </row>
    <row r="2053" spans="1:10" x14ac:dyDescent="0.2">
      <c r="A2053">
        <v>3.6950672661133402E-12</v>
      </c>
      <c r="B2053">
        <v>0.28612298852638501</v>
      </c>
      <c r="C2053">
        <v>0.99199999999999999</v>
      </c>
      <c r="D2053">
        <v>0.96299999999999997</v>
      </c>
      <c r="E2053">
        <v>5.1354044864443199E-8</v>
      </c>
      <c r="F2053">
        <v>3</v>
      </c>
      <c r="G2053" t="s">
        <v>1758</v>
      </c>
      <c r="H2053" t="s">
        <v>1759</v>
      </c>
      <c r="I2053" t="str">
        <f>HYPERLINK("https://zfin.org/ZDB-GENE-040718-190")</f>
        <v>https://zfin.org/ZDB-GENE-040718-190</v>
      </c>
      <c r="J2053" t="s">
        <v>1760</v>
      </c>
    </row>
    <row r="2054" spans="1:10" x14ac:dyDescent="0.2">
      <c r="A2054">
        <v>3.7832929959127502E-12</v>
      </c>
      <c r="B2054">
        <v>0.52546366437183101</v>
      </c>
      <c r="C2054">
        <v>0.67400000000000004</v>
      </c>
      <c r="D2054">
        <v>0.40200000000000002</v>
      </c>
      <c r="E2054">
        <v>5.2580206057195401E-8</v>
      </c>
      <c r="F2054">
        <v>3</v>
      </c>
      <c r="G2054" t="s">
        <v>2987</v>
      </c>
      <c r="H2054" t="s">
        <v>2988</v>
      </c>
      <c r="I2054" t="str">
        <f>HYPERLINK("https://zfin.org/ZDB-GENE-020318-2")</f>
        <v>https://zfin.org/ZDB-GENE-020318-2</v>
      </c>
      <c r="J2054" t="s">
        <v>2989</v>
      </c>
    </row>
    <row r="2055" spans="1:10" x14ac:dyDescent="0.2">
      <c r="A2055">
        <v>4.28900013434646E-12</v>
      </c>
      <c r="B2055">
        <v>0.28128838428328701</v>
      </c>
      <c r="C2055">
        <v>0.25</v>
      </c>
      <c r="D2055">
        <v>7.4999999999999997E-2</v>
      </c>
      <c r="E2055">
        <v>5.9608523867147205E-8</v>
      </c>
      <c r="F2055">
        <v>3</v>
      </c>
      <c r="G2055" t="s">
        <v>4569</v>
      </c>
      <c r="H2055" t="s">
        <v>4570</v>
      </c>
      <c r="I2055" t="str">
        <f>HYPERLINK("https://zfin.org/ZDB-GENE-050706-140")</f>
        <v>https://zfin.org/ZDB-GENE-050706-140</v>
      </c>
      <c r="J2055" t="s">
        <v>4571</v>
      </c>
    </row>
    <row r="2056" spans="1:10" x14ac:dyDescent="0.2">
      <c r="A2056">
        <v>4.5907919184770802E-12</v>
      </c>
      <c r="B2056">
        <v>0.321057908817935</v>
      </c>
      <c r="C2056">
        <v>0.32600000000000001</v>
      </c>
      <c r="D2056">
        <v>0.114</v>
      </c>
      <c r="E2056">
        <v>6.3802826082994402E-8</v>
      </c>
      <c r="F2056">
        <v>3</v>
      </c>
      <c r="G2056" t="s">
        <v>4572</v>
      </c>
      <c r="H2056" t="s">
        <v>4573</v>
      </c>
      <c r="I2056" t="str">
        <f>HYPERLINK("https://zfin.org/ZDB-GENE-040426-693")</f>
        <v>https://zfin.org/ZDB-GENE-040426-693</v>
      </c>
      <c r="J2056" t="s">
        <v>4574</v>
      </c>
    </row>
    <row r="2057" spans="1:10" x14ac:dyDescent="0.2">
      <c r="A2057">
        <v>5.0331241035777199E-12</v>
      </c>
      <c r="B2057">
        <v>0.26233152220394401</v>
      </c>
      <c r="C2057">
        <v>0.106</v>
      </c>
      <c r="D2057">
        <v>1.7999999999999999E-2</v>
      </c>
      <c r="E2057">
        <v>6.9950358791523096E-8</v>
      </c>
      <c r="F2057">
        <v>3</v>
      </c>
      <c r="G2057" t="s">
        <v>951</v>
      </c>
      <c r="H2057" t="s">
        <v>952</v>
      </c>
      <c r="I2057" t="str">
        <f>HYPERLINK("https://zfin.org/ZDB-GENE-110623-3")</f>
        <v>https://zfin.org/ZDB-GENE-110623-3</v>
      </c>
      <c r="J2057" t="s">
        <v>953</v>
      </c>
    </row>
    <row r="2058" spans="1:10" x14ac:dyDescent="0.2">
      <c r="A2058">
        <v>5.0797247000724401E-12</v>
      </c>
      <c r="B2058">
        <v>0.30230241831435201</v>
      </c>
      <c r="C2058">
        <v>0.42399999999999999</v>
      </c>
      <c r="D2058">
        <v>0.16800000000000001</v>
      </c>
      <c r="E2058">
        <v>7.0598013881606796E-8</v>
      </c>
      <c r="F2058">
        <v>3</v>
      </c>
      <c r="G2058" t="s">
        <v>4575</v>
      </c>
      <c r="H2058" t="s">
        <v>4576</v>
      </c>
      <c r="I2058" t="str">
        <f>HYPERLINK("https://zfin.org/ZDB-GENE-111123-3")</f>
        <v>https://zfin.org/ZDB-GENE-111123-3</v>
      </c>
      <c r="J2058" t="s">
        <v>4577</v>
      </c>
    </row>
    <row r="2059" spans="1:10" x14ac:dyDescent="0.2">
      <c r="A2059">
        <v>5.1789329414566497E-12</v>
      </c>
      <c r="B2059">
        <v>0.43435343784483499</v>
      </c>
      <c r="C2059">
        <v>0.72699999999999998</v>
      </c>
      <c r="D2059">
        <v>0.39</v>
      </c>
      <c r="E2059">
        <v>7.1976810020364494E-8</v>
      </c>
      <c r="F2059">
        <v>3</v>
      </c>
      <c r="G2059" t="s">
        <v>3387</v>
      </c>
      <c r="H2059" t="s">
        <v>3388</v>
      </c>
      <c r="I2059" t="str">
        <f>HYPERLINK("https://zfin.org/ZDB-GENE-050522-181")</f>
        <v>https://zfin.org/ZDB-GENE-050522-181</v>
      </c>
      <c r="J2059" t="s">
        <v>3389</v>
      </c>
    </row>
    <row r="2060" spans="1:10" x14ac:dyDescent="0.2">
      <c r="A2060">
        <v>5.6882013623733504E-12</v>
      </c>
      <c r="B2060">
        <v>0.28580781884124301</v>
      </c>
      <c r="C2060">
        <v>0.36399999999999999</v>
      </c>
      <c r="D2060">
        <v>0.13200000000000001</v>
      </c>
      <c r="E2060">
        <v>7.9054622534264795E-8</v>
      </c>
      <c r="F2060">
        <v>3</v>
      </c>
      <c r="G2060" t="s">
        <v>4578</v>
      </c>
      <c r="H2060" t="s">
        <v>4579</v>
      </c>
      <c r="I2060" t="str">
        <f>HYPERLINK("https://zfin.org/ZDB-GENE-040801-104")</f>
        <v>https://zfin.org/ZDB-GENE-040801-104</v>
      </c>
      <c r="J2060" t="s">
        <v>4580</v>
      </c>
    </row>
    <row r="2061" spans="1:10" x14ac:dyDescent="0.2">
      <c r="A2061">
        <v>5.9598694234838896E-12</v>
      </c>
      <c r="B2061">
        <v>0.39096719056930401</v>
      </c>
      <c r="C2061">
        <v>0.68200000000000005</v>
      </c>
      <c r="D2061">
        <v>0.35099999999999998</v>
      </c>
      <c r="E2061">
        <v>8.2830265247579197E-8</v>
      </c>
      <c r="F2061">
        <v>3</v>
      </c>
      <c r="G2061" t="s">
        <v>1907</v>
      </c>
      <c r="H2061" t="s">
        <v>1908</v>
      </c>
      <c r="I2061" t="str">
        <f>HYPERLINK("https://zfin.org/ZDB-GENE-050522-421")</f>
        <v>https://zfin.org/ZDB-GENE-050522-421</v>
      </c>
      <c r="J2061" t="s">
        <v>1909</v>
      </c>
    </row>
    <row r="2062" spans="1:10" x14ac:dyDescent="0.2">
      <c r="A2062">
        <v>6.2488299425547001E-12</v>
      </c>
      <c r="B2062">
        <v>-0.99398952055999101</v>
      </c>
      <c r="C2062">
        <v>9.0999999999999998E-2</v>
      </c>
      <c r="D2062">
        <v>0.371</v>
      </c>
      <c r="E2062">
        <v>8.6846238541625198E-8</v>
      </c>
      <c r="F2062">
        <v>3</v>
      </c>
      <c r="G2062" t="s">
        <v>2553</v>
      </c>
      <c r="H2062" t="s">
        <v>2554</v>
      </c>
      <c r="I2062" t="str">
        <f>HYPERLINK("https://zfin.org/ZDB-GENE-090915-6")</f>
        <v>https://zfin.org/ZDB-GENE-090915-6</v>
      </c>
      <c r="J2062" t="s">
        <v>2555</v>
      </c>
    </row>
    <row r="2063" spans="1:10" x14ac:dyDescent="0.2">
      <c r="A2063">
        <v>6.2849141100554099E-12</v>
      </c>
      <c r="B2063">
        <v>0.268865451141031</v>
      </c>
      <c r="C2063">
        <v>0.25800000000000001</v>
      </c>
      <c r="D2063">
        <v>7.9000000000000001E-2</v>
      </c>
      <c r="E2063">
        <v>8.7347736301549994E-8</v>
      </c>
      <c r="F2063">
        <v>3</v>
      </c>
      <c r="G2063" t="s">
        <v>4581</v>
      </c>
      <c r="H2063" t="s">
        <v>4582</v>
      </c>
      <c r="I2063" t="str">
        <f>HYPERLINK("https://zfin.org/ZDB-GENE-050512-2")</f>
        <v>https://zfin.org/ZDB-GENE-050512-2</v>
      </c>
      <c r="J2063" t="s">
        <v>4583</v>
      </c>
    </row>
    <row r="2064" spans="1:10" x14ac:dyDescent="0.2">
      <c r="A2064">
        <v>6.6103812187435401E-12</v>
      </c>
      <c r="B2064">
        <v>0.41175283162938697</v>
      </c>
      <c r="C2064">
        <v>0.32600000000000001</v>
      </c>
      <c r="D2064">
        <v>0.11799999999999999</v>
      </c>
      <c r="E2064">
        <v>9.1871078178097804E-8</v>
      </c>
      <c r="F2064">
        <v>3</v>
      </c>
      <c r="G2064" t="s">
        <v>4584</v>
      </c>
      <c r="H2064" t="s">
        <v>4585</v>
      </c>
      <c r="I2064" t="str">
        <f>HYPERLINK("https://zfin.org/ZDB-GENE-030131-2711")</f>
        <v>https://zfin.org/ZDB-GENE-030131-2711</v>
      </c>
      <c r="J2064" t="s">
        <v>4586</v>
      </c>
    </row>
    <row r="2065" spans="1:10" x14ac:dyDescent="0.2">
      <c r="A2065">
        <v>6.7828702864762302E-12</v>
      </c>
      <c r="B2065">
        <v>0.32334342801141602</v>
      </c>
      <c r="C2065">
        <v>0.13600000000000001</v>
      </c>
      <c r="D2065">
        <v>2.8000000000000001E-2</v>
      </c>
      <c r="E2065">
        <v>9.4268331241446706E-8</v>
      </c>
      <c r="F2065">
        <v>3</v>
      </c>
      <c r="G2065" t="s">
        <v>262</v>
      </c>
      <c r="H2065" t="s">
        <v>263</v>
      </c>
      <c r="I2065" t="str">
        <f>HYPERLINK("https://zfin.org/ZDB-GENE-040426-1687")</f>
        <v>https://zfin.org/ZDB-GENE-040426-1687</v>
      </c>
      <c r="J2065" t="s">
        <v>38</v>
      </c>
    </row>
    <row r="2066" spans="1:10" x14ac:dyDescent="0.2">
      <c r="A2066">
        <v>6.9513995327953002E-12</v>
      </c>
      <c r="B2066">
        <v>0.324010426797816</v>
      </c>
      <c r="C2066">
        <v>0.439</v>
      </c>
      <c r="D2066">
        <v>0.17799999999999999</v>
      </c>
      <c r="E2066">
        <v>9.6610550706789106E-8</v>
      </c>
      <c r="F2066">
        <v>3</v>
      </c>
      <c r="G2066" t="s">
        <v>4587</v>
      </c>
      <c r="H2066" t="s">
        <v>4588</v>
      </c>
      <c r="I2066" t="str">
        <f>HYPERLINK("https://zfin.org/ZDB-GENE-990415-245")</f>
        <v>https://zfin.org/ZDB-GENE-990415-245</v>
      </c>
      <c r="J2066" t="s">
        <v>4589</v>
      </c>
    </row>
    <row r="2067" spans="1:10" x14ac:dyDescent="0.2">
      <c r="A2067">
        <v>7.1243188737026696E-12</v>
      </c>
      <c r="B2067">
        <v>0.63852822533643605</v>
      </c>
      <c r="C2067">
        <v>0.20499999999999999</v>
      </c>
      <c r="D2067">
        <v>5.6000000000000001E-2</v>
      </c>
      <c r="E2067">
        <v>9.9013783706719699E-8</v>
      </c>
      <c r="F2067">
        <v>3</v>
      </c>
      <c r="G2067" t="s">
        <v>4590</v>
      </c>
      <c r="H2067" t="s">
        <v>4591</v>
      </c>
      <c r="I2067" t="str">
        <f>HYPERLINK("https://zfin.org/ZDB-GENE-040718-22")</f>
        <v>https://zfin.org/ZDB-GENE-040718-22</v>
      </c>
      <c r="J2067" t="s">
        <v>4592</v>
      </c>
    </row>
    <row r="2068" spans="1:10" x14ac:dyDescent="0.2">
      <c r="A2068">
        <v>7.3753162309692499E-12</v>
      </c>
      <c r="B2068">
        <v>-0.30058047334348198</v>
      </c>
      <c r="C2068">
        <v>0.90900000000000003</v>
      </c>
      <c r="D2068">
        <v>0.60199999999999998</v>
      </c>
      <c r="E2068">
        <v>1.02502144978011E-7</v>
      </c>
      <c r="F2068">
        <v>3</v>
      </c>
      <c r="G2068" t="s">
        <v>702</v>
      </c>
      <c r="H2068" t="s">
        <v>703</v>
      </c>
      <c r="I2068" t="str">
        <f>HYPERLINK("https://zfin.org/ZDB-GENE-020806-4")</f>
        <v>https://zfin.org/ZDB-GENE-020806-4</v>
      </c>
      <c r="J2068" t="s">
        <v>704</v>
      </c>
    </row>
    <row r="2069" spans="1:10" x14ac:dyDescent="0.2">
      <c r="A2069">
        <v>7.9589200882535E-12</v>
      </c>
      <c r="B2069">
        <v>-0.88810930818810496</v>
      </c>
      <c r="C2069">
        <v>0.189</v>
      </c>
      <c r="D2069">
        <v>0.46500000000000002</v>
      </c>
      <c r="E2069">
        <v>1.10613071386547E-7</v>
      </c>
      <c r="F2069">
        <v>3</v>
      </c>
      <c r="G2069" t="s">
        <v>4593</v>
      </c>
      <c r="H2069" t="s">
        <v>4594</v>
      </c>
      <c r="I2069" t="str">
        <f>HYPERLINK("https://zfin.org/ZDB-GENE-030131-3570")</f>
        <v>https://zfin.org/ZDB-GENE-030131-3570</v>
      </c>
      <c r="J2069" t="s">
        <v>4595</v>
      </c>
    </row>
    <row r="2070" spans="1:10" x14ac:dyDescent="0.2">
      <c r="A2070">
        <v>8.1623125948810393E-12</v>
      </c>
      <c r="B2070">
        <v>0.42423636389314201</v>
      </c>
      <c r="C2070">
        <v>0.50800000000000001</v>
      </c>
      <c r="D2070">
        <v>0.23200000000000001</v>
      </c>
      <c r="E2070">
        <v>1.13439820443657E-7</v>
      </c>
      <c r="F2070">
        <v>3</v>
      </c>
      <c r="G2070" t="s">
        <v>4596</v>
      </c>
      <c r="H2070" t="s">
        <v>4597</v>
      </c>
      <c r="I2070" t="str">
        <f>HYPERLINK("https://zfin.org/ZDB-GENE-030131-283")</f>
        <v>https://zfin.org/ZDB-GENE-030131-283</v>
      </c>
      <c r="J2070" t="s">
        <v>4598</v>
      </c>
    </row>
    <row r="2071" spans="1:10" x14ac:dyDescent="0.2">
      <c r="A2071">
        <v>9.2287657646484898E-12</v>
      </c>
      <c r="B2071">
        <v>0.39852183079628101</v>
      </c>
      <c r="C2071">
        <v>0.48499999999999999</v>
      </c>
      <c r="D2071">
        <v>0.21199999999999999</v>
      </c>
      <c r="E2071">
        <v>1.28261386597085E-7</v>
      </c>
      <c r="F2071">
        <v>3</v>
      </c>
      <c r="G2071" t="s">
        <v>4599</v>
      </c>
      <c r="H2071" t="s">
        <v>4600</v>
      </c>
      <c r="I2071" t="str">
        <f>HYPERLINK("https://zfin.org/ZDB-GENE-060810-187")</f>
        <v>https://zfin.org/ZDB-GENE-060810-187</v>
      </c>
      <c r="J2071" t="s">
        <v>4601</v>
      </c>
    </row>
    <row r="2072" spans="1:10" x14ac:dyDescent="0.2">
      <c r="A2072">
        <v>1.0149040429452299E-11</v>
      </c>
      <c r="B2072">
        <v>0.41716876163732203</v>
      </c>
      <c r="C2072">
        <v>0.40200000000000002</v>
      </c>
      <c r="D2072">
        <v>0.16300000000000001</v>
      </c>
      <c r="E2072">
        <v>1.4105136388852801E-7</v>
      </c>
      <c r="F2072">
        <v>3</v>
      </c>
      <c r="G2072" t="s">
        <v>2024</v>
      </c>
      <c r="H2072" t="s">
        <v>2025</v>
      </c>
      <c r="I2072" t="str">
        <f>HYPERLINK("https://zfin.org/ZDB-GENE-040718-150")</f>
        <v>https://zfin.org/ZDB-GENE-040718-150</v>
      </c>
      <c r="J2072" t="s">
        <v>2026</v>
      </c>
    </row>
    <row r="2073" spans="1:10" x14ac:dyDescent="0.2">
      <c r="A2073">
        <v>1.06123551705652E-11</v>
      </c>
      <c r="B2073">
        <v>0.353052637754734</v>
      </c>
      <c r="C2073">
        <v>0.22700000000000001</v>
      </c>
      <c r="D2073">
        <v>6.7000000000000004E-2</v>
      </c>
      <c r="E2073">
        <v>1.47490512160515E-7</v>
      </c>
      <c r="F2073">
        <v>3</v>
      </c>
      <c r="G2073" t="s">
        <v>4602</v>
      </c>
      <c r="H2073" t="s">
        <v>4603</v>
      </c>
      <c r="I2073" t="str">
        <f>HYPERLINK("https://zfin.org/ZDB-GENE-040426-1546")</f>
        <v>https://zfin.org/ZDB-GENE-040426-1546</v>
      </c>
      <c r="J2073" t="s">
        <v>4604</v>
      </c>
    </row>
    <row r="2074" spans="1:10" x14ac:dyDescent="0.2">
      <c r="A2074">
        <v>1.06513956968584E-11</v>
      </c>
      <c r="B2074">
        <v>0.335354483963967</v>
      </c>
      <c r="C2074">
        <v>0.38600000000000001</v>
      </c>
      <c r="D2074">
        <v>0.14899999999999999</v>
      </c>
      <c r="E2074">
        <v>1.48033097394938E-7</v>
      </c>
      <c r="F2074">
        <v>3</v>
      </c>
      <c r="G2074" t="s">
        <v>4605</v>
      </c>
      <c r="H2074" t="s">
        <v>4606</v>
      </c>
      <c r="I2074" t="str">
        <f>HYPERLINK("https://zfin.org/ZDB-GENE-020419-17")</f>
        <v>https://zfin.org/ZDB-GENE-020419-17</v>
      </c>
      <c r="J2074" t="s">
        <v>4607</v>
      </c>
    </row>
    <row r="2075" spans="1:10" x14ac:dyDescent="0.2">
      <c r="A2075">
        <v>1.15361310888836E-11</v>
      </c>
      <c r="B2075">
        <v>0.34745883599855298</v>
      </c>
      <c r="C2075">
        <v>0.56100000000000005</v>
      </c>
      <c r="D2075">
        <v>0.25700000000000001</v>
      </c>
      <c r="E2075">
        <v>1.6032914987330401E-7</v>
      </c>
      <c r="F2075">
        <v>3</v>
      </c>
      <c r="G2075" t="s">
        <v>1197</v>
      </c>
      <c r="H2075" t="s">
        <v>1198</v>
      </c>
      <c r="I2075" t="str">
        <f>HYPERLINK("https://zfin.org/ZDB-GENE-060825-325")</f>
        <v>https://zfin.org/ZDB-GENE-060825-325</v>
      </c>
      <c r="J2075" t="s">
        <v>1199</v>
      </c>
    </row>
    <row r="2076" spans="1:10" x14ac:dyDescent="0.2">
      <c r="A2076">
        <v>1.15426157983715E-11</v>
      </c>
      <c r="B2076">
        <v>0.27085244733979003</v>
      </c>
      <c r="C2076">
        <v>0.23499999999999999</v>
      </c>
      <c r="D2076">
        <v>7.0000000000000007E-2</v>
      </c>
      <c r="E2076">
        <v>1.60419274365767E-7</v>
      </c>
      <c r="F2076">
        <v>3</v>
      </c>
      <c r="G2076" t="s">
        <v>4608</v>
      </c>
      <c r="H2076" t="s">
        <v>4609</v>
      </c>
      <c r="I2076" t="str">
        <f>HYPERLINK("https://zfin.org/ZDB-GENE-040426-1276")</f>
        <v>https://zfin.org/ZDB-GENE-040426-1276</v>
      </c>
      <c r="J2076" t="s">
        <v>4610</v>
      </c>
    </row>
    <row r="2077" spans="1:10" x14ac:dyDescent="0.2">
      <c r="A2077">
        <v>1.15610642135526E-11</v>
      </c>
      <c r="B2077">
        <v>0.43739534495460197</v>
      </c>
      <c r="C2077">
        <v>0.80300000000000005</v>
      </c>
      <c r="D2077">
        <v>0.52600000000000002</v>
      </c>
      <c r="E2077">
        <v>1.60675670439955E-7</v>
      </c>
      <c r="F2077">
        <v>3</v>
      </c>
      <c r="G2077" t="s">
        <v>1593</v>
      </c>
      <c r="H2077" t="s">
        <v>1594</v>
      </c>
      <c r="I2077" t="str">
        <f>HYPERLINK("https://zfin.org/")</f>
        <v>https://zfin.org/</v>
      </c>
      <c r="J2077" t="s">
        <v>1595</v>
      </c>
    </row>
    <row r="2078" spans="1:10" x14ac:dyDescent="0.2">
      <c r="A2078">
        <v>1.16007505824186E-11</v>
      </c>
      <c r="B2078">
        <v>0.35251616362109001</v>
      </c>
      <c r="C2078">
        <v>0.92400000000000004</v>
      </c>
      <c r="D2078">
        <v>0.747</v>
      </c>
      <c r="E2078">
        <v>1.61227231594453E-7</v>
      </c>
      <c r="F2078">
        <v>3</v>
      </c>
      <c r="G2078" t="s">
        <v>3100</v>
      </c>
      <c r="H2078" t="s">
        <v>3101</v>
      </c>
      <c r="I2078" t="str">
        <f>HYPERLINK("https://zfin.org/ZDB-GENE-040426-1852")</f>
        <v>https://zfin.org/ZDB-GENE-040426-1852</v>
      </c>
      <c r="J2078" t="s">
        <v>3102</v>
      </c>
    </row>
    <row r="2079" spans="1:10" x14ac:dyDescent="0.2">
      <c r="A2079">
        <v>1.21014133211378E-11</v>
      </c>
      <c r="B2079">
        <v>0.26346249884539003</v>
      </c>
      <c r="C2079">
        <v>0.26500000000000001</v>
      </c>
      <c r="D2079">
        <v>8.4000000000000005E-2</v>
      </c>
      <c r="E2079">
        <v>1.6818544233717299E-7</v>
      </c>
      <c r="F2079">
        <v>3</v>
      </c>
      <c r="G2079" t="s">
        <v>4611</v>
      </c>
      <c r="H2079" t="s">
        <v>4612</v>
      </c>
      <c r="I2079" t="str">
        <f>HYPERLINK("https://zfin.org/ZDB-GENE-050522-423")</f>
        <v>https://zfin.org/ZDB-GENE-050522-423</v>
      </c>
      <c r="J2079" t="s">
        <v>4613</v>
      </c>
    </row>
    <row r="2080" spans="1:10" x14ac:dyDescent="0.2">
      <c r="A2080">
        <v>1.21188411220915E-11</v>
      </c>
      <c r="B2080">
        <v>0.31915695867322502</v>
      </c>
      <c r="C2080">
        <v>0.26500000000000001</v>
      </c>
      <c r="D2080">
        <v>8.5999999999999993E-2</v>
      </c>
      <c r="E2080">
        <v>1.68427653914828E-7</v>
      </c>
      <c r="F2080">
        <v>3</v>
      </c>
      <c r="G2080" t="s">
        <v>4614</v>
      </c>
      <c r="H2080" t="s">
        <v>4615</v>
      </c>
      <c r="I2080" t="str">
        <f>HYPERLINK("https://zfin.org/ZDB-GENE-030131-2317")</f>
        <v>https://zfin.org/ZDB-GENE-030131-2317</v>
      </c>
      <c r="J2080" t="s">
        <v>4616</v>
      </c>
    </row>
    <row r="2081" spans="1:10" x14ac:dyDescent="0.2">
      <c r="A2081">
        <v>1.24679169239066E-11</v>
      </c>
      <c r="B2081">
        <v>-1.2633480136338899</v>
      </c>
      <c r="C2081">
        <v>0.106</v>
      </c>
      <c r="D2081">
        <v>0.375</v>
      </c>
      <c r="E2081">
        <v>1.73279109408454E-7</v>
      </c>
      <c r="F2081">
        <v>3</v>
      </c>
      <c r="G2081" t="s">
        <v>3360</v>
      </c>
      <c r="H2081" t="s">
        <v>3361</v>
      </c>
      <c r="I2081" t="str">
        <f>HYPERLINK("https://zfin.org/ZDB-GENE-030411-6")</f>
        <v>https://zfin.org/ZDB-GENE-030411-6</v>
      </c>
      <c r="J2081" t="s">
        <v>3362</v>
      </c>
    </row>
    <row r="2082" spans="1:10" x14ac:dyDescent="0.2">
      <c r="A2082">
        <v>1.3537656631935701E-11</v>
      </c>
      <c r="B2082">
        <v>-1.03765693560873</v>
      </c>
      <c r="C2082">
        <v>0.106</v>
      </c>
      <c r="D2082">
        <v>0.38300000000000001</v>
      </c>
      <c r="E2082">
        <v>1.88146351870642E-7</v>
      </c>
      <c r="F2082">
        <v>3</v>
      </c>
      <c r="G2082" t="s">
        <v>2580</v>
      </c>
      <c r="H2082" t="s">
        <v>2581</v>
      </c>
      <c r="I2082" t="str">
        <f>HYPERLINK("https://zfin.org/ZDB-GENE-030131-9790")</f>
        <v>https://zfin.org/ZDB-GENE-030131-9790</v>
      </c>
      <c r="J2082" t="s">
        <v>2582</v>
      </c>
    </row>
    <row r="2083" spans="1:10" x14ac:dyDescent="0.2">
      <c r="A2083">
        <v>1.4734181465650201E-11</v>
      </c>
      <c r="B2083">
        <v>0.332431941853156</v>
      </c>
      <c r="C2083">
        <v>0.36399999999999999</v>
      </c>
      <c r="D2083">
        <v>0.14000000000000001</v>
      </c>
      <c r="E2083">
        <v>2.0477565400960699E-7</v>
      </c>
      <c r="F2083">
        <v>3</v>
      </c>
      <c r="G2083" t="s">
        <v>4617</v>
      </c>
      <c r="H2083" t="s">
        <v>4618</v>
      </c>
      <c r="I2083" t="str">
        <f>HYPERLINK("https://zfin.org/ZDB-GENE-060519-27")</f>
        <v>https://zfin.org/ZDB-GENE-060519-27</v>
      </c>
      <c r="J2083" t="s">
        <v>4619</v>
      </c>
    </row>
    <row r="2084" spans="1:10" x14ac:dyDescent="0.2">
      <c r="A2084">
        <v>1.5966984000976301E-11</v>
      </c>
      <c r="B2084">
        <v>0.44958187855569098</v>
      </c>
      <c r="C2084">
        <v>0.56799999999999995</v>
      </c>
      <c r="D2084">
        <v>0.28299999999999997</v>
      </c>
      <c r="E2084">
        <v>2.2190914364556899E-7</v>
      </c>
      <c r="F2084">
        <v>3</v>
      </c>
      <c r="G2084" t="s">
        <v>1722</v>
      </c>
      <c r="H2084" t="s">
        <v>1723</v>
      </c>
      <c r="I2084" t="str">
        <f>HYPERLINK("https://zfin.org/ZDB-GENE-040426-1688")</f>
        <v>https://zfin.org/ZDB-GENE-040426-1688</v>
      </c>
      <c r="J2084" t="s">
        <v>1724</v>
      </c>
    </row>
    <row r="2085" spans="1:10" x14ac:dyDescent="0.2">
      <c r="A2085">
        <v>1.61819743424621E-11</v>
      </c>
      <c r="B2085">
        <v>0.33935381437198597</v>
      </c>
      <c r="C2085">
        <v>0.40899999999999997</v>
      </c>
      <c r="D2085">
        <v>0.16500000000000001</v>
      </c>
      <c r="E2085">
        <v>2.24897079411538E-7</v>
      </c>
      <c r="F2085">
        <v>3</v>
      </c>
      <c r="G2085" t="s">
        <v>4620</v>
      </c>
      <c r="H2085" t="s">
        <v>4621</v>
      </c>
      <c r="I2085" t="str">
        <f>HYPERLINK("https://zfin.org/ZDB-GENE-050522-113")</f>
        <v>https://zfin.org/ZDB-GENE-050522-113</v>
      </c>
      <c r="J2085" t="s">
        <v>4622</v>
      </c>
    </row>
    <row r="2086" spans="1:10" x14ac:dyDescent="0.2">
      <c r="A2086">
        <v>1.6185879995064499E-11</v>
      </c>
      <c r="B2086">
        <v>0.33160063221500502</v>
      </c>
      <c r="C2086">
        <v>0.439</v>
      </c>
      <c r="D2086">
        <v>0.183</v>
      </c>
      <c r="E2086">
        <v>2.2495136017140601E-7</v>
      </c>
      <c r="F2086">
        <v>3</v>
      </c>
      <c r="G2086" t="s">
        <v>4623</v>
      </c>
      <c r="H2086" t="s">
        <v>4624</v>
      </c>
      <c r="I2086" t="str">
        <f>HYPERLINK("https://zfin.org/ZDB-GENE-040426-1923")</f>
        <v>https://zfin.org/ZDB-GENE-040426-1923</v>
      </c>
      <c r="J2086" t="s">
        <v>4625</v>
      </c>
    </row>
    <row r="2087" spans="1:10" x14ac:dyDescent="0.2">
      <c r="A2087">
        <v>1.6474913678720299E-11</v>
      </c>
      <c r="B2087">
        <v>0.40627434641864402</v>
      </c>
      <c r="C2087">
        <v>0.46200000000000002</v>
      </c>
      <c r="D2087">
        <v>0.20100000000000001</v>
      </c>
      <c r="E2087">
        <v>2.2896835030685501E-7</v>
      </c>
      <c r="F2087">
        <v>3</v>
      </c>
      <c r="G2087" t="s">
        <v>4626</v>
      </c>
      <c r="H2087" t="s">
        <v>4627</v>
      </c>
      <c r="I2087" t="str">
        <f>HYPERLINK("https://zfin.org/ZDB-GENE-030131-1558")</f>
        <v>https://zfin.org/ZDB-GENE-030131-1558</v>
      </c>
      <c r="J2087" t="s">
        <v>4628</v>
      </c>
    </row>
    <row r="2088" spans="1:10" x14ac:dyDescent="0.2">
      <c r="A2088">
        <v>1.67269564681581E-11</v>
      </c>
      <c r="B2088">
        <v>0.29444302652793403</v>
      </c>
      <c r="C2088">
        <v>0.24199999999999999</v>
      </c>
      <c r="D2088">
        <v>7.3999999999999996E-2</v>
      </c>
      <c r="E2088">
        <v>2.3247124099446101E-7</v>
      </c>
      <c r="F2088">
        <v>3</v>
      </c>
      <c r="G2088" t="s">
        <v>4629</v>
      </c>
      <c r="H2088" t="s">
        <v>4630</v>
      </c>
      <c r="I2088" t="str">
        <f>HYPERLINK("https://zfin.org/ZDB-GENE-040426-1956")</f>
        <v>https://zfin.org/ZDB-GENE-040426-1956</v>
      </c>
      <c r="J2088" t="s">
        <v>4631</v>
      </c>
    </row>
    <row r="2089" spans="1:10" x14ac:dyDescent="0.2">
      <c r="A2089">
        <v>1.8601451703152799E-11</v>
      </c>
      <c r="B2089">
        <v>0.281015132722855</v>
      </c>
      <c r="C2089">
        <v>0.13600000000000001</v>
      </c>
      <c r="D2089">
        <v>2.9000000000000001E-2</v>
      </c>
      <c r="E2089">
        <v>2.5852297577041702E-7</v>
      </c>
      <c r="F2089">
        <v>3</v>
      </c>
      <c r="G2089" t="s">
        <v>4632</v>
      </c>
      <c r="H2089" t="s">
        <v>4633</v>
      </c>
      <c r="I2089" t="str">
        <f>HYPERLINK("https://zfin.org/ZDB-GENE-030826-13")</f>
        <v>https://zfin.org/ZDB-GENE-030826-13</v>
      </c>
      <c r="J2089" t="s">
        <v>4634</v>
      </c>
    </row>
    <row r="2090" spans="1:10" x14ac:dyDescent="0.2">
      <c r="A2090">
        <v>2.0574230439557101E-11</v>
      </c>
      <c r="B2090">
        <v>0.31208978498927398</v>
      </c>
      <c r="C2090">
        <v>0.21199999999999999</v>
      </c>
      <c r="D2090">
        <v>6.0999999999999999E-2</v>
      </c>
      <c r="E2090">
        <v>2.85940654648964E-7</v>
      </c>
      <c r="F2090">
        <v>3</v>
      </c>
      <c r="G2090" t="s">
        <v>4635</v>
      </c>
      <c r="H2090" t="s">
        <v>4636</v>
      </c>
      <c r="I2090" t="str">
        <f>HYPERLINK("https://zfin.org/ZDB-GENE-040718-302")</f>
        <v>https://zfin.org/ZDB-GENE-040718-302</v>
      </c>
      <c r="J2090" t="s">
        <v>4637</v>
      </c>
    </row>
    <row r="2091" spans="1:10" x14ac:dyDescent="0.2">
      <c r="A2091">
        <v>2.06032803323683E-11</v>
      </c>
      <c r="B2091">
        <v>0.44800552233205199</v>
      </c>
      <c r="C2091">
        <v>0.53</v>
      </c>
      <c r="D2091">
        <v>0.26</v>
      </c>
      <c r="E2091">
        <v>2.8634439005925398E-7</v>
      </c>
      <c r="F2091">
        <v>3</v>
      </c>
      <c r="G2091" t="s">
        <v>4638</v>
      </c>
      <c r="H2091" t="s">
        <v>4639</v>
      </c>
      <c r="I2091" t="str">
        <f>HYPERLINK("https://zfin.org/ZDB-GENE-040426-980")</f>
        <v>https://zfin.org/ZDB-GENE-040426-980</v>
      </c>
      <c r="J2091" t="s">
        <v>4640</v>
      </c>
    </row>
    <row r="2092" spans="1:10" x14ac:dyDescent="0.2">
      <c r="A2092">
        <v>2.11295185650876E-11</v>
      </c>
      <c r="B2092">
        <v>0.33217550984156702</v>
      </c>
      <c r="C2092">
        <v>0.106</v>
      </c>
      <c r="D2092">
        <v>1.9E-2</v>
      </c>
      <c r="E2092">
        <v>2.9365804901758802E-7</v>
      </c>
      <c r="F2092">
        <v>3</v>
      </c>
      <c r="G2092" t="s">
        <v>546</v>
      </c>
      <c r="H2092" t="s">
        <v>547</v>
      </c>
      <c r="I2092" t="str">
        <f>HYPERLINK("https://zfin.org/ZDB-GENE-050720-2")</f>
        <v>https://zfin.org/ZDB-GENE-050720-2</v>
      </c>
      <c r="J2092" t="s">
        <v>548</v>
      </c>
    </row>
    <row r="2093" spans="1:10" x14ac:dyDescent="0.2">
      <c r="A2093">
        <v>2.1685024809173299E-11</v>
      </c>
      <c r="B2093">
        <v>0.36349982320240998</v>
      </c>
      <c r="C2093">
        <v>0.371</v>
      </c>
      <c r="D2093">
        <v>0.14599999999999999</v>
      </c>
      <c r="E2093">
        <v>3.0137847479788999E-7</v>
      </c>
      <c r="F2093">
        <v>3</v>
      </c>
      <c r="G2093" t="s">
        <v>4641</v>
      </c>
      <c r="H2093" t="s">
        <v>4642</v>
      </c>
      <c r="I2093" t="str">
        <f>HYPERLINK("https://zfin.org/ZDB-GENE-030131-9511")</f>
        <v>https://zfin.org/ZDB-GENE-030131-9511</v>
      </c>
      <c r="J2093" t="s">
        <v>4643</v>
      </c>
    </row>
    <row r="2094" spans="1:10" x14ac:dyDescent="0.2">
      <c r="A2094">
        <v>2.2035386140651999E-11</v>
      </c>
      <c r="B2094">
        <v>0.389668691805373</v>
      </c>
      <c r="C2094">
        <v>0.64400000000000002</v>
      </c>
      <c r="D2094">
        <v>0.32800000000000001</v>
      </c>
      <c r="E2094">
        <v>3.0624779658278099E-7</v>
      </c>
      <c r="F2094">
        <v>3</v>
      </c>
      <c r="G2094" t="s">
        <v>4644</v>
      </c>
      <c r="H2094" t="s">
        <v>4645</v>
      </c>
      <c r="I2094" t="str">
        <f>HYPERLINK("https://zfin.org/ZDB-GENE-040808-12")</f>
        <v>https://zfin.org/ZDB-GENE-040808-12</v>
      </c>
      <c r="J2094" t="s">
        <v>4646</v>
      </c>
    </row>
    <row r="2095" spans="1:10" x14ac:dyDescent="0.2">
      <c r="A2095">
        <v>2.2667874200284801E-11</v>
      </c>
      <c r="B2095">
        <v>0.26402205125884498</v>
      </c>
      <c r="C2095">
        <v>0.21199999999999999</v>
      </c>
      <c r="D2095">
        <v>0.06</v>
      </c>
      <c r="E2095">
        <v>3.1503811563555798E-7</v>
      </c>
      <c r="F2095">
        <v>3</v>
      </c>
      <c r="G2095" t="s">
        <v>4647</v>
      </c>
      <c r="H2095" t="s">
        <v>4648</v>
      </c>
      <c r="I2095" t="str">
        <f>HYPERLINK("https://zfin.org/ZDB-GENE-050417-438")</f>
        <v>https://zfin.org/ZDB-GENE-050417-438</v>
      </c>
      <c r="J2095" t="s">
        <v>4649</v>
      </c>
    </row>
    <row r="2096" spans="1:10" x14ac:dyDescent="0.2">
      <c r="A2096">
        <v>2.3058257696500501E-11</v>
      </c>
      <c r="B2096">
        <v>0.45867055957719099</v>
      </c>
      <c r="C2096">
        <v>0.49199999999999999</v>
      </c>
      <c r="D2096">
        <v>0.22800000000000001</v>
      </c>
      <c r="E2096">
        <v>3.20463665465964E-7</v>
      </c>
      <c r="F2096">
        <v>3</v>
      </c>
      <c r="G2096" t="s">
        <v>4650</v>
      </c>
      <c r="H2096" t="s">
        <v>4651</v>
      </c>
      <c r="I2096" t="str">
        <f>HYPERLINK("https://zfin.org/ZDB-GENE-040426-1950")</f>
        <v>https://zfin.org/ZDB-GENE-040426-1950</v>
      </c>
      <c r="J2096" t="s">
        <v>4652</v>
      </c>
    </row>
    <row r="2097" spans="1:10" x14ac:dyDescent="0.2">
      <c r="A2097">
        <v>2.3092579128576599E-11</v>
      </c>
      <c r="B2097">
        <v>0.50481484941183896</v>
      </c>
      <c r="C2097">
        <v>0.83299999999999996</v>
      </c>
      <c r="D2097">
        <v>0.59499999999999997</v>
      </c>
      <c r="E2097">
        <v>3.2094066472895802E-7</v>
      </c>
      <c r="F2097">
        <v>3</v>
      </c>
      <c r="G2097" t="s">
        <v>3417</v>
      </c>
      <c r="H2097" t="s">
        <v>3418</v>
      </c>
      <c r="I2097" t="str">
        <f>HYPERLINK("https://zfin.org/ZDB-GENE-040426-860")</f>
        <v>https://zfin.org/ZDB-GENE-040426-860</v>
      </c>
      <c r="J2097" t="s">
        <v>3419</v>
      </c>
    </row>
    <row r="2098" spans="1:10" x14ac:dyDescent="0.2">
      <c r="A2098">
        <v>2.3137703649596799E-11</v>
      </c>
      <c r="B2098">
        <v>0.26475727056932302</v>
      </c>
      <c r="C2098">
        <v>0.34799999999999998</v>
      </c>
      <c r="D2098">
        <v>0.129</v>
      </c>
      <c r="E2098">
        <v>3.21567805322096E-7</v>
      </c>
      <c r="F2098">
        <v>3</v>
      </c>
      <c r="G2098" t="s">
        <v>4653</v>
      </c>
      <c r="H2098" t="s">
        <v>4654</v>
      </c>
      <c r="I2098" t="str">
        <f>HYPERLINK("https://zfin.org/ZDB-GENE-040718-115")</f>
        <v>https://zfin.org/ZDB-GENE-040718-115</v>
      </c>
      <c r="J2098" t="s">
        <v>4655</v>
      </c>
    </row>
    <row r="2099" spans="1:10" x14ac:dyDescent="0.2">
      <c r="A2099">
        <v>2.3838609338153499E-11</v>
      </c>
      <c r="B2099">
        <v>0.35690392487321598</v>
      </c>
      <c r="C2099">
        <v>0.96199999999999997</v>
      </c>
      <c r="D2099">
        <v>0.82599999999999996</v>
      </c>
      <c r="E2099">
        <v>3.3130899258165701E-7</v>
      </c>
      <c r="F2099">
        <v>3</v>
      </c>
      <c r="G2099" t="s">
        <v>1552</v>
      </c>
      <c r="H2099" t="s">
        <v>1553</v>
      </c>
      <c r="I2099" t="str">
        <f>HYPERLINK("https://zfin.org/ZDB-GENE-010328-8")</f>
        <v>https://zfin.org/ZDB-GENE-010328-8</v>
      </c>
      <c r="J2099" t="s">
        <v>1554</v>
      </c>
    </row>
    <row r="2100" spans="1:10" x14ac:dyDescent="0.2">
      <c r="A2100">
        <v>2.4860095848964299E-11</v>
      </c>
      <c r="B2100">
        <v>0.38989957803158098</v>
      </c>
      <c r="C2100">
        <v>0.41699999999999998</v>
      </c>
      <c r="D2100">
        <v>0.17399999999999999</v>
      </c>
      <c r="E2100">
        <v>3.4550561210890498E-7</v>
      </c>
      <c r="F2100">
        <v>3</v>
      </c>
      <c r="G2100" t="s">
        <v>4656</v>
      </c>
      <c r="H2100" t="s">
        <v>4657</v>
      </c>
      <c r="I2100" t="str">
        <f>HYPERLINK("https://zfin.org/ZDB-GENE-040516-3")</f>
        <v>https://zfin.org/ZDB-GENE-040516-3</v>
      </c>
      <c r="J2100" t="s">
        <v>4658</v>
      </c>
    </row>
    <row r="2101" spans="1:10" x14ac:dyDescent="0.2">
      <c r="A2101">
        <v>2.7195162942014099E-11</v>
      </c>
      <c r="B2101">
        <v>0.38123988476570803</v>
      </c>
      <c r="C2101">
        <v>0.29499999999999998</v>
      </c>
      <c r="D2101">
        <v>0.105</v>
      </c>
      <c r="E2101">
        <v>3.7795837456811199E-7</v>
      </c>
      <c r="F2101">
        <v>3</v>
      </c>
      <c r="G2101" t="s">
        <v>4659</v>
      </c>
      <c r="H2101" t="s">
        <v>4660</v>
      </c>
      <c r="I2101" t="str">
        <f>HYPERLINK("https://zfin.org/ZDB-GENE-050417-34")</f>
        <v>https://zfin.org/ZDB-GENE-050417-34</v>
      </c>
      <c r="J2101" t="s">
        <v>4661</v>
      </c>
    </row>
    <row r="2102" spans="1:10" x14ac:dyDescent="0.2">
      <c r="A2102">
        <v>2.7843592575839001E-11</v>
      </c>
      <c r="B2102">
        <v>-0.86829199345817099</v>
      </c>
      <c r="C2102">
        <v>0.16700000000000001</v>
      </c>
      <c r="D2102">
        <v>0.42599999999999999</v>
      </c>
      <c r="E2102">
        <v>3.8697024961901102E-7</v>
      </c>
      <c r="F2102">
        <v>3</v>
      </c>
      <c r="G2102" t="s">
        <v>2463</v>
      </c>
      <c r="H2102" t="s">
        <v>2464</v>
      </c>
      <c r="I2102" t="str">
        <f>HYPERLINK("https://zfin.org/ZDB-GENE-030131-8466")</f>
        <v>https://zfin.org/ZDB-GENE-030131-8466</v>
      </c>
      <c r="J2102" t="s">
        <v>2465</v>
      </c>
    </row>
    <row r="2103" spans="1:10" x14ac:dyDescent="0.2">
      <c r="A2103">
        <v>2.8638345254792701E-11</v>
      </c>
      <c r="B2103">
        <v>0.27468719686211301</v>
      </c>
      <c r="C2103">
        <v>0.16700000000000001</v>
      </c>
      <c r="D2103">
        <v>4.1000000000000002E-2</v>
      </c>
      <c r="E2103">
        <v>3.9801572235110898E-7</v>
      </c>
      <c r="F2103">
        <v>3</v>
      </c>
      <c r="G2103" t="s">
        <v>120</v>
      </c>
      <c r="H2103" t="s">
        <v>121</v>
      </c>
      <c r="I2103" t="str">
        <f>HYPERLINK("https://zfin.org/ZDB-GENE-081022-199")</f>
        <v>https://zfin.org/ZDB-GENE-081022-199</v>
      </c>
      <c r="J2103" t="s">
        <v>122</v>
      </c>
    </row>
    <row r="2104" spans="1:10" x14ac:dyDescent="0.2">
      <c r="A2104">
        <v>2.8901913764550902E-11</v>
      </c>
      <c r="B2104">
        <v>0.38728757192666102</v>
      </c>
      <c r="C2104">
        <v>0.621</v>
      </c>
      <c r="D2104">
        <v>0.309</v>
      </c>
      <c r="E2104">
        <v>4.0167879749972801E-7</v>
      </c>
      <c r="F2104">
        <v>3</v>
      </c>
      <c r="G2104" t="s">
        <v>4662</v>
      </c>
      <c r="H2104" t="s">
        <v>4663</v>
      </c>
      <c r="I2104" t="str">
        <f>HYPERLINK("https://zfin.org/ZDB-GENE-040426-2919")</f>
        <v>https://zfin.org/ZDB-GENE-040426-2919</v>
      </c>
      <c r="J2104" t="s">
        <v>4664</v>
      </c>
    </row>
    <row r="2105" spans="1:10" x14ac:dyDescent="0.2">
      <c r="A2105">
        <v>3.0269904873950398E-11</v>
      </c>
      <c r="B2105">
        <v>0.25821130888089699</v>
      </c>
      <c r="C2105">
        <v>0.98499999999999999</v>
      </c>
      <c r="D2105">
        <v>0.94</v>
      </c>
      <c r="E2105">
        <v>4.2069113793816298E-7</v>
      </c>
      <c r="F2105">
        <v>3</v>
      </c>
      <c r="G2105" t="s">
        <v>2316</v>
      </c>
      <c r="H2105" t="s">
        <v>2317</v>
      </c>
      <c r="I2105" t="str">
        <f>HYPERLINK("https://zfin.org/ZDB-GENE-030131-10018")</f>
        <v>https://zfin.org/ZDB-GENE-030131-10018</v>
      </c>
      <c r="J2105" t="s">
        <v>2318</v>
      </c>
    </row>
    <row r="2106" spans="1:10" x14ac:dyDescent="0.2">
      <c r="A2106">
        <v>3.15709160643822E-11</v>
      </c>
      <c r="B2106">
        <v>0.36580980062416402</v>
      </c>
      <c r="C2106">
        <v>0.75</v>
      </c>
      <c r="D2106">
        <v>0.4</v>
      </c>
      <c r="E2106">
        <v>4.3877259146278299E-7</v>
      </c>
      <c r="F2106">
        <v>3</v>
      </c>
      <c r="G2106" t="s">
        <v>4665</v>
      </c>
      <c r="H2106" t="s">
        <v>4666</v>
      </c>
      <c r="I2106" t="str">
        <f>HYPERLINK("https://zfin.org/ZDB-GENE-040426-1076")</f>
        <v>https://zfin.org/ZDB-GENE-040426-1076</v>
      </c>
      <c r="J2106" t="s">
        <v>4667</v>
      </c>
    </row>
    <row r="2107" spans="1:10" x14ac:dyDescent="0.2">
      <c r="A2107">
        <v>3.22022760335339E-11</v>
      </c>
      <c r="B2107">
        <v>0.48434427865841301</v>
      </c>
      <c r="C2107">
        <v>0.64400000000000002</v>
      </c>
      <c r="D2107">
        <v>0.35499999999999998</v>
      </c>
      <c r="E2107">
        <v>4.4754723231405401E-7</v>
      </c>
      <c r="F2107">
        <v>3</v>
      </c>
      <c r="G2107" t="s">
        <v>4668</v>
      </c>
      <c r="H2107" t="s">
        <v>4669</v>
      </c>
      <c r="I2107" t="str">
        <f>HYPERLINK("https://zfin.org/ZDB-GENE-030131-579")</f>
        <v>https://zfin.org/ZDB-GENE-030131-579</v>
      </c>
      <c r="J2107" t="s">
        <v>4670</v>
      </c>
    </row>
    <row r="2108" spans="1:10" x14ac:dyDescent="0.2">
      <c r="A2108">
        <v>3.3266528368423502E-11</v>
      </c>
      <c r="B2108">
        <v>-0.93824601915820705</v>
      </c>
      <c r="C2108">
        <v>0.311</v>
      </c>
      <c r="D2108">
        <v>0.53700000000000003</v>
      </c>
      <c r="E2108">
        <v>4.62338211264349E-7</v>
      </c>
      <c r="F2108">
        <v>3</v>
      </c>
      <c r="G2108" t="s">
        <v>2388</v>
      </c>
      <c r="H2108" t="s">
        <v>2389</v>
      </c>
      <c r="I2108" t="str">
        <f>HYPERLINK("https://zfin.org/ZDB-GENE-031001-11")</f>
        <v>https://zfin.org/ZDB-GENE-031001-11</v>
      </c>
      <c r="J2108" t="s">
        <v>2390</v>
      </c>
    </row>
    <row r="2109" spans="1:10" x14ac:dyDescent="0.2">
      <c r="A2109">
        <v>3.35189911798363E-11</v>
      </c>
      <c r="B2109">
        <v>0.317286562517066</v>
      </c>
      <c r="C2109">
        <v>0.94699999999999995</v>
      </c>
      <c r="D2109">
        <v>0.84899999999999998</v>
      </c>
      <c r="E2109">
        <v>4.6584693941736402E-7</v>
      </c>
      <c r="F2109">
        <v>3</v>
      </c>
      <c r="G2109" t="s">
        <v>2409</v>
      </c>
      <c r="H2109" t="s">
        <v>2410</v>
      </c>
      <c r="I2109" t="str">
        <f>HYPERLINK("https://zfin.org/ZDB-GENE-080220-50")</f>
        <v>https://zfin.org/ZDB-GENE-080220-50</v>
      </c>
      <c r="J2109" t="s">
        <v>2411</v>
      </c>
    </row>
    <row r="2110" spans="1:10" x14ac:dyDescent="0.2">
      <c r="A2110">
        <v>3.3999912961229903E-11</v>
      </c>
      <c r="B2110">
        <v>0.39816806477643102</v>
      </c>
      <c r="C2110">
        <v>0.76500000000000001</v>
      </c>
      <c r="D2110">
        <v>0.44500000000000001</v>
      </c>
      <c r="E2110">
        <v>4.7253079033517302E-7</v>
      </c>
      <c r="F2110">
        <v>3</v>
      </c>
      <c r="G2110" t="s">
        <v>4671</v>
      </c>
      <c r="H2110" t="s">
        <v>4672</v>
      </c>
      <c r="I2110" t="str">
        <f>HYPERLINK("https://zfin.org/ZDB-GENE-030131-2735")</f>
        <v>https://zfin.org/ZDB-GENE-030131-2735</v>
      </c>
      <c r="J2110" t="s">
        <v>4673</v>
      </c>
    </row>
    <row r="2111" spans="1:10" x14ac:dyDescent="0.2">
      <c r="A2111">
        <v>3.5496263626086299E-11</v>
      </c>
      <c r="B2111">
        <v>0.31530749785190998</v>
      </c>
      <c r="C2111">
        <v>0.25800000000000001</v>
      </c>
      <c r="D2111">
        <v>8.3000000000000004E-2</v>
      </c>
      <c r="E2111">
        <v>4.9332707187534804E-7</v>
      </c>
      <c r="F2111">
        <v>3</v>
      </c>
      <c r="G2111" t="s">
        <v>4674</v>
      </c>
      <c r="H2111" t="s">
        <v>4675</v>
      </c>
      <c r="I2111" t="str">
        <f>HYPERLINK("https://zfin.org/ZDB-GENE-030131-683")</f>
        <v>https://zfin.org/ZDB-GENE-030131-683</v>
      </c>
      <c r="J2111" t="s">
        <v>4676</v>
      </c>
    </row>
    <row r="2112" spans="1:10" x14ac:dyDescent="0.2">
      <c r="A2112">
        <v>3.5549202599591897E-11</v>
      </c>
      <c r="B2112">
        <v>0.32416688332506899</v>
      </c>
      <c r="C2112">
        <v>0.94699999999999995</v>
      </c>
      <c r="D2112">
        <v>0.82799999999999996</v>
      </c>
      <c r="E2112">
        <v>4.94062817729129E-7</v>
      </c>
      <c r="F2112">
        <v>3</v>
      </c>
      <c r="G2112" t="s">
        <v>2244</v>
      </c>
      <c r="H2112" t="s">
        <v>2245</v>
      </c>
      <c r="I2112" t="str">
        <f>HYPERLINK("https://zfin.org/ZDB-GENE-020814-1")</f>
        <v>https://zfin.org/ZDB-GENE-020814-1</v>
      </c>
      <c r="J2112" t="s">
        <v>2246</v>
      </c>
    </row>
    <row r="2113" spans="1:10" x14ac:dyDescent="0.2">
      <c r="A2113">
        <v>3.5605300216763198E-11</v>
      </c>
      <c r="B2113">
        <v>0.28933561771893901</v>
      </c>
      <c r="C2113">
        <v>0.25</v>
      </c>
      <c r="D2113">
        <v>7.9000000000000001E-2</v>
      </c>
      <c r="E2113">
        <v>4.9484246241257502E-7</v>
      </c>
      <c r="F2113">
        <v>3</v>
      </c>
      <c r="G2113" t="s">
        <v>4677</v>
      </c>
      <c r="H2113" t="s">
        <v>4678</v>
      </c>
      <c r="I2113" t="str">
        <f>HYPERLINK("https://zfin.org/ZDB-GENE-040426-1062")</f>
        <v>https://zfin.org/ZDB-GENE-040426-1062</v>
      </c>
      <c r="J2113" t="s">
        <v>4679</v>
      </c>
    </row>
    <row r="2114" spans="1:10" x14ac:dyDescent="0.2">
      <c r="A2114">
        <v>3.5853691017393297E-11</v>
      </c>
      <c r="B2114">
        <v>0.36586954737941801</v>
      </c>
      <c r="C2114">
        <v>0.57599999999999996</v>
      </c>
      <c r="D2114">
        <v>0.28000000000000003</v>
      </c>
      <c r="E2114">
        <v>4.9829459775973302E-7</v>
      </c>
      <c r="F2114">
        <v>3</v>
      </c>
      <c r="G2114" t="s">
        <v>4680</v>
      </c>
      <c r="H2114" t="s">
        <v>4681</v>
      </c>
      <c r="I2114" t="str">
        <f>HYPERLINK("https://zfin.org/ZDB-GENE-030131-66")</f>
        <v>https://zfin.org/ZDB-GENE-030131-66</v>
      </c>
      <c r="J2114" t="s">
        <v>4682</v>
      </c>
    </row>
    <row r="2115" spans="1:10" x14ac:dyDescent="0.2">
      <c r="A2115">
        <v>3.8558387575359602E-11</v>
      </c>
      <c r="B2115">
        <v>0.36399389704118401</v>
      </c>
      <c r="C2115">
        <v>0.59099999999999997</v>
      </c>
      <c r="D2115">
        <v>0.29199999999999998</v>
      </c>
      <c r="E2115">
        <v>5.3588447052234798E-7</v>
      </c>
      <c r="F2115">
        <v>3</v>
      </c>
      <c r="G2115" t="s">
        <v>1513</v>
      </c>
      <c r="H2115" t="s">
        <v>1514</v>
      </c>
      <c r="I2115" t="str">
        <f>HYPERLINK("https://zfin.org/ZDB-GENE-011010-1")</f>
        <v>https://zfin.org/ZDB-GENE-011010-1</v>
      </c>
      <c r="J2115" t="s">
        <v>1515</v>
      </c>
    </row>
    <row r="2116" spans="1:10" x14ac:dyDescent="0.2">
      <c r="A2116">
        <v>4.09567375301113E-11</v>
      </c>
      <c r="B2116">
        <v>0.42011914138249801</v>
      </c>
      <c r="C2116">
        <v>0.80300000000000005</v>
      </c>
      <c r="D2116">
        <v>0.47599999999999998</v>
      </c>
      <c r="E2116">
        <v>5.6921673819348597E-7</v>
      </c>
      <c r="F2116">
        <v>3</v>
      </c>
      <c r="G2116" t="s">
        <v>4683</v>
      </c>
      <c r="H2116" t="s">
        <v>4684</v>
      </c>
      <c r="I2116" t="str">
        <f>HYPERLINK("https://zfin.org/ZDB-GENE-030131-9966")</f>
        <v>https://zfin.org/ZDB-GENE-030131-9966</v>
      </c>
      <c r="J2116" t="s">
        <v>4685</v>
      </c>
    </row>
    <row r="2117" spans="1:10" x14ac:dyDescent="0.2">
      <c r="A2117">
        <v>4.3468007690410201E-11</v>
      </c>
      <c r="B2117">
        <v>0.36980021791773399</v>
      </c>
      <c r="C2117">
        <v>0.28799999999999998</v>
      </c>
      <c r="D2117">
        <v>0.10199999999999999</v>
      </c>
      <c r="E2117">
        <v>6.0411837088132095E-7</v>
      </c>
      <c r="F2117">
        <v>3</v>
      </c>
      <c r="G2117" t="s">
        <v>4686</v>
      </c>
      <c r="H2117" t="s">
        <v>4687</v>
      </c>
      <c r="I2117" t="str">
        <f>HYPERLINK("https://zfin.org/ZDB-GENE-030131-8485")</f>
        <v>https://zfin.org/ZDB-GENE-030131-8485</v>
      </c>
      <c r="J2117" t="s">
        <v>4688</v>
      </c>
    </row>
    <row r="2118" spans="1:10" x14ac:dyDescent="0.2">
      <c r="A2118">
        <v>4.3672189910769501E-11</v>
      </c>
      <c r="B2118">
        <v>0.42331757133994802</v>
      </c>
      <c r="C2118">
        <v>0.21199999999999999</v>
      </c>
      <c r="D2118">
        <v>6.3E-2</v>
      </c>
      <c r="E2118">
        <v>6.06956095379874E-7</v>
      </c>
      <c r="F2118">
        <v>3</v>
      </c>
      <c r="G2118" t="s">
        <v>4689</v>
      </c>
      <c r="H2118" t="s">
        <v>4690</v>
      </c>
      <c r="I2118" t="str">
        <f>HYPERLINK("https://zfin.org/ZDB-GENE-110411-78")</f>
        <v>https://zfin.org/ZDB-GENE-110411-78</v>
      </c>
      <c r="J2118" t="s">
        <v>4691</v>
      </c>
    </row>
    <row r="2119" spans="1:10" x14ac:dyDescent="0.2">
      <c r="A2119">
        <v>4.3940517456550901E-11</v>
      </c>
      <c r="B2119">
        <v>0.40479575382598898</v>
      </c>
      <c r="C2119">
        <v>0.73499999999999999</v>
      </c>
      <c r="D2119">
        <v>0.41499999999999998</v>
      </c>
      <c r="E2119">
        <v>6.1068531161114402E-7</v>
      </c>
      <c r="F2119">
        <v>3</v>
      </c>
      <c r="G2119" t="s">
        <v>2397</v>
      </c>
      <c r="H2119" t="s">
        <v>2398</v>
      </c>
      <c r="I2119" t="str">
        <f>HYPERLINK("https://zfin.org/ZDB-GENE-040426-1652")</f>
        <v>https://zfin.org/ZDB-GENE-040426-1652</v>
      </c>
      <c r="J2119" t="s">
        <v>2399</v>
      </c>
    </row>
    <row r="2120" spans="1:10" x14ac:dyDescent="0.2">
      <c r="A2120">
        <v>4.4457186374426502E-11</v>
      </c>
      <c r="B2120">
        <v>0.557356685636204</v>
      </c>
      <c r="C2120">
        <v>0.45500000000000002</v>
      </c>
      <c r="D2120">
        <v>0.21199999999999999</v>
      </c>
      <c r="E2120">
        <v>6.17865976231779E-7</v>
      </c>
      <c r="F2120">
        <v>3</v>
      </c>
      <c r="G2120" t="s">
        <v>4692</v>
      </c>
      <c r="H2120" t="s">
        <v>4693</v>
      </c>
      <c r="I2120" t="str">
        <f>HYPERLINK("https://zfin.org/ZDB-GENE-060616-217")</f>
        <v>https://zfin.org/ZDB-GENE-060616-217</v>
      </c>
      <c r="J2120" t="s">
        <v>4694</v>
      </c>
    </row>
    <row r="2121" spans="1:10" x14ac:dyDescent="0.2">
      <c r="A2121">
        <v>4.4790304477672798E-11</v>
      </c>
      <c r="B2121">
        <v>0.35875069774514601</v>
      </c>
      <c r="C2121">
        <v>0.75800000000000001</v>
      </c>
      <c r="D2121">
        <v>0.40799999999999997</v>
      </c>
      <c r="E2121">
        <v>6.22495651630697E-7</v>
      </c>
      <c r="F2121">
        <v>3</v>
      </c>
      <c r="G2121" t="s">
        <v>1474</v>
      </c>
      <c r="H2121" t="s">
        <v>1475</v>
      </c>
      <c r="I2121" t="str">
        <f>HYPERLINK("https://zfin.org/ZDB-GENE-040426-2143")</f>
        <v>https://zfin.org/ZDB-GENE-040426-2143</v>
      </c>
      <c r="J2121" t="s">
        <v>1476</v>
      </c>
    </row>
    <row r="2122" spans="1:10" x14ac:dyDescent="0.2">
      <c r="A2122">
        <v>4.53669715931413E-11</v>
      </c>
      <c r="B2122">
        <v>0.30980784107512299</v>
      </c>
      <c r="C2122">
        <v>0.46200000000000002</v>
      </c>
      <c r="D2122">
        <v>0.19800000000000001</v>
      </c>
      <c r="E2122">
        <v>6.3051017120147704E-7</v>
      </c>
      <c r="F2122">
        <v>3</v>
      </c>
      <c r="G2122" t="s">
        <v>4695</v>
      </c>
      <c r="H2122" t="s">
        <v>4696</v>
      </c>
      <c r="I2122" t="str">
        <f>HYPERLINK("https://zfin.org/ZDB-GENE-030131-1693")</f>
        <v>https://zfin.org/ZDB-GENE-030131-1693</v>
      </c>
      <c r="J2122" t="s">
        <v>4697</v>
      </c>
    </row>
    <row r="2123" spans="1:10" x14ac:dyDescent="0.2">
      <c r="A2123">
        <v>4.5537612956616203E-11</v>
      </c>
      <c r="B2123">
        <v>-0.94629211072145802</v>
      </c>
      <c r="C2123">
        <v>0.189</v>
      </c>
      <c r="D2123">
        <v>0.434</v>
      </c>
      <c r="E2123">
        <v>6.3288174487105095E-7</v>
      </c>
      <c r="F2123">
        <v>3</v>
      </c>
      <c r="G2123" t="s">
        <v>4698</v>
      </c>
      <c r="H2123" t="s">
        <v>4699</v>
      </c>
      <c r="I2123" t="str">
        <f>HYPERLINK("https://zfin.org/ZDB-GENE-030131-5493")</f>
        <v>https://zfin.org/ZDB-GENE-030131-5493</v>
      </c>
      <c r="J2123" t="s">
        <v>4700</v>
      </c>
    </row>
    <row r="2124" spans="1:10" x14ac:dyDescent="0.2">
      <c r="A2124">
        <v>4.62461703039898E-11</v>
      </c>
      <c r="B2124">
        <v>0.25956379190554901</v>
      </c>
      <c r="C2124">
        <v>1</v>
      </c>
      <c r="D2124">
        <v>0.93899999999999995</v>
      </c>
      <c r="E2124">
        <v>6.4272927488485096E-7</v>
      </c>
      <c r="F2124">
        <v>3</v>
      </c>
      <c r="G2124" t="s">
        <v>1863</v>
      </c>
      <c r="H2124" t="s">
        <v>1864</v>
      </c>
      <c r="I2124" t="str">
        <f>HYPERLINK("https://zfin.org/ZDB-GENE-030131-9184")</f>
        <v>https://zfin.org/ZDB-GENE-030131-9184</v>
      </c>
      <c r="J2124" t="s">
        <v>1865</v>
      </c>
    </row>
    <row r="2125" spans="1:10" x14ac:dyDescent="0.2">
      <c r="A2125">
        <v>4.6554002813005102E-11</v>
      </c>
      <c r="B2125">
        <v>-0.89984070168115504</v>
      </c>
      <c r="C2125">
        <v>0.56100000000000005</v>
      </c>
      <c r="D2125">
        <v>0.67700000000000005</v>
      </c>
      <c r="E2125">
        <v>6.47007531095145E-7</v>
      </c>
      <c r="F2125">
        <v>3</v>
      </c>
      <c r="G2125" t="s">
        <v>4701</v>
      </c>
      <c r="H2125" t="s">
        <v>4702</v>
      </c>
      <c r="I2125" t="str">
        <f>HYPERLINK("https://zfin.org/ZDB-GENE-030411-5")</f>
        <v>https://zfin.org/ZDB-GENE-030411-5</v>
      </c>
      <c r="J2125" t="s">
        <v>4703</v>
      </c>
    </row>
    <row r="2126" spans="1:10" x14ac:dyDescent="0.2">
      <c r="A2126">
        <v>4.7868018741309098E-11</v>
      </c>
      <c r="B2126">
        <v>0.315931074603301</v>
      </c>
      <c r="C2126">
        <v>0.189</v>
      </c>
      <c r="D2126">
        <v>5.1999999999999998E-2</v>
      </c>
      <c r="E2126">
        <v>6.6526972446671397E-7</v>
      </c>
      <c r="F2126">
        <v>3</v>
      </c>
      <c r="G2126" t="s">
        <v>4704</v>
      </c>
      <c r="H2126" t="s">
        <v>4705</v>
      </c>
      <c r="I2126" t="str">
        <f>HYPERLINK("https://zfin.org/ZDB-GENE-060810-114")</f>
        <v>https://zfin.org/ZDB-GENE-060810-114</v>
      </c>
      <c r="J2126" t="s">
        <v>4706</v>
      </c>
    </row>
    <row r="2127" spans="1:10" x14ac:dyDescent="0.2">
      <c r="A2127">
        <v>5.2448251483691403E-11</v>
      </c>
      <c r="B2127">
        <v>0.25635384917496701</v>
      </c>
      <c r="C2127">
        <v>0.20499999999999999</v>
      </c>
      <c r="D2127">
        <v>5.8000000000000003E-2</v>
      </c>
      <c r="E2127">
        <v>7.28925799120342E-7</v>
      </c>
      <c r="F2127">
        <v>3</v>
      </c>
      <c r="G2127" t="s">
        <v>4707</v>
      </c>
      <c r="H2127" t="s">
        <v>4708</v>
      </c>
      <c r="I2127" t="str">
        <f>HYPERLINK("https://zfin.org/ZDB-GENE-040426-1805")</f>
        <v>https://zfin.org/ZDB-GENE-040426-1805</v>
      </c>
      <c r="J2127" t="s">
        <v>4709</v>
      </c>
    </row>
    <row r="2128" spans="1:10" x14ac:dyDescent="0.2">
      <c r="A2128">
        <v>5.2537514231502198E-11</v>
      </c>
      <c r="B2128">
        <v>0.32771528774659803</v>
      </c>
      <c r="C2128">
        <v>0.34100000000000003</v>
      </c>
      <c r="D2128">
        <v>0.128</v>
      </c>
      <c r="E2128">
        <v>7.3016637278941798E-7</v>
      </c>
      <c r="F2128">
        <v>3</v>
      </c>
      <c r="G2128" t="s">
        <v>4710</v>
      </c>
      <c r="H2128" t="s">
        <v>4711</v>
      </c>
      <c r="I2128" t="str">
        <f>HYPERLINK("https://zfin.org/ZDB-GENE-000510-1")</f>
        <v>https://zfin.org/ZDB-GENE-000510-1</v>
      </c>
      <c r="J2128" t="s">
        <v>4712</v>
      </c>
    </row>
    <row r="2129" spans="1:10" x14ac:dyDescent="0.2">
      <c r="A2129">
        <v>5.3568166522104903E-11</v>
      </c>
      <c r="B2129">
        <v>-0.94392362302063404</v>
      </c>
      <c r="C2129">
        <v>0.114</v>
      </c>
      <c r="D2129">
        <v>0.379</v>
      </c>
      <c r="E2129">
        <v>7.44490378324214E-7</v>
      </c>
      <c r="F2129">
        <v>3</v>
      </c>
      <c r="G2129" t="s">
        <v>4713</v>
      </c>
      <c r="H2129" t="s">
        <v>4714</v>
      </c>
      <c r="I2129" t="str">
        <f>HYPERLINK("https://zfin.org/ZDB-GENE-030131-7103")</f>
        <v>https://zfin.org/ZDB-GENE-030131-7103</v>
      </c>
      <c r="J2129" t="s">
        <v>4715</v>
      </c>
    </row>
    <row r="2130" spans="1:10" x14ac:dyDescent="0.2">
      <c r="A2130">
        <v>5.4172305953650697E-11</v>
      </c>
      <c r="B2130">
        <v>0.31033940586453501</v>
      </c>
      <c r="C2130">
        <v>0.114</v>
      </c>
      <c r="D2130">
        <v>2.1000000000000001E-2</v>
      </c>
      <c r="E2130">
        <v>7.5288670814383804E-7</v>
      </c>
      <c r="F2130">
        <v>3</v>
      </c>
      <c r="G2130" t="s">
        <v>4716</v>
      </c>
      <c r="H2130" t="s">
        <v>4717</v>
      </c>
      <c r="I2130" t="str">
        <f>HYPERLINK("https://zfin.org/ZDB-GENE-070424-21")</f>
        <v>https://zfin.org/ZDB-GENE-070424-21</v>
      </c>
      <c r="J2130" t="s">
        <v>4718</v>
      </c>
    </row>
    <row r="2131" spans="1:10" x14ac:dyDescent="0.2">
      <c r="A2131">
        <v>5.5664007803281501E-11</v>
      </c>
      <c r="B2131">
        <v>0.36707815819173001</v>
      </c>
      <c r="C2131">
        <v>0.439</v>
      </c>
      <c r="D2131">
        <v>0.19</v>
      </c>
      <c r="E2131">
        <v>7.7361838045000601E-7</v>
      </c>
      <c r="F2131">
        <v>3</v>
      </c>
      <c r="G2131" t="s">
        <v>4719</v>
      </c>
      <c r="H2131" t="s">
        <v>4720</v>
      </c>
      <c r="I2131" t="str">
        <f>HYPERLINK("https://zfin.org/ZDB-GENE-030616-420")</f>
        <v>https://zfin.org/ZDB-GENE-030616-420</v>
      </c>
      <c r="J2131" t="s">
        <v>4721</v>
      </c>
    </row>
    <row r="2132" spans="1:10" x14ac:dyDescent="0.2">
      <c r="A2132">
        <v>5.9629430607194396E-11</v>
      </c>
      <c r="B2132">
        <v>0.36168425348619099</v>
      </c>
      <c r="C2132">
        <v>0.35599999999999998</v>
      </c>
      <c r="D2132">
        <v>0.13800000000000001</v>
      </c>
      <c r="E2132">
        <v>8.2872982657878798E-7</v>
      </c>
      <c r="F2132">
        <v>3</v>
      </c>
      <c r="G2132" t="s">
        <v>4722</v>
      </c>
      <c r="H2132" t="s">
        <v>4723</v>
      </c>
      <c r="I2132" t="str">
        <f>HYPERLINK("https://zfin.org/ZDB-GENE-041010-77")</f>
        <v>https://zfin.org/ZDB-GENE-041010-77</v>
      </c>
      <c r="J2132" t="s">
        <v>4724</v>
      </c>
    </row>
    <row r="2133" spans="1:10" x14ac:dyDescent="0.2">
      <c r="A2133">
        <v>6.1390898356956502E-11</v>
      </c>
      <c r="B2133">
        <v>0.36066354834367997</v>
      </c>
      <c r="C2133">
        <v>0.34799999999999998</v>
      </c>
      <c r="D2133">
        <v>0.13400000000000001</v>
      </c>
      <c r="E2133">
        <v>8.5321070536498101E-7</v>
      </c>
      <c r="F2133">
        <v>3</v>
      </c>
      <c r="G2133" t="s">
        <v>4725</v>
      </c>
      <c r="H2133" t="s">
        <v>4726</v>
      </c>
      <c r="I2133" t="str">
        <f>HYPERLINK("https://zfin.org/ZDB-GENE-000607-16")</f>
        <v>https://zfin.org/ZDB-GENE-000607-16</v>
      </c>
      <c r="J2133" t="s">
        <v>4727</v>
      </c>
    </row>
    <row r="2134" spans="1:10" x14ac:dyDescent="0.2">
      <c r="A2134">
        <v>6.2017484962541396E-11</v>
      </c>
      <c r="B2134">
        <v>0.294360043183233</v>
      </c>
      <c r="C2134">
        <v>0.379</v>
      </c>
      <c r="D2134">
        <v>0.14899999999999999</v>
      </c>
      <c r="E2134">
        <v>8.6191900600940003E-7</v>
      </c>
      <c r="F2134">
        <v>3</v>
      </c>
      <c r="G2134" t="s">
        <v>4728</v>
      </c>
      <c r="H2134" t="s">
        <v>4729</v>
      </c>
      <c r="I2134" t="str">
        <f>HYPERLINK("https://zfin.org/ZDB-GENE-041121-4")</f>
        <v>https://zfin.org/ZDB-GENE-041121-4</v>
      </c>
      <c r="J2134" t="s">
        <v>4730</v>
      </c>
    </row>
    <row r="2135" spans="1:10" x14ac:dyDescent="0.2">
      <c r="A2135">
        <v>6.2961544776223696E-11</v>
      </c>
      <c r="B2135">
        <v>0.42397740139780998</v>
      </c>
      <c r="C2135">
        <v>0.70499999999999996</v>
      </c>
      <c r="D2135">
        <v>0.40300000000000002</v>
      </c>
      <c r="E2135">
        <v>8.7503954929995701E-7</v>
      </c>
      <c r="F2135">
        <v>3</v>
      </c>
      <c r="G2135" t="s">
        <v>4731</v>
      </c>
      <c r="H2135" t="s">
        <v>4732</v>
      </c>
      <c r="I2135" t="str">
        <f>HYPERLINK("https://zfin.org/ZDB-GENE-030131-5287")</f>
        <v>https://zfin.org/ZDB-GENE-030131-5287</v>
      </c>
      <c r="J2135" t="s">
        <v>4733</v>
      </c>
    </row>
    <row r="2136" spans="1:10" x14ac:dyDescent="0.2">
      <c r="A2136">
        <v>6.5911762205719603E-11</v>
      </c>
      <c r="B2136">
        <v>0.34629157531780402</v>
      </c>
      <c r="C2136">
        <v>0.51500000000000001</v>
      </c>
      <c r="D2136">
        <v>0.23799999999999999</v>
      </c>
      <c r="E2136">
        <v>9.1604167113509102E-7</v>
      </c>
      <c r="F2136">
        <v>3</v>
      </c>
      <c r="G2136" t="s">
        <v>4734</v>
      </c>
      <c r="H2136" t="s">
        <v>4735</v>
      </c>
      <c r="I2136" t="str">
        <f>HYPERLINK("https://zfin.org/ZDB-GENE-041010-154")</f>
        <v>https://zfin.org/ZDB-GENE-041010-154</v>
      </c>
      <c r="J2136" t="s">
        <v>4736</v>
      </c>
    </row>
    <row r="2137" spans="1:10" x14ac:dyDescent="0.2">
      <c r="A2137">
        <v>7.34387404951395E-11</v>
      </c>
      <c r="B2137">
        <v>0.35255656133926899</v>
      </c>
      <c r="C2137">
        <v>0.64400000000000002</v>
      </c>
      <c r="D2137">
        <v>0.33500000000000002</v>
      </c>
      <c r="E2137">
        <v>1.0206516154014499E-6</v>
      </c>
      <c r="F2137">
        <v>3</v>
      </c>
      <c r="G2137" t="s">
        <v>4737</v>
      </c>
      <c r="H2137" t="s">
        <v>4738</v>
      </c>
      <c r="I2137" t="str">
        <f>HYPERLINK("https://zfin.org/ZDB-GENE-040426-2570")</f>
        <v>https://zfin.org/ZDB-GENE-040426-2570</v>
      </c>
      <c r="J2137" t="s">
        <v>4739</v>
      </c>
    </row>
    <row r="2138" spans="1:10" x14ac:dyDescent="0.2">
      <c r="A2138">
        <v>7.4284434521581503E-11</v>
      </c>
      <c r="B2138">
        <v>0.25649470979563499</v>
      </c>
      <c r="C2138">
        <v>0.22700000000000001</v>
      </c>
      <c r="D2138">
        <v>6.9000000000000006E-2</v>
      </c>
      <c r="E2138">
        <v>1.03240507098094E-6</v>
      </c>
      <c r="F2138">
        <v>3</v>
      </c>
      <c r="G2138" t="s">
        <v>4740</v>
      </c>
      <c r="H2138" t="s">
        <v>4741</v>
      </c>
      <c r="I2138" t="str">
        <f>HYPERLINK("https://zfin.org/ZDB-GENE-990715-16")</f>
        <v>https://zfin.org/ZDB-GENE-990715-16</v>
      </c>
      <c r="J2138" t="s">
        <v>4742</v>
      </c>
    </row>
    <row r="2139" spans="1:10" x14ac:dyDescent="0.2">
      <c r="A2139">
        <v>7.7323155216038202E-11</v>
      </c>
      <c r="B2139">
        <v>-0.77767346350948297</v>
      </c>
      <c r="C2139">
        <v>0.114</v>
      </c>
      <c r="D2139">
        <v>0.379</v>
      </c>
      <c r="E2139">
        <v>1.0746372111924999E-6</v>
      </c>
      <c r="F2139">
        <v>3</v>
      </c>
      <c r="G2139" t="s">
        <v>4743</v>
      </c>
      <c r="H2139" t="s">
        <v>4744</v>
      </c>
      <c r="I2139" t="str">
        <f>HYPERLINK("https://zfin.org/ZDB-GENE-040704-23")</f>
        <v>https://zfin.org/ZDB-GENE-040704-23</v>
      </c>
      <c r="J2139" t="s">
        <v>4745</v>
      </c>
    </row>
    <row r="2140" spans="1:10" x14ac:dyDescent="0.2">
      <c r="A2140">
        <v>7.7537590711010297E-11</v>
      </c>
      <c r="B2140">
        <v>0.32857785906366699</v>
      </c>
      <c r="C2140">
        <v>0.92400000000000004</v>
      </c>
      <c r="D2140">
        <v>0.76900000000000002</v>
      </c>
      <c r="E2140">
        <v>1.0776174357016199E-6</v>
      </c>
      <c r="F2140">
        <v>3</v>
      </c>
      <c r="G2140" t="s">
        <v>2517</v>
      </c>
      <c r="H2140" t="s">
        <v>2518</v>
      </c>
      <c r="I2140" t="str">
        <f>HYPERLINK("https://zfin.org/ZDB-GENE-030131-341")</f>
        <v>https://zfin.org/ZDB-GENE-030131-341</v>
      </c>
      <c r="J2140" t="s">
        <v>2519</v>
      </c>
    </row>
    <row r="2141" spans="1:10" x14ac:dyDescent="0.2">
      <c r="A2141">
        <v>7.9985181943423506E-11</v>
      </c>
      <c r="B2141">
        <v>0.357324368169261</v>
      </c>
      <c r="C2141">
        <v>0.49199999999999999</v>
      </c>
      <c r="D2141">
        <v>0.218</v>
      </c>
      <c r="E2141">
        <v>1.1116340586497001E-6</v>
      </c>
      <c r="F2141">
        <v>3</v>
      </c>
      <c r="G2141" t="s">
        <v>4746</v>
      </c>
      <c r="H2141" t="s">
        <v>4747</v>
      </c>
      <c r="I2141" t="str">
        <f>HYPERLINK("https://zfin.org/ZDB-GENE-040718-108")</f>
        <v>https://zfin.org/ZDB-GENE-040718-108</v>
      </c>
      <c r="J2141" t="s">
        <v>4748</v>
      </c>
    </row>
    <row r="2142" spans="1:10" x14ac:dyDescent="0.2">
      <c r="A2142">
        <v>8.7050040216546704E-11</v>
      </c>
      <c r="B2142">
        <v>0.44409494000650301</v>
      </c>
      <c r="C2142">
        <v>0.56100000000000005</v>
      </c>
      <c r="D2142">
        <v>0.29699999999999999</v>
      </c>
      <c r="E2142">
        <v>1.2098214589295699E-6</v>
      </c>
      <c r="F2142">
        <v>3</v>
      </c>
      <c r="G2142" t="s">
        <v>4749</v>
      </c>
      <c r="H2142" t="s">
        <v>4750</v>
      </c>
      <c r="I2142" t="str">
        <f>HYPERLINK("https://zfin.org/ZDB-GENE-040426-1109")</f>
        <v>https://zfin.org/ZDB-GENE-040426-1109</v>
      </c>
      <c r="J2142" t="s">
        <v>4751</v>
      </c>
    </row>
    <row r="2143" spans="1:10" x14ac:dyDescent="0.2">
      <c r="A2143">
        <v>8.7788801777732596E-11</v>
      </c>
      <c r="B2143">
        <v>0.31091149288950798</v>
      </c>
      <c r="C2143">
        <v>0.22</v>
      </c>
      <c r="D2143">
        <v>6.8000000000000005E-2</v>
      </c>
      <c r="E2143">
        <v>1.2200887671069301E-6</v>
      </c>
      <c r="F2143">
        <v>3</v>
      </c>
      <c r="G2143" t="s">
        <v>1008</v>
      </c>
      <c r="H2143" t="s">
        <v>1009</v>
      </c>
      <c r="I2143" t="str">
        <f>HYPERLINK("https://zfin.org/ZDB-GENE-081104-219")</f>
        <v>https://zfin.org/ZDB-GENE-081104-219</v>
      </c>
      <c r="J2143" t="s">
        <v>1010</v>
      </c>
    </row>
    <row r="2144" spans="1:10" x14ac:dyDescent="0.2">
      <c r="A2144">
        <v>9.45672400064491E-11</v>
      </c>
      <c r="B2144">
        <v>0.36479492371983402</v>
      </c>
      <c r="C2144">
        <v>0.61399999999999999</v>
      </c>
      <c r="D2144">
        <v>0.312</v>
      </c>
      <c r="E2144">
        <v>1.3142955016096301E-6</v>
      </c>
      <c r="F2144">
        <v>3</v>
      </c>
      <c r="G2144" t="s">
        <v>4752</v>
      </c>
      <c r="H2144" t="s">
        <v>4753</v>
      </c>
      <c r="I2144" t="str">
        <f>HYPERLINK("https://zfin.org/ZDB-GENE-030131-9045")</f>
        <v>https://zfin.org/ZDB-GENE-030131-9045</v>
      </c>
      <c r="J2144" t="s">
        <v>4754</v>
      </c>
    </row>
    <row r="2145" spans="1:10" x14ac:dyDescent="0.2">
      <c r="A2145">
        <v>9.6728476345282995E-11</v>
      </c>
      <c r="B2145">
        <v>0.43341550772049803</v>
      </c>
      <c r="C2145">
        <v>0.67400000000000004</v>
      </c>
      <c r="D2145">
        <v>0.38500000000000001</v>
      </c>
      <c r="E2145">
        <v>1.3443323642467399E-6</v>
      </c>
      <c r="F2145">
        <v>3</v>
      </c>
      <c r="G2145" t="s">
        <v>4755</v>
      </c>
      <c r="H2145" t="s">
        <v>4756</v>
      </c>
      <c r="I2145" t="str">
        <f>HYPERLINK("https://zfin.org/ZDB-GENE-030131-3197")</f>
        <v>https://zfin.org/ZDB-GENE-030131-3197</v>
      </c>
      <c r="J2145" t="s">
        <v>4757</v>
      </c>
    </row>
    <row r="2146" spans="1:10" x14ac:dyDescent="0.2">
      <c r="A2146">
        <v>9.9664013202759602E-11</v>
      </c>
      <c r="B2146">
        <v>0.34706470271474898</v>
      </c>
      <c r="C2146">
        <v>0.36399999999999999</v>
      </c>
      <c r="D2146">
        <v>0.14499999999999999</v>
      </c>
      <c r="E2146">
        <v>1.3851304554919501E-6</v>
      </c>
      <c r="F2146">
        <v>3</v>
      </c>
      <c r="G2146" t="s">
        <v>4758</v>
      </c>
      <c r="H2146" t="s">
        <v>4759</v>
      </c>
      <c r="I2146" t="str">
        <f>HYPERLINK("https://zfin.org/ZDB-GENE-030131-3724")</f>
        <v>https://zfin.org/ZDB-GENE-030131-3724</v>
      </c>
      <c r="J2146" t="s">
        <v>4760</v>
      </c>
    </row>
    <row r="2147" spans="1:10" x14ac:dyDescent="0.2">
      <c r="A2147">
        <v>1.10073607268025E-10</v>
      </c>
      <c r="B2147">
        <v>0.342855813667786</v>
      </c>
      <c r="C2147">
        <v>0.35599999999999998</v>
      </c>
      <c r="D2147">
        <v>0.14099999999999999</v>
      </c>
      <c r="E2147">
        <v>1.52980299381101E-6</v>
      </c>
      <c r="F2147">
        <v>3</v>
      </c>
      <c r="G2147" t="s">
        <v>4761</v>
      </c>
      <c r="H2147" t="s">
        <v>4762</v>
      </c>
      <c r="I2147" t="str">
        <f>HYPERLINK("https://zfin.org/ZDB-GENE-030131-5248")</f>
        <v>https://zfin.org/ZDB-GENE-030131-5248</v>
      </c>
      <c r="J2147" t="s">
        <v>4763</v>
      </c>
    </row>
    <row r="2148" spans="1:10" x14ac:dyDescent="0.2">
      <c r="A2148">
        <v>1.2863689350781899E-10</v>
      </c>
      <c r="B2148">
        <v>0.38660996266706199</v>
      </c>
      <c r="C2148">
        <v>0.77300000000000002</v>
      </c>
      <c r="D2148">
        <v>0.46500000000000002</v>
      </c>
      <c r="E2148">
        <v>1.7877955459716699E-6</v>
      </c>
      <c r="F2148">
        <v>3</v>
      </c>
      <c r="G2148" t="s">
        <v>1137</v>
      </c>
      <c r="H2148" t="s">
        <v>1138</v>
      </c>
      <c r="I2148" t="str">
        <f>HYPERLINK("https://zfin.org/ZDB-GENE-040718-199")</f>
        <v>https://zfin.org/ZDB-GENE-040718-199</v>
      </c>
      <c r="J2148" t="s">
        <v>1139</v>
      </c>
    </row>
    <row r="2149" spans="1:10" x14ac:dyDescent="0.2">
      <c r="A2149">
        <v>1.4323157501105601E-10</v>
      </c>
      <c r="B2149">
        <v>0.25178661012386</v>
      </c>
      <c r="C2149">
        <v>0.182</v>
      </c>
      <c r="D2149">
        <v>0.05</v>
      </c>
      <c r="E2149">
        <v>1.99063242950366E-6</v>
      </c>
      <c r="F2149">
        <v>3</v>
      </c>
      <c r="G2149" t="s">
        <v>1203</v>
      </c>
      <c r="H2149" t="s">
        <v>1204</v>
      </c>
      <c r="I2149" t="str">
        <f>HYPERLINK("https://zfin.org/ZDB-GENE-050113-1")</f>
        <v>https://zfin.org/ZDB-GENE-050113-1</v>
      </c>
      <c r="J2149" t="s">
        <v>1205</v>
      </c>
    </row>
    <row r="2150" spans="1:10" x14ac:dyDescent="0.2">
      <c r="A2150">
        <v>1.4842867420919501E-10</v>
      </c>
      <c r="B2150">
        <v>0.257009631138432</v>
      </c>
      <c r="C2150">
        <v>0.19700000000000001</v>
      </c>
      <c r="D2150">
        <v>5.7000000000000002E-2</v>
      </c>
      <c r="E2150">
        <v>2.06286171415939E-6</v>
      </c>
      <c r="F2150">
        <v>3</v>
      </c>
      <c r="G2150" t="s">
        <v>4764</v>
      </c>
      <c r="H2150" t="s">
        <v>4765</v>
      </c>
      <c r="I2150" t="str">
        <f>HYPERLINK("https://zfin.org/ZDB-GENE-070615-31")</f>
        <v>https://zfin.org/ZDB-GENE-070615-31</v>
      </c>
      <c r="J2150" t="s">
        <v>4766</v>
      </c>
    </row>
    <row r="2151" spans="1:10" x14ac:dyDescent="0.2">
      <c r="A2151">
        <v>1.56317587255725E-10</v>
      </c>
      <c r="B2151">
        <v>0.25742000491306799</v>
      </c>
      <c r="C2151">
        <v>1</v>
      </c>
      <c r="D2151">
        <v>0.94899999999999995</v>
      </c>
      <c r="E2151">
        <v>2.17250182768007E-6</v>
      </c>
      <c r="F2151">
        <v>3</v>
      </c>
      <c r="G2151" t="s">
        <v>2307</v>
      </c>
      <c r="H2151" t="s">
        <v>2308</v>
      </c>
      <c r="I2151" t="str">
        <f>HYPERLINK("https://zfin.org/ZDB-GENE-040109-5")</f>
        <v>https://zfin.org/ZDB-GENE-040109-5</v>
      </c>
      <c r="J2151" t="s">
        <v>2309</v>
      </c>
    </row>
    <row r="2152" spans="1:10" x14ac:dyDescent="0.2">
      <c r="A2152">
        <v>1.7109083532952399E-10</v>
      </c>
      <c r="B2152">
        <v>-0.67778057191321495</v>
      </c>
      <c r="C2152">
        <v>0.439</v>
      </c>
      <c r="D2152">
        <v>0.628</v>
      </c>
      <c r="E2152">
        <v>2.3778204294097198E-6</v>
      </c>
      <c r="F2152">
        <v>3</v>
      </c>
      <c r="G2152" t="s">
        <v>4767</v>
      </c>
      <c r="H2152" t="s">
        <v>4768</v>
      </c>
      <c r="I2152" t="str">
        <f>HYPERLINK("https://zfin.org/ZDB-GENE-031118-36")</f>
        <v>https://zfin.org/ZDB-GENE-031118-36</v>
      </c>
      <c r="J2152" t="s">
        <v>4769</v>
      </c>
    </row>
    <row r="2153" spans="1:10" x14ac:dyDescent="0.2">
      <c r="A2153">
        <v>1.78909230473025E-10</v>
      </c>
      <c r="B2153">
        <v>0.362724220981059</v>
      </c>
      <c r="C2153">
        <v>0.39400000000000002</v>
      </c>
      <c r="D2153">
        <v>0.16700000000000001</v>
      </c>
      <c r="E2153">
        <v>2.4864804851141001E-6</v>
      </c>
      <c r="F2153">
        <v>3</v>
      </c>
      <c r="G2153" t="s">
        <v>2030</v>
      </c>
      <c r="H2153" t="s">
        <v>2031</v>
      </c>
      <c r="I2153" t="str">
        <f>HYPERLINK("https://zfin.org/ZDB-GENE-060503-609")</f>
        <v>https://zfin.org/ZDB-GENE-060503-609</v>
      </c>
      <c r="J2153" t="s">
        <v>2032</v>
      </c>
    </row>
    <row r="2154" spans="1:10" x14ac:dyDescent="0.2">
      <c r="A2154">
        <v>1.81189563757922E-10</v>
      </c>
      <c r="B2154">
        <v>-0.785295996644506</v>
      </c>
      <c r="C2154">
        <v>0.13600000000000001</v>
      </c>
      <c r="D2154">
        <v>0.4</v>
      </c>
      <c r="E2154">
        <v>2.5181725571076E-6</v>
      </c>
      <c r="F2154">
        <v>3</v>
      </c>
      <c r="G2154" t="s">
        <v>4770</v>
      </c>
      <c r="H2154" t="s">
        <v>4771</v>
      </c>
      <c r="I2154" t="str">
        <f>HYPERLINK("https://zfin.org/ZDB-GENE-040426-2382")</f>
        <v>https://zfin.org/ZDB-GENE-040426-2382</v>
      </c>
      <c r="J2154" t="s">
        <v>4772</v>
      </c>
    </row>
    <row r="2155" spans="1:10" x14ac:dyDescent="0.2">
      <c r="A2155">
        <v>1.8764183932096499E-10</v>
      </c>
      <c r="B2155">
        <v>0.31772734297204502</v>
      </c>
      <c r="C2155">
        <v>0.28000000000000003</v>
      </c>
      <c r="D2155">
        <v>0.1</v>
      </c>
      <c r="E2155">
        <v>2.6078462828827699E-6</v>
      </c>
      <c r="F2155">
        <v>3</v>
      </c>
      <c r="G2155" t="s">
        <v>4773</v>
      </c>
      <c r="H2155" t="s">
        <v>4774</v>
      </c>
      <c r="I2155" t="str">
        <f>HYPERLINK("https://zfin.org/ZDB-GENE-050417-268")</f>
        <v>https://zfin.org/ZDB-GENE-050417-268</v>
      </c>
      <c r="J2155" t="s">
        <v>4775</v>
      </c>
    </row>
    <row r="2156" spans="1:10" x14ac:dyDescent="0.2">
      <c r="A2156">
        <v>1.9535800349620399E-10</v>
      </c>
      <c r="B2156">
        <v>-0.75041446805576195</v>
      </c>
      <c r="C2156">
        <v>0.189</v>
      </c>
      <c r="D2156">
        <v>0.432</v>
      </c>
      <c r="E2156">
        <v>2.7150855325902402E-6</v>
      </c>
      <c r="F2156">
        <v>3</v>
      </c>
      <c r="G2156" t="s">
        <v>2403</v>
      </c>
      <c r="H2156" t="s">
        <v>2404</v>
      </c>
      <c r="I2156" t="str">
        <f>HYPERLINK("https://zfin.org/ZDB-GENE-040801-77")</f>
        <v>https://zfin.org/ZDB-GENE-040801-77</v>
      </c>
      <c r="J2156" t="s">
        <v>2405</v>
      </c>
    </row>
    <row r="2157" spans="1:10" x14ac:dyDescent="0.2">
      <c r="A2157">
        <v>2.01955850790879E-10</v>
      </c>
      <c r="B2157">
        <v>0.38280580271752701</v>
      </c>
      <c r="C2157">
        <v>0.69699999999999995</v>
      </c>
      <c r="D2157">
        <v>0.38400000000000001</v>
      </c>
      <c r="E2157">
        <v>2.8067824142916401E-6</v>
      </c>
      <c r="F2157">
        <v>3</v>
      </c>
      <c r="G2157" t="s">
        <v>2700</v>
      </c>
      <c r="H2157" t="s">
        <v>2701</v>
      </c>
      <c r="I2157" t="str">
        <f>HYPERLINK("https://zfin.org/ZDB-GENE-050417-338")</f>
        <v>https://zfin.org/ZDB-GENE-050417-338</v>
      </c>
      <c r="J2157" t="s">
        <v>2702</v>
      </c>
    </row>
    <row r="2158" spans="1:10" x14ac:dyDescent="0.2">
      <c r="A2158">
        <v>2.0755976881544199E-10</v>
      </c>
      <c r="B2158">
        <v>0.39869333662277401</v>
      </c>
      <c r="C2158">
        <v>0.46200000000000002</v>
      </c>
      <c r="D2158">
        <v>0.21199999999999999</v>
      </c>
      <c r="E2158">
        <v>2.8846656669970101E-6</v>
      </c>
      <c r="F2158">
        <v>3</v>
      </c>
      <c r="G2158" t="s">
        <v>1173</v>
      </c>
      <c r="H2158" t="s">
        <v>1174</v>
      </c>
      <c r="I2158" t="str">
        <f>HYPERLINK("https://zfin.org/ZDB-GENE-040426-1087")</f>
        <v>https://zfin.org/ZDB-GENE-040426-1087</v>
      </c>
      <c r="J2158" t="s">
        <v>1175</v>
      </c>
    </row>
    <row r="2159" spans="1:10" x14ac:dyDescent="0.2">
      <c r="A2159">
        <v>2.1130847505673301E-10</v>
      </c>
      <c r="B2159">
        <v>0.47934119191638902</v>
      </c>
      <c r="C2159">
        <v>0.20499999999999999</v>
      </c>
      <c r="D2159">
        <v>6.4000000000000001E-2</v>
      </c>
      <c r="E2159">
        <v>2.93676518633848E-6</v>
      </c>
      <c r="F2159">
        <v>3</v>
      </c>
      <c r="G2159" t="s">
        <v>4776</v>
      </c>
      <c r="H2159" t="s">
        <v>4777</v>
      </c>
      <c r="I2159" t="str">
        <f>HYPERLINK("https://zfin.org/ZDB-GENE-080204-34")</f>
        <v>https://zfin.org/ZDB-GENE-080204-34</v>
      </c>
      <c r="J2159" t="s">
        <v>4778</v>
      </c>
    </row>
    <row r="2160" spans="1:10" x14ac:dyDescent="0.2">
      <c r="A2160">
        <v>2.12909118392057E-10</v>
      </c>
      <c r="B2160">
        <v>0.33193994707414898</v>
      </c>
      <c r="C2160">
        <v>0.96199999999999997</v>
      </c>
      <c r="D2160">
        <v>0.72099999999999997</v>
      </c>
      <c r="E2160">
        <v>2.9590109274128001E-6</v>
      </c>
      <c r="F2160">
        <v>3</v>
      </c>
      <c r="G2160" t="s">
        <v>4779</v>
      </c>
      <c r="H2160" t="s">
        <v>4780</v>
      </c>
      <c r="I2160" t="str">
        <f>HYPERLINK("https://zfin.org/ZDB-GENE-051023-7")</f>
        <v>https://zfin.org/ZDB-GENE-051023-7</v>
      </c>
      <c r="J2160" t="s">
        <v>4781</v>
      </c>
    </row>
    <row r="2161" spans="1:10" x14ac:dyDescent="0.2">
      <c r="A2161">
        <v>2.1321222222609199E-10</v>
      </c>
      <c r="B2161">
        <v>0.30230914398670899</v>
      </c>
      <c r="C2161">
        <v>0.34100000000000003</v>
      </c>
      <c r="D2161">
        <v>0.13300000000000001</v>
      </c>
      <c r="E2161">
        <v>2.96322346449822E-6</v>
      </c>
      <c r="F2161">
        <v>3</v>
      </c>
      <c r="G2161" t="s">
        <v>4782</v>
      </c>
      <c r="H2161" t="s">
        <v>4783</v>
      </c>
      <c r="I2161" t="str">
        <f>HYPERLINK("https://zfin.org/ZDB-GENE-060810-163")</f>
        <v>https://zfin.org/ZDB-GENE-060810-163</v>
      </c>
      <c r="J2161" t="s">
        <v>4784</v>
      </c>
    </row>
    <row r="2162" spans="1:10" x14ac:dyDescent="0.2">
      <c r="A2162">
        <v>2.1332132675178801E-10</v>
      </c>
      <c r="B2162">
        <v>0.264055527494158</v>
      </c>
      <c r="C2162">
        <v>0.25</v>
      </c>
      <c r="D2162">
        <v>8.2000000000000003E-2</v>
      </c>
      <c r="E2162">
        <v>2.9647397991963399E-6</v>
      </c>
      <c r="F2162">
        <v>3</v>
      </c>
      <c r="G2162" t="s">
        <v>4785</v>
      </c>
      <c r="H2162" t="s">
        <v>4786</v>
      </c>
      <c r="I2162" t="str">
        <f>HYPERLINK("https://zfin.org/ZDB-GENE-050706-131")</f>
        <v>https://zfin.org/ZDB-GENE-050706-131</v>
      </c>
      <c r="J2162" t="s">
        <v>4787</v>
      </c>
    </row>
    <row r="2163" spans="1:10" x14ac:dyDescent="0.2">
      <c r="A2163">
        <v>2.19588759196069E-10</v>
      </c>
      <c r="B2163">
        <v>0.42161921077234299</v>
      </c>
      <c r="C2163">
        <v>0.86399999999999999</v>
      </c>
      <c r="D2163">
        <v>0.61</v>
      </c>
      <c r="E2163">
        <v>3.05184457530697E-6</v>
      </c>
      <c r="F2163">
        <v>3</v>
      </c>
      <c r="G2163" t="s">
        <v>2343</v>
      </c>
      <c r="H2163" t="s">
        <v>2344</v>
      </c>
      <c r="I2163" t="str">
        <f>HYPERLINK("https://zfin.org/ZDB-GENE-041010-33")</f>
        <v>https://zfin.org/ZDB-GENE-041010-33</v>
      </c>
      <c r="J2163" t="s">
        <v>2345</v>
      </c>
    </row>
    <row r="2164" spans="1:10" x14ac:dyDescent="0.2">
      <c r="A2164">
        <v>2.2977400714788399E-10</v>
      </c>
      <c r="B2164">
        <v>0.35516191204839298</v>
      </c>
      <c r="C2164">
        <v>0.379</v>
      </c>
      <c r="D2164">
        <v>0.158</v>
      </c>
      <c r="E2164">
        <v>3.1933991513412901E-6</v>
      </c>
      <c r="F2164">
        <v>3</v>
      </c>
      <c r="G2164" t="s">
        <v>4788</v>
      </c>
      <c r="H2164" t="s">
        <v>4789</v>
      </c>
      <c r="I2164" t="str">
        <f>HYPERLINK("https://zfin.org/ZDB-GENE-030131-8680")</f>
        <v>https://zfin.org/ZDB-GENE-030131-8680</v>
      </c>
      <c r="J2164" t="s">
        <v>4790</v>
      </c>
    </row>
    <row r="2165" spans="1:10" x14ac:dyDescent="0.2">
      <c r="A2165">
        <v>2.41852405329276E-10</v>
      </c>
      <c r="B2165">
        <v>0.32325179419172001</v>
      </c>
      <c r="C2165">
        <v>0.23499999999999999</v>
      </c>
      <c r="D2165">
        <v>7.5999999999999998E-2</v>
      </c>
      <c r="E2165">
        <v>3.3612647292662798E-6</v>
      </c>
      <c r="F2165">
        <v>3</v>
      </c>
      <c r="G2165" t="s">
        <v>4791</v>
      </c>
      <c r="H2165" t="s">
        <v>4792</v>
      </c>
      <c r="I2165" t="str">
        <f>HYPERLINK("https://zfin.org/ZDB-GENE-040426-2944")</f>
        <v>https://zfin.org/ZDB-GENE-040426-2944</v>
      </c>
      <c r="J2165" t="s">
        <v>4793</v>
      </c>
    </row>
    <row r="2166" spans="1:10" x14ac:dyDescent="0.2">
      <c r="A2166">
        <v>2.4313331645299E-10</v>
      </c>
      <c r="B2166">
        <v>0.31320194901954101</v>
      </c>
      <c r="C2166">
        <v>0.22700000000000001</v>
      </c>
      <c r="D2166">
        <v>7.1999999999999995E-2</v>
      </c>
      <c r="E2166">
        <v>3.3790668320636498E-6</v>
      </c>
      <c r="F2166">
        <v>3</v>
      </c>
      <c r="G2166" t="s">
        <v>151</v>
      </c>
      <c r="H2166" t="s">
        <v>152</v>
      </c>
      <c r="I2166" t="str">
        <f>HYPERLINK("https://zfin.org/ZDB-GENE-081028-70")</f>
        <v>https://zfin.org/ZDB-GENE-081028-70</v>
      </c>
      <c r="J2166" t="s">
        <v>153</v>
      </c>
    </row>
    <row r="2167" spans="1:10" x14ac:dyDescent="0.2">
      <c r="A2167">
        <v>2.4331446859463598E-10</v>
      </c>
      <c r="B2167">
        <v>0.27174537139375998</v>
      </c>
      <c r="C2167">
        <v>0.189</v>
      </c>
      <c r="D2167">
        <v>5.3999999999999999E-2</v>
      </c>
      <c r="E2167">
        <v>3.38158448452825E-6</v>
      </c>
      <c r="F2167">
        <v>3</v>
      </c>
      <c r="G2167" t="s">
        <v>4794</v>
      </c>
      <c r="H2167" t="s">
        <v>4795</v>
      </c>
      <c r="I2167" t="str">
        <f>HYPERLINK("https://zfin.org/ZDB-GENE-040704-42")</f>
        <v>https://zfin.org/ZDB-GENE-040704-42</v>
      </c>
      <c r="J2167" t="s">
        <v>4796</v>
      </c>
    </row>
    <row r="2168" spans="1:10" x14ac:dyDescent="0.2">
      <c r="A2168">
        <v>2.6323006428402199E-10</v>
      </c>
      <c r="B2168">
        <v>0.49590825509533298</v>
      </c>
      <c r="C2168">
        <v>0.80300000000000005</v>
      </c>
      <c r="D2168">
        <v>0.52</v>
      </c>
      <c r="E2168">
        <v>3.6583714334193402E-6</v>
      </c>
      <c r="F2168">
        <v>3</v>
      </c>
      <c r="G2168" t="s">
        <v>2768</v>
      </c>
      <c r="H2168" t="s">
        <v>2769</v>
      </c>
      <c r="I2168" t="str">
        <f>HYPERLINK("https://zfin.org/ZDB-GENE-070410-36")</f>
        <v>https://zfin.org/ZDB-GENE-070410-36</v>
      </c>
      <c r="J2168" t="s">
        <v>2770</v>
      </c>
    </row>
    <row r="2169" spans="1:10" x14ac:dyDescent="0.2">
      <c r="A2169">
        <v>2.86459216519713E-10</v>
      </c>
      <c r="B2169">
        <v>0.38073605197741001</v>
      </c>
      <c r="C2169">
        <v>0.45500000000000002</v>
      </c>
      <c r="D2169">
        <v>0.20300000000000001</v>
      </c>
      <c r="E2169">
        <v>3.9812101911909698E-6</v>
      </c>
      <c r="F2169">
        <v>3</v>
      </c>
      <c r="G2169" t="s">
        <v>4797</v>
      </c>
      <c r="H2169" t="s">
        <v>4798</v>
      </c>
      <c r="I2169" t="str">
        <f>HYPERLINK("https://zfin.org/ZDB-GENE-031030-1")</f>
        <v>https://zfin.org/ZDB-GENE-031030-1</v>
      </c>
      <c r="J2169" t="s">
        <v>4799</v>
      </c>
    </row>
    <row r="2170" spans="1:10" x14ac:dyDescent="0.2">
      <c r="A2170">
        <v>2.86521379593575E-10</v>
      </c>
      <c r="B2170">
        <v>0.39638564360461997</v>
      </c>
      <c r="C2170">
        <v>0.95499999999999996</v>
      </c>
      <c r="D2170">
        <v>0.81499999999999995</v>
      </c>
      <c r="E2170">
        <v>3.9820741335915098E-6</v>
      </c>
      <c r="F2170">
        <v>3</v>
      </c>
      <c r="G2170" t="s">
        <v>2226</v>
      </c>
      <c r="H2170" t="s">
        <v>2227</v>
      </c>
      <c r="I2170" t="str">
        <f>HYPERLINK("https://zfin.org/ZDB-GENE-000329-3")</f>
        <v>https://zfin.org/ZDB-GENE-000329-3</v>
      </c>
      <c r="J2170" t="s">
        <v>2228</v>
      </c>
    </row>
    <row r="2171" spans="1:10" x14ac:dyDescent="0.2">
      <c r="A2171">
        <v>2.96422384733967E-10</v>
      </c>
      <c r="B2171">
        <v>0.31150597984329098</v>
      </c>
      <c r="C2171">
        <v>0.35599999999999998</v>
      </c>
      <c r="D2171">
        <v>0.14399999999999999</v>
      </c>
      <c r="E2171">
        <v>4.1196783030326797E-6</v>
      </c>
      <c r="F2171">
        <v>3</v>
      </c>
      <c r="G2171" t="s">
        <v>4800</v>
      </c>
      <c r="H2171" t="s">
        <v>4801</v>
      </c>
      <c r="I2171" t="str">
        <f>HYPERLINK("https://zfin.org/ZDB-GENE-040625-111")</f>
        <v>https://zfin.org/ZDB-GENE-040625-111</v>
      </c>
      <c r="J2171" t="s">
        <v>4802</v>
      </c>
    </row>
    <row r="2172" spans="1:10" x14ac:dyDescent="0.2">
      <c r="A2172">
        <v>3.0862607685962898E-10</v>
      </c>
      <c r="B2172">
        <v>0.274507936278306</v>
      </c>
      <c r="C2172">
        <v>0.19700000000000001</v>
      </c>
      <c r="D2172">
        <v>5.7000000000000002E-2</v>
      </c>
      <c r="E2172">
        <v>4.2892852161951203E-6</v>
      </c>
      <c r="F2172">
        <v>3</v>
      </c>
      <c r="G2172" t="s">
        <v>4803</v>
      </c>
      <c r="H2172" t="s">
        <v>4804</v>
      </c>
      <c r="I2172" t="str">
        <f>HYPERLINK("https://zfin.org/ZDB-GENE-030131-4803")</f>
        <v>https://zfin.org/ZDB-GENE-030131-4803</v>
      </c>
      <c r="J2172" t="s">
        <v>4805</v>
      </c>
    </row>
    <row r="2173" spans="1:10" x14ac:dyDescent="0.2">
      <c r="A2173">
        <v>3.1910137432950398E-10</v>
      </c>
      <c r="B2173">
        <v>0.29922343783321498</v>
      </c>
      <c r="C2173">
        <v>0.182</v>
      </c>
      <c r="D2173">
        <v>5.1999999999999998E-2</v>
      </c>
      <c r="E2173">
        <v>4.43487090043144E-6</v>
      </c>
      <c r="F2173">
        <v>3</v>
      </c>
      <c r="G2173" t="s">
        <v>681</v>
      </c>
      <c r="H2173" t="s">
        <v>682</v>
      </c>
      <c r="I2173" t="str">
        <f>HYPERLINK("https://zfin.org/ZDB-GENE-040426-1943")</f>
        <v>https://zfin.org/ZDB-GENE-040426-1943</v>
      </c>
      <c r="J2173" t="s">
        <v>683</v>
      </c>
    </row>
    <row r="2174" spans="1:10" x14ac:dyDescent="0.2">
      <c r="A2174">
        <v>3.3799479983849001E-10</v>
      </c>
      <c r="B2174">
        <v>-0.87138267657054802</v>
      </c>
      <c r="C2174">
        <v>0.114</v>
      </c>
      <c r="D2174">
        <v>0.35699999999999998</v>
      </c>
      <c r="E2174">
        <v>4.6974517281553303E-6</v>
      </c>
      <c r="F2174">
        <v>3</v>
      </c>
      <c r="G2174" t="s">
        <v>2427</v>
      </c>
      <c r="H2174" t="s">
        <v>2428</v>
      </c>
      <c r="I2174" t="str">
        <f>HYPERLINK("https://zfin.org/ZDB-GENE-131127-464")</f>
        <v>https://zfin.org/ZDB-GENE-131127-464</v>
      </c>
      <c r="J2174" t="s">
        <v>2429</v>
      </c>
    </row>
    <row r="2175" spans="1:10" x14ac:dyDescent="0.2">
      <c r="A2175">
        <v>3.4606227493817E-10</v>
      </c>
      <c r="B2175">
        <v>0.32987276570120599</v>
      </c>
      <c r="C2175">
        <v>0.152</v>
      </c>
      <c r="D2175">
        <v>3.7999999999999999E-2</v>
      </c>
      <c r="E2175">
        <v>4.8095734970906897E-6</v>
      </c>
      <c r="F2175">
        <v>3</v>
      </c>
      <c r="G2175" t="s">
        <v>4806</v>
      </c>
      <c r="H2175" t="s">
        <v>4807</v>
      </c>
      <c r="I2175" t="str">
        <f>HYPERLINK("https://zfin.org/ZDB-GENE-060130-180")</f>
        <v>https://zfin.org/ZDB-GENE-060130-180</v>
      </c>
      <c r="J2175" t="s">
        <v>4808</v>
      </c>
    </row>
    <row r="2176" spans="1:10" x14ac:dyDescent="0.2">
      <c r="A2176">
        <v>3.5088008283554399E-10</v>
      </c>
      <c r="B2176">
        <v>0.44550112609546599</v>
      </c>
      <c r="C2176">
        <v>0.79500000000000004</v>
      </c>
      <c r="D2176">
        <v>0.52200000000000002</v>
      </c>
      <c r="E2176">
        <v>4.8765313912483897E-6</v>
      </c>
      <c r="F2176">
        <v>3</v>
      </c>
      <c r="G2176" t="s">
        <v>1988</v>
      </c>
      <c r="H2176" t="s">
        <v>1989</v>
      </c>
      <c r="I2176" t="str">
        <f>HYPERLINK("https://zfin.org/ZDB-GENE-030131-7649")</f>
        <v>https://zfin.org/ZDB-GENE-030131-7649</v>
      </c>
      <c r="J2176" t="s">
        <v>1990</v>
      </c>
    </row>
    <row r="2177" spans="1:10" x14ac:dyDescent="0.2">
      <c r="A2177">
        <v>3.5976371392906799E-10</v>
      </c>
      <c r="B2177">
        <v>0.26863269576627802</v>
      </c>
      <c r="C2177">
        <v>0.17399999999999999</v>
      </c>
      <c r="D2177">
        <v>4.8000000000000001E-2</v>
      </c>
      <c r="E2177">
        <v>4.9999960961861903E-6</v>
      </c>
      <c r="F2177">
        <v>3</v>
      </c>
      <c r="G2177" t="s">
        <v>4809</v>
      </c>
      <c r="H2177" t="s">
        <v>4810</v>
      </c>
      <c r="I2177" t="str">
        <f>HYPERLINK("https://zfin.org/ZDB-GENE-050522-163")</f>
        <v>https://zfin.org/ZDB-GENE-050522-163</v>
      </c>
      <c r="J2177" t="s">
        <v>4811</v>
      </c>
    </row>
    <row r="2178" spans="1:10" x14ac:dyDescent="0.2">
      <c r="A2178">
        <v>3.69499027034885E-10</v>
      </c>
      <c r="B2178">
        <v>0.29634212457160503</v>
      </c>
      <c r="C2178">
        <v>0.311</v>
      </c>
      <c r="D2178">
        <v>0.11700000000000001</v>
      </c>
      <c r="E2178">
        <v>5.13529747773083E-6</v>
      </c>
      <c r="F2178">
        <v>3</v>
      </c>
      <c r="G2178" t="s">
        <v>4812</v>
      </c>
      <c r="H2178" t="s">
        <v>4813</v>
      </c>
      <c r="I2178" t="str">
        <f>HYPERLINK("https://zfin.org/ZDB-GENE-030425-4")</f>
        <v>https://zfin.org/ZDB-GENE-030425-4</v>
      </c>
      <c r="J2178" t="s">
        <v>4814</v>
      </c>
    </row>
    <row r="2179" spans="1:10" x14ac:dyDescent="0.2">
      <c r="A2179">
        <v>3.9764903329155198E-10</v>
      </c>
      <c r="B2179">
        <v>0.39099334050780898</v>
      </c>
      <c r="C2179">
        <v>0.81100000000000005</v>
      </c>
      <c r="D2179">
        <v>0.52</v>
      </c>
      <c r="E2179">
        <v>5.5265262646859899E-6</v>
      </c>
      <c r="F2179">
        <v>3</v>
      </c>
      <c r="G2179" t="s">
        <v>1578</v>
      </c>
      <c r="H2179" t="s">
        <v>1579</v>
      </c>
      <c r="I2179" t="str">
        <f>HYPERLINK("https://zfin.org/ZDB-GENE-051130-1")</f>
        <v>https://zfin.org/ZDB-GENE-051130-1</v>
      </c>
      <c r="J2179" t="s">
        <v>1580</v>
      </c>
    </row>
    <row r="2180" spans="1:10" x14ac:dyDescent="0.2">
      <c r="A2180">
        <v>4.12674033534179E-10</v>
      </c>
      <c r="B2180">
        <v>0.25244190589077398</v>
      </c>
      <c r="C2180">
        <v>0.21199999999999999</v>
      </c>
      <c r="D2180">
        <v>6.5000000000000002E-2</v>
      </c>
      <c r="E2180">
        <v>5.7353437180580196E-6</v>
      </c>
      <c r="F2180">
        <v>3</v>
      </c>
      <c r="G2180" t="s">
        <v>4815</v>
      </c>
      <c r="H2180" t="s">
        <v>4816</v>
      </c>
      <c r="I2180" t="str">
        <f>HYPERLINK("https://zfin.org/ZDB-GENE-060825-249")</f>
        <v>https://zfin.org/ZDB-GENE-060825-249</v>
      </c>
      <c r="J2180" t="s">
        <v>4817</v>
      </c>
    </row>
    <row r="2181" spans="1:10" x14ac:dyDescent="0.2">
      <c r="A2181">
        <v>4.2108162265487302E-10</v>
      </c>
      <c r="B2181">
        <v>0.25805799551401498</v>
      </c>
      <c r="C2181">
        <v>0.33300000000000002</v>
      </c>
      <c r="D2181">
        <v>0.127</v>
      </c>
      <c r="E2181">
        <v>5.8521923916574201E-6</v>
      </c>
      <c r="F2181">
        <v>3</v>
      </c>
      <c r="G2181" t="s">
        <v>4818</v>
      </c>
      <c r="H2181" t="s">
        <v>4819</v>
      </c>
      <c r="I2181" t="str">
        <f>HYPERLINK("https://zfin.org/ZDB-GENE-040426-1944")</f>
        <v>https://zfin.org/ZDB-GENE-040426-1944</v>
      </c>
      <c r="J2181" t="s">
        <v>4820</v>
      </c>
    </row>
    <row r="2182" spans="1:10" x14ac:dyDescent="0.2">
      <c r="A2182">
        <v>4.3432564414674399E-10</v>
      </c>
      <c r="B2182">
        <v>0.37179621018546499</v>
      </c>
      <c r="C2182">
        <v>0.66700000000000004</v>
      </c>
      <c r="D2182">
        <v>0.37</v>
      </c>
      <c r="E2182">
        <v>6.0362578023514502E-6</v>
      </c>
      <c r="F2182">
        <v>3</v>
      </c>
      <c r="G2182" t="s">
        <v>4821</v>
      </c>
      <c r="H2182" t="s">
        <v>4822</v>
      </c>
      <c r="I2182" t="str">
        <f>HYPERLINK("https://zfin.org/ZDB-GENE-050522-161")</f>
        <v>https://zfin.org/ZDB-GENE-050522-161</v>
      </c>
      <c r="J2182" t="s">
        <v>4823</v>
      </c>
    </row>
    <row r="2183" spans="1:10" x14ac:dyDescent="0.2">
      <c r="A2183">
        <v>4.42791853859301E-10</v>
      </c>
      <c r="B2183">
        <v>0.44935364093713898</v>
      </c>
      <c r="C2183">
        <v>0.75</v>
      </c>
      <c r="D2183">
        <v>0.46100000000000002</v>
      </c>
      <c r="E2183">
        <v>6.1539211849365604E-6</v>
      </c>
      <c r="F2183">
        <v>3</v>
      </c>
      <c r="G2183" t="s">
        <v>4824</v>
      </c>
      <c r="H2183" t="s">
        <v>4825</v>
      </c>
      <c r="I2183" t="str">
        <f>HYPERLINK("https://zfin.org/ZDB-GENE-050327-93")</f>
        <v>https://zfin.org/ZDB-GENE-050327-93</v>
      </c>
      <c r="J2183" t="s">
        <v>4826</v>
      </c>
    </row>
    <row r="2184" spans="1:10" x14ac:dyDescent="0.2">
      <c r="A2184">
        <v>4.4983233762401501E-10</v>
      </c>
      <c r="B2184">
        <v>0.38526601475191002</v>
      </c>
      <c r="C2184">
        <v>0.59799999999999998</v>
      </c>
      <c r="D2184">
        <v>0.32100000000000001</v>
      </c>
      <c r="E2184">
        <v>6.2517698282985599E-6</v>
      </c>
      <c r="F2184">
        <v>3</v>
      </c>
      <c r="G2184" t="s">
        <v>4827</v>
      </c>
      <c r="H2184" t="s">
        <v>4828</v>
      </c>
      <c r="I2184" t="str">
        <f>HYPERLINK("https://zfin.org/ZDB-GENE-030131-400")</f>
        <v>https://zfin.org/ZDB-GENE-030131-400</v>
      </c>
      <c r="J2184" t="s">
        <v>4829</v>
      </c>
    </row>
    <row r="2185" spans="1:10" x14ac:dyDescent="0.2">
      <c r="A2185">
        <v>4.5007832569689403E-10</v>
      </c>
      <c r="B2185">
        <v>0.376526203845513</v>
      </c>
      <c r="C2185">
        <v>0.34799999999999998</v>
      </c>
      <c r="D2185">
        <v>0.14399999999999999</v>
      </c>
      <c r="E2185">
        <v>6.2551885705354304E-6</v>
      </c>
      <c r="F2185">
        <v>3</v>
      </c>
      <c r="G2185" t="s">
        <v>4830</v>
      </c>
      <c r="H2185" t="s">
        <v>4831</v>
      </c>
      <c r="I2185" t="str">
        <f>HYPERLINK("https://zfin.org/ZDB-GENE-991110-19")</f>
        <v>https://zfin.org/ZDB-GENE-991110-19</v>
      </c>
      <c r="J2185" t="s">
        <v>4832</v>
      </c>
    </row>
    <row r="2186" spans="1:10" x14ac:dyDescent="0.2">
      <c r="A2186">
        <v>5.1770863658316898E-10</v>
      </c>
      <c r="B2186">
        <v>0.27442772957029798</v>
      </c>
      <c r="C2186">
        <v>0.27300000000000002</v>
      </c>
      <c r="D2186">
        <v>9.7000000000000003E-2</v>
      </c>
      <c r="E2186">
        <v>7.1951146312328902E-6</v>
      </c>
      <c r="F2186">
        <v>3</v>
      </c>
      <c r="G2186" t="s">
        <v>4833</v>
      </c>
      <c r="H2186" t="s">
        <v>4834</v>
      </c>
      <c r="I2186" t="str">
        <f>HYPERLINK("https://zfin.org/ZDB-GENE-040426-1334")</f>
        <v>https://zfin.org/ZDB-GENE-040426-1334</v>
      </c>
      <c r="J2186" t="s">
        <v>4835</v>
      </c>
    </row>
    <row r="2187" spans="1:10" x14ac:dyDescent="0.2">
      <c r="A2187">
        <v>5.2661444491513898E-10</v>
      </c>
      <c r="B2187">
        <v>0.38486864296175799</v>
      </c>
      <c r="C2187">
        <v>0.68899999999999995</v>
      </c>
      <c r="D2187">
        <v>0.41199999999999998</v>
      </c>
      <c r="E2187">
        <v>7.3188875554306004E-6</v>
      </c>
      <c r="F2187">
        <v>3</v>
      </c>
      <c r="G2187" t="s">
        <v>4836</v>
      </c>
      <c r="H2187" t="s">
        <v>4837</v>
      </c>
      <c r="I2187" t="str">
        <f>HYPERLINK("https://zfin.org/ZDB-GENE-030131-845")</f>
        <v>https://zfin.org/ZDB-GENE-030131-845</v>
      </c>
      <c r="J2187" t="s">
        <v>4838</v>
      </c>
    </row>
    <row r="2188" spans="1:10" x14ac:dyDescent="0.2">
      <c r="A2188">
        <v>5.3857359970983604E-10</v>
      </c>
      <c r="B2188">
        <v>-0.80635408852135404</v>
      </c>
      <c r="C2188">
        <v>9.8000000000000004E-2</v>
      </c>
      <c r="D2188">
        <v>0.34100000000000003</v>
      </c>
      <c r="E2188">
        <v>7.4850958887673001E-6</v>
      </c>
      <c r="F2188">
        <v>3</v>
      </c>
      <c r="G2188" t="s">
        <v>4839</v>
      </c>
      <c r="H2188" t="s">
        <v>4840</v>
      </c>
      <c r="I2188" t="str">
        <f>HYPERLINK("https://zfin.org/ZDB-GENE-061013-567")</f>
        <v>https://zfin.org/ZDB-GENE-061013-567</v>
      </c>
      <c r="J2188" t="s">
        <v>4841</v>
      </c>
    </row>
    <row r="2189" spans="1:10" x14ac:dyDescent="0.2">
      <c r="A2189">
        <v>5.5267885068646896E-10</v>
      </c>
      <c r="B2189">
        <v>0.35562138598355603</v>
      </c>
      <c r="C2189">
        <v>0.55300000000000005</v>
      </c>
      <c r="D2189">
        <v>0.27600000000000002</v>
      </c>
      <c r="E2189">
        <v>7.6811306668405405E-6</v>
      </c>
      <c r="F2189">
        <v>3</v>
      </c>
      <c r="G2189" t="s">
        <v>4842</v>
      </c>
      <c r="H2189" t="s">
        <v>4843</v>
      </c>
      <c r="I2189" t="str">
        <f>HYPERLINK("https://zfin.org/ZDB-GENE-040718-451")</f>
        <v>https://zfin.org/ZDB-GENE-040718-451</v>
      </c>
      <c r="J2189" t="s">
        <v>4844</v>
      </c>
    </row>
    <row r="2190" spans="1:10" x14ac:dyDescent="0.2">
      <c r="A2190">
        <v>5.8694502100866204E-10</v>
      </c>
      <c r="B2190">
        <v>0.38730370996896302</v>
      </c>
      <c r="C2190">
        <v>0.19700000000000001</v>
      </c>
      <c r="D2190">
        <v>0.06</v>
      </c>
      <c r="E2190">
        <v>8.1573619019783898E-6</v>
      </c>
      <c r="F2190">
        <v>3</v>
      </c>
      <c r="G2190" t="s">
        <v>4845</v>
      </c>
      <c r="H2190" t="s">
        <v>4846</v>
      </c>
      <c r="I2190" t="str">
        <f>HYPERLINK("https://zfin.org/ZDB-GENE-040801-112")</f>
        <v>https://zfin.org/ZDB-GENE-040801-112</v>
      </c>
      <c r="J2190" t="s">
        <v>4847</v>
      </c>
    </row>
    <row r="2191" spans="1:10" x14ac:dyDescent="0.2">
      <c r="A2191">
        <v>5.9184829040191901E-10</v>
      </c>
      <c r="B2191">
        <v>0.34686243689686203</v>
      </c>
      <c r="C2191">
        <v>0.70499999999999996</v>
      </c>
      <c r="D2191">
        <v>0.38</v>
      </c>
      <c r="E2191">
        <v>8.2255075400058692E-6</v>
      </c>
      <c r="F2191">
        <v>3</v>
      </c>
      <c r="G2191" t="s">
        <v>4848</v>
      </c>
      <c r="H2191" t="s">
        <v>4849</v>
      </c>
      <c r="I2191" t="str">
        <f>HYPERLINK("https://zfin.org/ZDB-GENE-040808-48")</f>
        <v>https://zfin.org/ZDB-GENE-040808-48</v>
      </c>
      <c r="J2191" t="s">
        <v>4850</v>
      </c>
    </row>
    <row r="2192" spans="1:10" x14ac:dyDescent="0.2">
      <c r="A2192">
        <v>6.0183284023547704E-10</v>
      </c>
      <c r="B2192">
        <v>0.40963496872438199</v>
      </c>
      <c r="C2192">
        <v>0.61399999999999999</v>
      </c>
      <c r="D2192">
        <v>0.34799999999999998</v>
      </c>
      <c r="E2192">
        <v>8.3642728135926495E-6</v>
      </c>
      <c r="F2192">
        <v>3</v>
      </c>
      <c r="G2192" t="s">
        <v>4851</v>
      </c>
      <c r="H2192" t="s">
        <v>4852</v>
      </c>
      <c r="I2192" t="str">
        <f>HYPERLINK("https://zfin.org/ZDB-GENE-990614-17")</f>
        <v>https://zfin.org/ZDB-GENE-990614-17</v>
      </c>
      <c r="J2192" t="s">
        <v>4853</v>
      </c>
    </row>
    <row r="2193" spans="1:10" x14ac:dyDescent="0.2">
      <c r="A2193">
        <v>6.0507013078164899E-10</v>
      </c>
      <c r="B2193">
        <v>0.34619738617138002</v>
      </c>
      <c r="C2193">
        <v>0.24199999999999999</v>
      </c>
      <c r="D2193">
        <v>8.4000000000000005E-2</v>
      </c>
      <c r="E2193">
        <v>8.4092646776033498E-6</v>
      </c>
      <c r="F2193">
        <v>3</v>
      </c>
      <c r="G2193" t="s">
        <v>4854</v>
      </c>
      <c r="H2193" t="s">
        <v>4855</v>
      </c>
      <c r="I2193" t="str">
        <f>HYPERLINK("https://zfin.org/ZDB-GENE-041008-125")</f>
        <v>https://zfin.org/ZDB-GENE-041008-125</v>
      </c>
      <c r="J2193" t="s">
        <v>4856</v>
      </c>
    </row>
    <row r="2194" spans="1:10" x14ac:dyDescent="0.2">
      <c r="A2194">
        <v>6.0738630744588703E-10</v>
      </c>
      <c r="B2194">
        <v>0.388997604183765</v>
      </c>
      <c r="C2194">
        <v>0.44700000000000001</v>
      </c>
      <c r="D2194">
        <v>0.215</v>
      </c>
      <c r="E2194">
        <v>8.4414549008829292E-6</v>
      </c>
      <c r="F2194">
        <v>3</v>
      </c>
      <c r="G2194" t="s">
        <v>4857</v>
      </c>
      <c r="H2194" t="s">
        <v>4858</v>
      </c>
      <c r="I2194" t="str">
        <f>HYPERLINK("https://zfin.org/ZDB-GENE-041219-1")</f>
        <v>https://zfin.org/ZDB-GENE-041219-1</v>
      </c>
      <c r="J2194" t="s">
        <v>4859</v>
      </c>
    </row>
    <row r="2195" spans="1:10" x14ac:dyDescent="0.2">
      <c r="A2195">
        <v>6.0927847671783298E-10</v>
      </c>
      <c r="B2195">
        <v>0.30627732778636202</v>
      </c>
      <c r="C2195">
        <v>0.45500000000000002</v>
      </c>
      <c r="D2195">
        <v>0.20499999999999999</v>
      </c>
      <c r="E2195">
        <v>8.4677522694244406E-6</v>
      </c>
      <c r="F2195">
        <v>3</v>
      </c>
      <c r="G2195" t="s">
        <v>4860</v>
      </c>
      <c r="H2195" t="s">
        <v>4861</v>
      </c>
      <c r="I2195" t="str">
        <f>HYPERLINK("https://zfin.org/ZDB-GENE-030131-1158")</f>
        <v>https://zfin.org/ZDB-GENE-030131-1158</v>
      </c>
      <c r="J2195" t="s">
        <v>4862</v>
      </c>
    </row>
    <row r="2196" spans="1:10" x14ac:dyDescent="0.2">
      <c r="A2196">
        <v>6.1119598808152605E-10</v>
      </c>
      <c r="B2196">
        <v>-0.78389180890601995</v>
      </c>
      <c r="C2196">
        <v>0.182</v>
      </c>
      <c r="D2196">
        <v>0.41</v>
      </c>
      <c r="E2196">
        <v>8.4944018423570499E-6</v>
      </c>
      <c r="F2196">
        <v>3</v>
      </c>
      <c r="G2196" t="s">
        <v>2412</v>
      </c>
      <c r="H2196" t="s">
        <v>2413</v>
      </c>
      <c r="I2196" t="str">
        <f>HYPERLINK("https://zfin.org/ZDB-GENE-030131-4489")</f>
        <v>https://zfin.org/ZDB-GENE-030131-4489</v>
      </c>
      <c r="J2196" t="s">
        <v>2414</v>
      </c>
    </row>
    <row r="2197" spans="1:10" x14ac:dyDescent="0.2">
      <c r="A2197">
        <v>6.21887605014824E-10</v>
      </c>
      <c r="B2197">
        <v>0.25720809065084299</v>
      </c>
      <c r="C2197">
        <v>0.129</v>
      </c>
      <c r="D2197">
        <v>0.03</v>
      </c>
      <c r="E2197">
        <v>8.6429939344960304E-6</v>
      </c>
      <c r="F2197">
        <v>3</v>
      </c>
      <c r="G2197" t="s">
        <v>4863</v>
      </c>
      <c r="H2197" t="s">
        <v>4864</v>
      </c>
      <c r="I2197" t="str">
        <f>HYPERLINK("https://zfin.org/ZDB-GENE-121030-3")</f>
        <v>https://zfin.org/ZDB-GENE-121030-3</v>
      </c>
      <c r="J2197" t="s">
        <v>4865</v>
      </c>
    </row>
    <row r="2198" spans="1:10" x14ac:dyDescent="0.2">
      <c r="A2198">
        <v>6.3797689876481105E-10</v>
      </c>
      <c r="B2198">
        <v>0.30858778658295899</v>
      </c>
      <c r="C2198">
        <v>0.34799999999999998</v>
      </c>
      <c r="D2198">
        <v>0.14099999999999999</v>
      </c>
      <c r="E2198">
        <v>8.8666029390333406E-6</v>
      </c>
      <c r="F2198">
        <v>3</v>
      </c>
      <c r="G2198" t="s">
        <v>4866</v>
      </c>
      <c r="H2198" t="s">
        <v>4867</v>
      </c>
      <c r="I2198" t="str">
        <f>HYPERLINK("https://zfin.org/ZDB-GENE-040801-175")</f>
        <v>https://zfin.org/ZDB-GENE-040801-175</v>
      </c>
      <c r="J2198" t="s">
        <v>4868</v>
      </c>
    </row>
    <row r="2199" spans="1:10" x14ac:dyDescent="0.2">
      <c r="A2199">
        <v>6.5464985856968003E-10</v>
      </c>
      <c r="B2199">
        <v>0.27207282602987398</v>
      </c>
      <c r="C2199">
        <v>0.97699999999999998</v>
      </c>
      <c r="D2199">
        <v>0.89100000000000001</v>
      </c>
      <c r="E2199">
        <v>9.0983237344014094E-6</v>
      </c>
      <c r="F2199">
        <v>3</v>
      </c>
      <c r="G2199" t="s">
        <v>2373</v>
      </c>
      <c r="H2199" t="s">
        <v>2374</v>
      </c>
      <c r="I2199" t="str">
        <f>HYPERLINK("https://zfin.org/ZDB-GENE-030131-8494")</f>
        <v>https://zfin.org/ZDB-GENE-030131-8494</v>
      </c>
      <c r="J2199" t="s">
        <v>2375</v>
      </c>
    </row>
    <row r="2200" spans="1:10" x14ac:dyDescent="0.2">
      <c r="A2200">
        <v>6.8247929493385695E-10</v>
      </c>
      <c r="B2200">
        <v>0.34483259879032202</v>
      </c>
      <c r="C2200">
        <v>0.61399999999999999</v>
      </c>
      <c r="D2200">
        <v>0.314</v>
      </c>
      <c r="E2200">
        <v>9.4850972409907399E-6</v>
      </c>
      <c r="F2200">
        <v>3</v>
      </c>
      <c r="G2200" t="s">
        <v>4869</v>
      </c>
      <c r="H2200" t="s">
        <v>4870</v>
      </c>
      <c r="I2200" t="str">
        <f>HYPERLINK("https://zfin.org/ZDB-GENE-030131-614")</f>
        <v>https://zfin.org/ZDB-GENE-030131-614</v>
      </c>
      <c r="J2200" t="s">
        <v>4871</v>
      </c>
    </row>
    <row r="2201" spans="1:10" x14ac:dyDescent="0.2">
      <c r="A2201">
        <v>6.9878841895088695E-10</v>
      </c>
      <c r="B2201">
        <v>0.33594226109995801</v>
      </c>
      <c r="C2201">
        <v>0.38600000000000001</v>
      </c>
      <c r="D2201">
        <v>0.16500000000000001</v>
      </c>
      <c r="E2201">
        <v>9.7117614465794299E-6</v>
      </c>
      <c r="F2201">
        <v>3</v>
      </c>
      <c r="G2201" t="s">
        <v>2283</v>
      </c>
      <c r="H2201" t="s">
        <v>2284</v>
      </c>
      <c r="I2201" t="str">
        <f>HYPERLINK("https://zfin.org/ZDB-GENE-050522-240")</f>
        <v>https://zfin.org/ZDB-GENE-050522-240</v>
      </c>
      <c r="J2201" t="s">
        <v>2285</v>
      </c>
    </row>
    <row r="2202" spans="1:10" x14ac:dyDescent="0.2">
      <c r="A2202">
        <v>7.2240121349271205E-10</v>
      </c>
      <c r="B2202">
        <v>0.37752076169912002</v>
      </c>
      <c r="C2202">
        <v>0.53800000000000003</v>
      </c>
      <c r="D2202">
        <v>0.26800000000000002</v>
      </c>
      <c r="E2202">
        <v>1.00399320651217E-5</v>
      </c>
      <c r="F2202">
        <v>3</v>
      </c>
      <c r="G2202" t="s">
        <v>4872</v>
      </c>
      <c r="H2202" t="s">
        <v>4873</v>
      </c>
      <c r="I2202" t="str">
        <f>HYPERLINK("https://zfin.org/ZDB-GENE-070820-18")</f>
        <v>https://zfin.org/ZDB-GENE-070820-18</v>
      </c>
      <c r="J2202" t="s">
        <v>4874</v>
      </c>
    </row>
    <row r="2203" spans="1:10" x14ac:dyDescent="0.2">
      <c r="A2203">
        <v>7.3879114250120196E-10</v>
      </c>
      <c r="B2203">
        <v>0.38698809356522401</v>
      </c>
      <c r="C2203">
        <v>0.68200000000000005</v>
      </c>
      <c r="D2203">
        <v>0.40300000000000002</v>
      </c>
      <c r="E2203">
        <v>1.02677192984817E-5</v>
      </c>
      <c r="F2203">
        <v>3</v>
      </c>
      <c r="G2203" t="s">
        <v>4875</v>
      </c>
      <c r="H2203" t="s">
        <v>4876</v>
      </c>
      <c r="I2203" t="str">
        <f>HYPERLINK("https://zfin.org/ZDB-GENE-030131-563")</f>
        <v>https://zfin.org/ZDB-GENE-030131-563</v>
      </c>
      <c r="J2203" t="s">
        <v>4877</v>
      </c>
    </row>
    <row r="2204" spans="1:10" x14ac:dyDescent="0.2">
      <c r="A2204">
        <v>7.4476927606473797E-10</v>
      </c>
      <c r="B2204">
        <v>0.39286341310017903</v>
      </c>
      <c r="C2204">
        <v>0.76500000000000001</v>
      </c>
      <c r="D2204">
        <v>0.48799999999999999</v>
      </c>
      <c r="E2204">
        <v>1.03508033987477E-5</v>
      </c>
      <c r="F2204">
        <v>3</v>
      </c>
      <c r="G2204" t="s">
        <v>2481</v>
      </c>
      <c r="H2204" t="s">
        <v>2482</v>
      </c>
      <c r="I2204" t="str">
        <f>HYPERLINK("https://zfin.org/ZDB-GENE-030131-5162")</f>
        <v>https://zfin.org/ZDB-GENE-030131-5162</v>
      </c>
      <c r="J2204" t="s">
        <v>2483</v>
      </c>
    </row>
    <row r="2205" spans="1:10" x14ac:dyDescent="0.2">
      <c r="A2205">
        <v>8.1190337746359905E-10</v>
      </c>
      <c r="B2205">
        <v>0.280095788523469</v>
      </c>
      <c r="C2205">
        <v>0.26500000000000001</v>
      </c>
      <c r="D2205">
        <v>9.2999999999999999E-2</v>
      </c>
      <c r="E2205">
        <v>1.12838331399891E-5</v>
      </c>
      <c r="F2205">
        <v>3</v>
      </c>
      <c r="G2205" t="s">
        <v>4878</v>
      </c>
      <c r="H2205" t="s">
        <v>4879</v>
      </c>
      <c r="I2205" t="str">
        <f>HYPERLINK("https://zfin.org/ZDB-GENE-030131-7158")</f>
        <v>https://zfin.org/ZDB-GENE-030131-7158</v>
      </c>
      <c r="J2205" t="s">
        <v>4880</v>
      </c>
    </row>
    <row r="2206" spans="1:10" x14ac:dyDescent="0.2">
      <c r="A2206">
        <v>8.3032642899724998E-10</v>
      </c>
      <c r="B2206">
        <v>0.33895390280267301</v>
      </c>
      <c r="C2206">
        <v>0.54500000000000004</v>
      </c>
      <c r="D2206">
        <v>0.27500000000000002</v>
      </c>
      <c r="E2206">
        <v>1.1539876710203799E-5</v>
      </c>
      <c r="F2206">
        <v>3</v>
      </c>
      <c r="G2206" t="s">
        <v>3192</v>
      </c>
      <c r="H2206" t="s">
        <v>3193</v>
      </c>
      <c r="I2206" t="str">
        <f>HYPERLINK("https://zfin.org/ZDB-GENE-040912-126")</f>
        <v>https://zfin.org/ZDB-GENE-040912-126</v>
      </c>
      <c r="J2206" t="s">
        <v>3194</v>
      </c>
    </row>
    <row r="2207" spans="1:10" x14ac:dyDescent="0.2">
      <c r="A2207">
        <v>8.7454463738354795E-10</v>
      </c>
      <c r="B2207">
        <v>0.30549272501500702</v>
      </c>
      <c r="C2207">
        <v>0.27300000000000002</v>
      </c>
      <c r="D2207">
        <v>0.1</v>
      </c>
      <c r="E2207">
        <v>1.21544213703565E-5</v>
      </c>
      <c r="F2207">
        <v>3</v>
      </c>
      <c r="G2207" t="s">
        <v>4881</v>
      </c>
      <c r="H2207" t="s">
        <v>4882</v>
      </c>
      <c r="I2207" t="str">
        <f>HYPERLINK("https://zfin.org/ZDB-GENE-040426-1573")</f>
        <v>https://zfin.org/ZDB-GENE-040426-1573</v>
      </c>
      <c r="J2207" t="s">
        <v>4883</v>
      </c>
    </row>
    <row r="2208" spans="1:10" x14ac:dyDescent="0.2">
      <c r="A2208">
        <v>9.4844178838360409E-10</v>
      </c>
      <c r="B2208">
        <v>0.37815851681368901</v>
      </c>
      <c r="C2208">
        <v>0.75800000000000001</v>
      </c>
      <c r="D2208">
        <v>0.46800000000000003</v>
      </c>
      <c r="E2208">
        <v>1.31814439749553E-5</v>
      </c>
      <c r="F2208">
        <v>3</v>
      </c>
      <c r="G2208" t="s">
        <v>4884</v>
      </c>
      <c r="H2208" t="s">
        <v>4885</v>
      </c>
      <c r="I2208" t="str">
        <f>HYPERLINK("https://zfin.org/ZDB-GENE-030131-1319")</f>
        <v>https://zfin.org/ZDB-GENE-030131-1319</v>
      </c>
      <c r="J2208" t="s">
        <v>4886</v>
      </c>
    </row>
    <row r="2209" spans="1:10" x14ac:dyDescent="0.2">
      <c r="A2209">
        <v>9.5742630006917704E-10</v>
      </c>
      <c r="B2209">
        <v>0.33350127945828201</v>
      </c>
      <c r="C2209">
        <v>0.55300000000000005</v>
      </c>
      <c r="D2209">
        <v>0.27900000000000003</v>
      </c>
      <c r="E2209">
        <v>1.3306310718361399E-5</v>
      </c>
      <c r="F2209">
        <v>3</v>
      </c>
      <c r="G2209" t="s">
        <v>4887</v>
      </c>
      <c r="H2209" t="s">
        <v>4888</v>
      </c>
      <c r="I2209" t="str">
        <f>HYPERLINK("https://zfin.org/ZDB-GENE-030131-7434")</f>
        <v>https://zfin.org/ZDB-GENE-030131-7434</v>
      </c>
      <c r="J2209" t="s">
        <v>4889</v>
      </c>
    </row>
    <row r="2210" spans="1:10" x14ac:dyDescent="0.2">
      <c r="A2210">
        <v>9.5820567941923994E-10</v>
      </c>
      <c r="B2210">
        <v>0.27756123882505701</v>
      </c>
      <c r="C2210">
        <v>0.26500000000000001</v>
      </c>
      <c r="D2210">
        <v>9.4E-2</v>
      </c>
      <c r="E2210">
        <v>1.3317142532568599E-5</v>
      </c>
      <c r="F2210">
        <v>3</v>
      </c>
      <c r="G2210" t="s">
        <v>4890</v>
      </c>
      <c r="H2210" t="s">
        <v>4891</v>
      </c>
      <c r="I2210" t="str">
        <f>HYPERLINK("https://zfin.org/ZDB-GENE-030131-6018")</f>
        <v>https://zfin.org/ZDB-GENE-030131-6018</v>
      </c>
      <c r="J2210" t="s">
        <v>4892</v>
      </c>
    </row>
    <row r="2211" spans="1:10" x14ac:dyDescent="0.2">
      <c r="A2211">
        <v>9.7107325916327608E-10</v>
      </c>
      <c r="B2211">
        <v>0.30820075806425301</v>
      </c>
      <c r="C2211">
        <v>0.91700000000000004</v>
      </c>
      <c r="D2211">
        <v>0.73799999999999999</v>
      </c>
      <c r="E2211">
        <v>1.34959761558512E-5</v>
      </c>
      <c r="F2211">
        <v>3</v>
      </c>
      <c r="G2211" t="s">
        <v>4893</v>
      </c>
      <c r="H2211" t="s">
        <v>4894</v>
      </c>
      <c r="I2211" t="str">
        <f>HYPERLINK("https://zfin.org/ZDB-GENE-061215-23")</f>
        <v>https://zfin.org/ZDB-GENE-061215-23</v>
      </c>
      <c r="J2211" t="s">
        <v>4895</v>
      </c>
    </row>
    <row r="2212" spans="1:10" x14ac:dyDescent="0.2">
      <c r="A2212">
        <v>1.0536330292370099E-9</v>
      </c>
      <c r="B2212">
        <v>0.38606477672162698</v>
      </c>
      <c r="C2212">
        <v>0.129</v>
      </c>
      <c r="D2212">
        <v>0.03</v>
      </c>
      <c r="E2212">
        <v>1.4643391840336E-5</v>
      </c>
      <c r="F2212">
        <v>3</v>
      </c>
      <c r="G2212" t="s">
        <v>4896</v>
      </c>
      <c r="H2212" t="s">
        <v>4897</v>
      </c>
      <c r="I2212" t="str">
        <f>HYPERLINK("https://zfin.org/ZDB-GENE-041114-171")</f>
        <v>https://zfin.org/ZDB-GENE-041114-171</v>
      </c>
      <c r="J2212" t="s">
        <v>4898</v>
      </c>
    </row>
    <row r="2213" spans="1:10" x14ac:dyDescent="0.2">
      <c r="A2213">
        <v>1.1052158826451901E-9</v>
      </c>
      <c r="B2213">
        <v>0.39799852485472198</v>
      </c>
      <c r="C2213">
        <v>0.34100000000000003</v>
      </c>
      <c r="D2213">
        <v>0.14199999999999999</v>
      </c>
      <c r="E2213">
        <v>1.53602903370028E-5</v>
      </c>
      <c r="F2213">
        <v>3</v>
      </c>
      <c r="G2213" t="s">
        <v>4899</v>
      </c>
      <c r="H2213" t="s">
        <v>4900</v>
      </c>
      <c r="I2213" t="str">
        <f>HYPERLINK("https://zfin.org/ZDB-GENE-040426-848")</f>
        <v>https://zfin.org/ZDB-GENE-040426-848</v>
      </c>
      <c r="J2213" t="s">
        <v>4901</v>
      </c>
    </row>
    <row r="2214" spans="1:10" x14ac:dyDescent="0.2">
      <c r="A2214">
        <v>1.1052208611140999E-9</v>
      </c>
      <c r="B2214">
        <v>0.31518440503280198</v>
      </c>
      <c r="C2214">
        <v>0.94699999999999995</v>
      </c>
      <c r="D2214">
        <v>0.78400000000000003</v>
      </c>
      <c r="E2214">
        <v>1.5360359527763801E-5</v>
      </c>
      <c r="F2214">
        <v>3</v>
      </c>
      <c r="G2214" t="s">
        <v>2179</v>
      </c>
      <c r="H2214" t="s">
        <v>2180</v>
      </c>
      <c r="I2214" t="str">
        <f>HYPERLINK("https://zfin.org/ZDB-GENE-040426-1566")</f>
        <v>https://zfin.org/ZDB-GENE-040426-1566</v>
      </c>
      <c r="J2214" t="s">
        <v>2181</v>
      </c>
    </row>
    <row r="2215" spans="1:10" x14ac:dyDescent="0.2">
      <c r="A2215">
        <v>1.1380887666980001E-9</v>
      </c>
      <c r="B2215">
        <v>0.26754776769226002</v>
      </c>
      <c r="C2215">
        <v>0.32600000000000001</v>
      </c>
      <c r="D2215">
        <v>0.128</v>
      </c>
      <c r="E2215">
        <v>1.58171576795689E-5</v>
      </c>
      <c r="F2215">
        <v>3</v>
      </c>
      <c r="G2215" t="s">
        <v>192</v>
      </c>
      <c r="H2215" t="s">
        <v>193</v>
      </c>
      <c r="I2215" t="str">
        <f>HYPERLINK("https://zfin.org/ZDB-GENE-081022-9")</f>
        <v>https://zfin.org/ZDB-GENE-081022-9</v>
      </c>
      <c r="J2215" t="s">
        <v>194</v>
      </c>
    </row>
    <row r="2216" spans="1:10" x14ac:dyDescent="0.2">
      <c r="A2216">
        <v>1.1612873278311901E-9</v>
      </c>
      <c r="B2216">
        <v>0.262628929134403</v>
      </c>
      <c r="C2216">
        <v>0.152</v>
      </c>
      <c r="D2216">
        <v>0.04</v>
      </c>
      <c r="E2216">
        <v>1.6139571282197901E-5</v>
      </c>
      <c r="F2216">
        <v>3</v>
      </c>
      <c r="G2216" t="s">
        <v>4902</v>
      </c>
      <c r="H2216" t="s">
        <v>4903</v>
      </c>
      <c r="I2216" t="str">
        <f>HYPERLINK("https://zfin.org/ZDB-GENE-070112-1952")</f>
        <v>https://zfin.org/ZDB-GENE-070112-1952</v>
      </c>
      <c r="J2216" t="s">
        <v>4904</v>
      </c>
    </row>
    <row r="2217" spans="1:10" x14ac:dyDescent="0.2">
      <c r="A2217">
        <v>1.16156675631334E-9</v>
      </c>
      <c r="B2217">
        <v>0.37621458118971401</v>
      </c>
      <c r="C2217">
        <v>0.29499999999999998</v>
      </c>
      <c r="D2217">
        <v>0.113</v>
      </c>
      <c r="E2217">
        <v>1.6143454779242901E-5</v>
      </c>
      <c r="F2217">
        <v>3</v>
      </c>
      <c r="G2217" t="s">
        <v>4905</v>
      </c>
      <c r="H2217" t="s">
        <v>4906</v>
      </c>
      <c r="I2217" t="str">
        <f>HYPERLINK("https://zfin.org/ZDB-GENE-041114-195")</f>
        <v>https://zfin.org/ZDB-GENE-041114-195</v>
      </c>
      <c r="J2217" t="s">
        <v>4907</v>
      </c>
    </row>
    <row r="2218" spans="1:10" x14ac:dyDescent="0.2">
      <c r="A2218">
        <v>1.30803358055369E-9</v>
      </c>
      <c r="B2218">
        <v>0.27707063210988703</v>
      </c>
      <c r="C2218">
        <v>0.22700000000000001</v>
      </c>
      <c r="D2218">
        <v>7.5999999999999998E-2</v>
      </c>
      <c r="E2218">
        <v>1.8179050702535201E-5</v>
      </c>
      <c r="F2218">
        <v>3</v>
      </c>
      <c r="G2218" t="s">
        <v>4908</v>
      </c>
      <c r="H2218" t="s">
        <v>4909</v>
      </c>
      <c r="I2218" t="str">
        <f>HYPERLINK("https://zfin.org/ZDB-GENE-030828-12")</f>
        <v>https://zfin.org/ZDB-GENE-030828-12</v>
      </c>
      <c r="J2218" t="s">
        <v>4910</v>
      </c>
    </row>
    <row r="2219" spans="1:10" x14ac:dyDescent="0.2">
      <c r="A2219">
        <v>1.3087103411310601E-9</v>
      </c>
      <c r="B2219">
        <v>0.34897687615787198</v>
      </c>
      <c r="C2219">
        <v>0.78800000000000003</v>
      </c>
      <c r="D2219">
        <v>0.48699999999999999</v>
      </c>
      <c r="E2219">
        <v>1.8188456321039399E-5</v>
      </c>
      <c r="F2219">
        <v>3</v>
      </c>
      <c r="G2219" t="s">
        <v>2199</v>
      </c>
      <c r="H2219" t="s">
        <v>2200</v>
      </c>
      <c r="I2219" t="str">
        <f>HYPERLINK("https://zfin.org/ZDB-GENE-051030-93")</f>
        <v>https://zfin.org/ZDB-GENE-051030-93</v>
      </c>
      <c r="J2219" t="s">
        <v>2201</v>
      </c>
    </row>
    <row r="2220" spans="1:10" x14ac:dyDescent="0.2">
      <c r="A2220">
        <v>1.3541591306146201E-9</v>
      </c>
      <c r="B2220">
        <v>0.39454932449904501</v>
      </c>
      <c r="C2220">
        <v>0.311</v>
      </c>
      <c r="D2220">
        <v>0.126</v>
      </c>
      <c r="E2220">
        <v>1.8820103597282001E-5</v>
      </c>
      <c r="F2220">
        <v>3</v>
      </c>
      <c r="G2220" t="s">
        <v>4911</v>
      </c>
      <c r="H2220" t="s">
        <v>4912</v>
      </c>
      <c r="I2220" t="str">
        <f>HYPERLINK("https://zfin.org/ZDB-GENE-050522-117")</f>
        <v>https://zfin.org/ZDB-GENE-050522-117</v>
      </c>
      <c r="J2220" t="s">
        <v>4913</v>
      </c>
    </row>
    <row r="2221" spans="1:10" x14ac:dyDescent="0.2">
      <c r="A2221">
        <v>1.3596784892742E-9</v>
      </c>
      <c r="B2221">
        <v>0.42058830942053299</v>
      </c>
      <c r="C2221">
        <v>0.90200000000000002</v>
      </c>
      <c r="D2221">
        <v>0.71699999999999997</v>
      </c>
      <c r="E2221">
        <v>1.88968116439329E-5</v>
      </c>
      <c r="F2221">
        <v>3</v>
      </c>
      <c r="G2221" t="s">
        <v>3085</v>
      </c>
      <c r="H2221" t="s">
        <v>3086</v>
      </c>
      <c r="I2221" t="str">
        <f>HYPERLINK("https://zfin.org/ZDB-GENE-000329-1")</f>
        <v>https://zfin.org/ZDB-GENE-000329-1</v>
      </c>
      <c r="J2221" t="s">
        <v>3087</v>
      </c>
    </row>
    <row r="2222" spans="1:10" x14ac:dyDescent="0.2">
      <c r="A2222">
        <v>1.37593651700054E-9</v>
      </c>
      <c r="B2222">
        <v>-0.71398432314229199</v>
      </c>
      <c r="C2222">
        <v>5.2999999999999999E-2</v>
      </c>
      <c r="D2222">
        <v>0.29099999999999998</v>
      </c>
      <c r="E2222">
        <v>1.9122765713273499E-5</v>
      </c>
      <c r="F2222">
        <v>3</v>
      </c>
      <c r="G2222" t="s">
        <v>4914</v>
      </c>
      <c r="H2222" t="s">
        <v>4915</v>
      </c>
      <c r="I2222" t="str">
        <f>HYPERLINK("https://zfin.org/ZDB-GENE-040426-883")</f>
        <v>https://zfin.org/ZDB-GENE-040426-883</v>
      </c>
      <c r="J2222" t="s">
        <v>4916</v>
      </c>
    </row>
    <row r="2223" spans="1:10" x14ac:dyDescent="0.2">
      <c r="A2223">
        <v>1.3800681942171299E-9</v>
      </c>
      <c r="B2223">
        <v>0.25919397204816802</v>
      </c>
      <c r="C2223">
        <v>0.22</v>
      </c>
      <c r="D2223">
        <v>7.0999999999999994E-2</v>
      </c>
      <c r="E2223">
        <v>1.91801877632297E-5</v>
      </c>
      <c r="F2223">
        <v>3</v>
      </c>
      <c r="G2223" t="s">
        <v>4917</v>
      </c>
      <c r="H2223" t="s">
        <v>4918</v>
      </c>
      <c r="I2223" t="str">
        <f>HYPERLINK("https://zfin.org/")</f>
        <v>https://zfin.org/</v>
      </c>
    </row>
    <row r="2224" spans="1:10" x14ac:dyDescent="0.2">
      <c r="A2224">
        <v>1.52532176849741E-9</v>
      </c>
      <c r="B2224">
        <v>-0.74139023728953701</v>
      </c>
      <c r="C2224">
        <v>3.7999999999999999E-2</v>
      </c>
      <c r="D2224">
        <v>0.26900000000000002</v>
      </c>
      <c r="E2224">
        <v>2.1198921938577001E-5</v>
      </c>
      <c r="F2224">
        <v>3</v>
      </c>
      <c r="G2224" t="s">
        <v>4919</v>
      </c>
      <c r="H2224" t="s">
        <v>4920</v>
      </c>
      <c r="I2224" t="str">
        <f>HYPERLINK("https://zfin.org/ZDB-GENE-040426-2139")</f>
        <v>https://zfin.org/ZDB-GENE-040426-2139</v>
      </c>
      <c r="J2224" t="s">
        <v>4921</v>
      </c>
    </row>
    <row r="2225" spans="1:10" x14ac:dyDescent="0.2">
      <c r="A2225">
        <v>1.5520446211198299E-9</v>
      </c>
      <c r="B2225">
        <v>0.27716749209555702</v>
      </c>
      <c r="C2225">
        <v>0.13600000000000001</v>
      </c>
      <c r="D2225">
        <v>3.4000000000000002E-2</v>
      </c>
      <c r="E2225">
        <v>2.1570316144323399E-5</v>
      </c>
      <c r="F2225">
        <v>3</v>
      </c>
      <c r="G2225" t="s">
        <v>128</v>
      </c>
      <c r="H2225" t="s">
        <v>129</v>
      </c>
      <c r="I2225" t="str">
        <f>HYPERLINK("https://zfin.org/ZDB-GENE-040426-1804")</f>
        <v>https://zfin.org/ZDB-GENE-040426-1804</v>
      </c>
      <c r="J2225" t="s">
        <v>130</v>
      </c>
    </row>
    <row r="2226" spans="1:10" x14ac:dyDescent="0.2">
      <c r="A2226">
        <v>1.65874092801643E-9</v>
      </c>
      <c r="B2226">
        <v>0.28583493314234198</v>
      </c>
      <c r="C2226">
        <v>0.44700000000000001</v>
      </c>
      <c r="D2226">
        <v>0.20100000000000001</v>
      </c>
      <c r="E2226">
        <v>2.3053181417572301E-5</v>
      </c>
      <c r="F2226">
        <v>3</v>
      </c>
      <c r="G2226" t="s">
        <v>4922</v>
      </c>
      <c r="H2226" t="s">
        <v>4923</v>
      </c>
      <c r="I2226" t="str">
        <f>HYPERLINK("https://zfin.org/ZDB-GENE-990415-27")</f>
        <v>https://zfin.org/ZDB-GENE-990415-27</v>
      </c>
      <c r="J2226" t="s">
        <v>4924</v>
      </c>
    </row>
    <row r="2227" spans="1:10" x14ac:dyDescent="0.2">
      <c r="A2227">
        <v>1.77572894208948E-9</v>
      </c>
      <c r="B2227">
        <v>0.32644494003235203</v>
      </c>
      <c r="C2227">
        <v>0.28799999999999998</v>
      </c>
      <c r="D2227">
        <v>0.109</v>
      </c>
      <c r="E2227">
        <v>2.46790808371596E-5</v>
      </c>
      <c r="F2227">
        <v>3</v>
      </c>
      <c r="G2227" t="s">
        <v>4925</v>
      </c>
      <c r="H2227" t="s">
        <v>4926</v>
      </c>
      <c r="I2227" t="str">
        <f>HYPERLINK("https://zfin.org/ZDB-GENE-031031-4")</f>
        <v>https://zfin.org/ZDB-GENE-031031-4</v>
      </c>
      <c r="J2227" t="s">
        <v>4927</v>
      </c>
    </row>
    <row r="2228" spans="1:10" x14ac:dyDescent="0.2">
      <c r="A2228">
        <v>1.7896914707354401E-9</v>
      </c>
      <c r="B2228">
        <v>0.25180216856676202</v>
      </c>
      <c r="C2228">
        <v>0.24199999999999999</v>
      </c>
      <c r="D2228">
        <v>8.3000000000000004E-2</v>
      </c>
      <c r="E2228">
        <v>2.4873132060281199E-5</v>
      </c>
      <c r="F2228">
        <v>3</v>
      </c>
      <c r="G2228" t="s">
        <v>4928</v>
      </c>
      <c r="H2228" t="s">
        <v>4929</v>
      </c>
      <c r="I2228" t="str">
        <f>HYPERLINK("https://zfin.org/ZDB-GENE-070209-152")</f>
        <v>https://zfin.org/ZDB-GENE-070209-152</v>
      </c>
      <c r="J2228" t="s">
        <v>4930</v>
      </c>
    </row>
    <row r="2229" spans="1:10" x14ac:dyDescent="0.2">
      <c r="A2229">
        <v>1.86712448475163E-9</v>
      </c>
      <c r="B2229">
        <v>0.29536218681580201</v>
      </c>
      <c r="C2229">
        <v>0.13600000000000001</v>
      </c>
      <c r="D2229">
        <v>3.5000000000000003E-2</v>
      </c>
      <c r="E2229">
        <v>2.5949296089078201E-5</v>
      </c>
      <c r="F2229">
        <v>3</v>
      </c>
      <c r="G2229" t="s">
        <v>221</v>
      </c>
      <c r="H2229" t="s">
        <v>222</v>
      </c>
      <c r="I2229" t="str">
        <f>HYPERLINK("https://zfin.org/ZDB-GENE-081031-7")</f>
        <v>https://zfin.org/ZDB-GENE-081031-7</v>
      </c>
      <c r="J2229" t="s">
        <v>223</v>
      </c>
    </row>
    <row r="2230" spans="1:10" x14ac:dyDescent="0.2">
      <c r="A2230">
        <v>2.0447019513333002E-9</v>
      </c>
      <c r="B2230">
        <v>0.30665801133088699</v>
      </c>
      <c r="C2230">
        <v>0.97699999999999998</v>
      </c>
      <c r="D2230">
        <v>0.85099999999999998</v>
      </c>
      <c r="E2230">
        <v>2.8417267719630301E-5</v>
      </c>
      <c r="F2230">
        <v>3</v>
      </c>
      <c r="G2230" t="s">
        <v>2376</v>
      </c>
      <c r="H2230" t="s">
        <v>2377</v>
      </c>
      <c r="I2230" t="str">
        <f>HYPERLINK("https://zfin.org/ZDB-GENE-040426-1706")</f>
        <v>https://zfin.org/ZDB-GENE-040426-1706</v>
      </c>
      <c r="J2230" t="s">
        <v>2378</v>
      </c>
    </row>
    <row r="2231" spans="1:10" x14ac:dyDescent="0.2">
      <c r="A2231">
        <v>2.0970323108775901E-9</v>
      </c>
      <c r="B2231">
        <v>0.437218128610604</v>
      </c>
      <c r="C2231">
        <v>0.47699999999999998</v>
      </c>
      <c r="D2231">
        <v>0.23699999999999999</v>
      </c>
      <c r="E2231">
        <v>2.9144555056576701E-5</v>
      </c>
      <c r="F2231">
        <v>3</v>
      </c>
      <c r="G2231" t="s">
        <v>4931</v>
      </c>
      <c r="H2231" t="s">
        <v>4932</v>
      </c>
      <c r="I2231" t="str">
        <f>HYPERLINK("https://zfin.org/ZDB-GENE-050522-542")</f>
        <v>https://zfin.org/ZDB-GENE-050522-542</v>
      </c>
      <c r="J2231" t="s">
        <v>4933</v>
      </c>
    </row>
    <row r="2232" spans="1:10" x14ac:dyDescent="0.2">
      <c r="A2232">
        <v>2.2382097052147701E-9</v>
      </c>
      <c r="B2232">
        <v>0.32856417826877099</v>
      </c>
      <c r="C2232">
        <v>0.33300000000000002</v>
      </c>
      <c r="D2232">
        <v>0.13900000000000001</v>
      </c>
      <c r="E2232">
        <v>3.1106638483074899E-5</v>
      </c>
      <c r="F2232">
        <v>3</v>
      </c>
      <c r="G2232" t="s">
        <v>4934</v>
      </c>
      <c r="H2232" t="s">
        <v>4935</v>
      </c>
      <c r="I2232" t="str">
        <f>HYPERLINK("https://zfin.org/ZDB-GENE-030131-1820")</f>
        <v>https://zfin.org/ZDB-GENE-030131-1820</v>
      </c>
      <c r="J2232" t="s">
        <v>4936</v>
      </c>
    </row>
    <row r="2233" spans="1:10" x14ac:dyDescent="0.2">
      <c r="A2233">
        <v>2.3850909591304601E-9</v>
      </c>
      <c r="B2233">
        <v>0.27490176581254</v>
      </c>
      <c r="C2233">
        <v>0.51500000000000001</v>
      </c>
      <c r="D2233">
        <v>0.23899999999999999</v>
      </c>
      <c r="E2233">
        <v>3.31479941499951E-5</v>
      </c>
      <c r="F2233">
        <v>3</v>
      </c>
      <c r="G2233" t="s">
        <v>4937</v>
      </c>
      <c r="H2233" t="s">
        <v>4938</v>
      </c>
      <c r="I2233" t="str">
        <f>HYPERLINK("https://zfin.org/ZDB-GENE-000330-7")</f>
        <v>https://zfin.org/ZDB-GENE-000330-7</v>
      </c>
      <c r="J2233" t="s">
        <v>4939</v>
      </c>
    </row>
    <row r="2234" spans="1:10" x14ac:dyDescent="0.2">
      <c r="A2234">
        <v>2.5214852743937898E-9</v>
      </c>
      <c r="B2234">
        <v>0.29580892991088198</v>
      </c>
      <c r="C2234">
        <v>0.36399999999999999</v>
      </c>
      <c r="D2234">
        <v>0.156</v>
      </c>
      <c r="E2234">
        <v>3.50436023435248E-5</v>
      </c>
      <c r="F2234">
        <v>3</v>
      </c>
      <c r="G2234" t="s">
        <v>4940</v>
      </c>
      <c r="H2234" t="s">
        <v>4941</v>
      </c>
      <c r="I2234" t="str">
        <f>HYPERLINK("https://zfin.org/ZDB-GENE-030131-514")</f>
        <v>https://zfin.org/ZDB-GENE-030131-514</v>
      </c>
      <c r="J2234" t="s">
        <v>4942</v>
      </c>
    </row>
    <row r="2235" spans="1:10" x14ac:dyDescent="0.2">
      <c r="A2235">
        <v>2.6678045250759402E-9</v>
      </c>
      <c r="B2235">
        <v>0.25327403570803603</v>
      </c>
      <c r="C2235">
        <v>0.33300000000000002</v>
      </c>
      <c r="D2235">
        <v>0.13500000000000001</v>
      </c>
      <c r="E2235">
        <v>3.7077147289505399E-5</v>
      </c>
      <c r="F2235">
        <v>3</v>
      </c>
      <c r="G2235" t="s">
        <v>1824</v>
      </c>
      <c r="H2235" t="s">
        <v>1825</v>
      </c>
      <c r="I2235" t="str">
        <f>HYPERLINK("https://zfin.org/ZDB-GENE-040718-294")</f>
        <v>https://zfin.org/ZDB-GENE-040718-294</v>
      </c>
      <c r="J2235" t="s">
        <v>1826</v>
      </c>
    </row>
    <row r="2236" spans="1:10" x14ac:dyDescent="0.2">
      <c r="A2236">
        <v>2.74618231343373E-9</v>
      </c>
      <c r="B2236">
        <v>0.37280596672705502</v>
      </c>
      <c r="C2236">
        <v>0.53800000000000003</v>
      </c>
      <c r="D2236">
        <v>0.28199999999999997</v>
      </c>
      <c r="E2236">
        <v>3.8166441792102E-5</v>
      </c>
      <c r="F2236">
        <v>3</v>
      </c>
      <c r="G2236" t="s">
        <v>4943</v>
      </c>
      <c r="H2236" t="s">
        <v>4944</v>
      </c>
      <c r="I2236" t="str">
        <f>HYPERLINK("https://zfin.org/ZDB-GENE-030131-605")</f>
        <v>https://zfin.org/ZDB-GENE-030131-605</v>
      </c>
      <c r="J2236" t="s">
        <v>4945</v>
      </c>
    </row>
    <row r="2237" spans="1:10" x14ac:dyDescent="0.2">
      <c r="A2237">
        <v>2.8254983479986701E-9</v>
      </c>
      <c r="B2237">
        <v>-0.86737199630494599</v>
      </c>
      <c r="C2237">
        <v>0.24199999999999999</v>
      </c>
      <c r="D2237">
        <v>0.45100000000000001</v>
      </c>
      <c r="E2237">
        <v>3.9268776040485498E-5</v>
      </c>
      <c r="F2237">
        <v>3</v>
      </c>
      <c r="G2237" t="s">
        <v>2496</v>
      </c>
      <c r="H2237" t="s">
        <v>2497</v>
      </c>
      <c r="I2237" t="str">
        <f>HYPERLINK("https://zfin.org/ZDB-GENE-031002-1")</f>
        <v>https://zfin.org/ZDB-GENE-031002-1</v>
      </c>
      <c r="J2237" t="s">
        <v>2498</v>
      </c>
    </row>
    <row r="2238" spans="1:10" x14ac:dyDescent="0.2">
      <c r="A2238">
        <v>2.87738082715814E-9</v>
      </c>
      <c r="B2238">
        <v>0.28648620577434297</v>
      </c>
      <c r="C2238">
        <v>0.32600000000000001</v>
      </c>
      <c r="D2238">
        <v>0.13300000000000001</v>
      </c>
      <c r="E2238">
        <v>3.9989838735843798E-5</v>
      </c>
      <c r="F2238">
        <v>3</v>
      </c>
      <c r="G2238" t="s">
        <v>4946</v>
      </c>
      <c r="H2238" t="s">
        <v>4947</v>
      </c>
      <c r="I2238" t="str">
        <f>HYPERLINK("https://zfin.org/ZDB-GENE-040808-29")</f>
        <v>https://zfin.org/ZDB-GENE-040808-29</v>
      </c>
      <c r="J2238" t="s">
        <v>4948</v>
      </c>
    </row>
    <row r="2239" spans="1:10" x14ac:dyDescent="0.2">
      <c r="A2239">
        <v>2.9134737833447E-9</v>
      </c>
      <c r="B2239">
        <v>0.301091090883845</v>
      </c>
      <c r="C2239">
        <v>0.47699999999999998</v>
      </c>
      <c r="D2239">
        <v>0.22800000000000001</v>
      </c>
      <c r="E2239">
        <v>4.0491458640924598E-5</v>
      </c>
      <c r="F2239">
        <v>3</v>
      </c>
      <c r="G2239" t="s">
        <v>1581</v>
      </c>
      <c r="H2239" t="s">
        <v>1582</v>
      </c>
      <c r="I2239" t="str">
        <f>HYPERLINK("https://zfin.org/ZDB-GENE-030131-7691")</f>
        <v>https://zfin.org/ZDB-GENE-030131-7691</v>
      </c>
      <c r="J2239" t="s">
        <v>1583</v>
      </c>
    </row>
    <row r="2240" spans="1:10" x14ac:dyDescent="0.2">
      <c r="A2240">
        <v>3.1402911517647601E-9</v>
      </c>
      <c r="B2240">
        <v>-0.71471337534840496</v>
      </c>
      <c r="C2240">
        <v>0.19700000000000001</v>
      </c>
      <c r="D2240">
        <v>0.43099999999999999</v>
      </c>
      <c r="E2240">
        <v>4.3643766427226597E-5</v>
      </c>
      <c r="F2240">
        <v>3</v>
      </c>
      <c r="G2240" t="s">
        <v>4949</v>
      </c>
      <c r="H2240" t="s">
        <v>4950</v>
      </c>
      <c r="I2240" t="str">
        <f>HYPERLINK("https://zfin.org/ZDB-GENE-050309-14")</f>
        <v>https://zfin.org/ZDB-GENE-050309-14</v>
      </c>
      <c r="J2240" t="s">
        <v>4951</v>
      </c>
    </row>
    <row r="2241" spans="1:10" x14ac:dyDescent="0.2">
      <c r="A2241">
        <v>3.6545546852920601E-9</v>
      </c>
      <c r="B2241">
        <v>-0.96788210202086</v>
      </c>
      <c r="C2241">
        <v>0.20499999999999999</v>
      </c>
      <c r="D2241">
        <v>0.41599999999999998</v>
      </c>
      <c r="E2241">
        <v>5.0791001016189E-5</v>
      </c>
      <c r="F2241">
        <v>3</v>
      </c>
      <c r="G2241" t="s">
        <v>2556</v>
      </c>
      <c r="H2241" t="s">
        <v>2557</v>
      </c>
      <c r="I2241" t="str">
        <f>HYPERLINK("https://zfin.org/ZDB-GENE-980526-144")</f>
        <v>https://zfin.org/ZDB-GENE-980526-144</v>
      </c>
      <c r="J2241" t="s">
        <v>2558</v>
      </c>
    </row>
    <row r="2242" spans="1:10" x14ac:dyDescent="0.2">
      <c r="A2242">
        <v>3.6631987940295501E-9</v>
      </c>
      <c r="B2242">
        <v>-0.72575617743175402</v>
      </c>
      <c r="C2242">
        <v>0.159</v>
      </c>
      <c r="D2242">
        <v>0.39100000000000001</v>
      </c>
      <c r="E2242">
        <v>5.0911136839422701E-5</v>
      </c>
      <c r="F2242">
        <v>3</v>
      </c>
      <c r="G2242" t="s">
        <v>4952</v>
      </c>
      <c r="H2242" t="s">
        <v>4953</v>
      </c>
      <c r="I2242" t="str">
        <f>HYPERLINK("https://zfin.org/ZDB-GENE-030131-3431")</f>
        <v>https://zfin.org/ZDB-GENE-030131-3431</v>
      </c>
      <c r="J2242" t="s">
        <v>4954</v>
      </c>
    </row>
    <row r="2243" spans="1:10" x14ac:dyDescent="0.2">
      <c r="A2243">
        <v>3.84057935259195E-9</v>
      </c>
      <c r="B2243">
        <v>-0.75744711708828105</v>
      </c>
      <c r="C2243">
        <v>0.29499999999999998</v>
      </c>
      <c r="D2243">
        <v>0.50800000000000001</v>
      </c>
      <c r="E2243">
        <v>5.3376371842322902E-5</v>
      </c>
      <c r="F2243">
        <v>3</v>
      </c>
      <c r="G2243" t="s">
        <v>4955</v>
      </c>
      <c r="H2243" t="s">
        <v>4956</v>
      </c>
      <c r="I2243" t="str">
        <f>HYPERLINK("https://zfin.org/ZDB-GENE-030826-15")</f>
        <v>https://zfin.org/ZDB-GENE-030826-15</v>
      </c>
      <c r="J2243" t="s">
        <v>4957</v>
      </c>
    </row>
    <row r="2244" spans="1:10" x14ac:dyDescent="0.2">
      <c r="A2244">
        <v>3.85975977395285E-9</v>
      </c>
      <c r="B2244">
        <v>0.29260680133564798</v>
      </c>
      <c r="C2244">
        <v>0.28000000000000003</v>
      </c>
      <c r="D2244">
        <v>0.107</v>
      </c>
      <c r="E2244">
        <v>5.3642941338396703E-5</v>
      </c>
      <c r="F2244">
        <v>3</v>
      </c>
      <c r="G2244" t="s">
        <v>4958</v>
      </c>
      <c r="H2244" t="s">
        <v>4959</v>
      </c>
      <c r="I2244" t="str">
        <f>HYPERLINK("https://zfin.org/ZDB-GENE-030131-274")</f>
        <v>https://zfin.org/ZDB-GENE-030131-274</v>
      </c>
      <c r="J2244" t="s">
        <v>4960</v>
      </c>
    </row>
    <row r="2245" spans="1:10" x14ac:dyDescent="0.2">
      <c r="A2245">
        <v>4.0692874649905498E-9</v>
      </c>
      <c r="B2245">
        <v>0.304814781185544</v>
      </c>
      <c r="C2245">
        <v>0.59799999999999998</v>
      </c>
      <c r="D2245">
        <v>0.313</v>
      </c>
      <c r="E2245">
        <v>5.65549571884387E-5</v>
      </c>
      <c r="F2245">
        <v>3</v>
      </c>
      <c r="G2245" t="s">
        <v>4961</v>
      </c>
      <c r="H2245" t="s">
        <v>4962</v>
      </c>
      <c r="I2245" t="str">
        <f>HYPERLINK("https://zfin.org/ZDB-GENE-030131-5553")</f>
        <v>https://zfin.org/ZDB-GENE-030131-5553</v>
      </c>
      <c r="J2245" t="s">
        <v>4963</v>
      </c>
    </row>
    <row r="2246" spans="1:10" x14ac:dyDescent="0.2">
      <c r="A2246">
        <v>4.0903341060999702E-9</v>
      </c>
      <c r="B2246">
        <v>-0.76893804981406899</v>
      </c>
      <c r="C2246">
        <v>7.5999999999999998E-2</v>
      </c>
      <c r="D2246">
        <v>0.307</v>
      </c>
      <c r="E2246">
        <v>5.6847463406577298E-5</v>
      </c>
      <c r="F2246">
        <v>3</v>
      </c>
      <c r="G2246" t="s">
        <v>4964</v>
      </c>
      <c r="H2246" t="s">
        <v>4965</v>
      </c>
      <c r="I2246" t="str">
        <f>HYPERLINK("https://zfin.org/ZDB-GENE-130821-1")</f>
        <v>https://zfin.org/ZDB-GENE-130821-1</v>
      </c>
      <c r="J2246" t="s">
        <v>4966</v>
      </c>
    </row>
    <row r="2247" spans="1:10" x14ac:dyDescent="0.2">
      <c r="A2247">
        <v>4.0962188733482599E-9</v>
      </c>
      <c r="B2247">
        <v>0.35799020319298402</v>
      </c>
      <c r="C2247">
        <v>0.75800000000000001</v>
      </c>
      <c r="D2247">
        <v>0.498</v>
      </c>
      <c r="E2247">
        <v>5.6929249901794201E-5</v>
      </c>
      <c r="F2247">
        <v>3</v>
      </c>
      <c r="G2247" t="s">
        <v>2421</v>
      </c>
      <c r="H2247" t="s">
        <v>2422</v>
      </c>
      <c r="I2247" t="str">
        <f>HYPERLINK("https://zfin.org/ZDB-GENE-040426-857")</f>
        <v>https://zfin.org/ZDB-GENE-040426-857</v>
      </c>
      <c r="J2247" t="s">
        <v>2423</v>
      </c>
    </row>
    <row r="2248" spans="1:10" x14ac:dyDescent="0.2">
      <c r="A2248">
        <v>4.1814435012138001E-9</v>
      </c>
      <c r="B2248">
        <v>0.26356985993564203</v>
      </c>
      <c r="C2248">
        <v>0.35599999999999998</v>
      </c>
      <c r="D2248">
        <v>0.14899999999999999</v>
      </c>
      <c r="E2248">
        <v>5.8113701779869403E-5</v>
      </c>
      <c r="F2248">
        <v>3</v>
      </c>
      <c r="G2248" t="s">
        <v>4967</v>
      </c>
      <c r="H2248" t="s">
        <v>4968</v>
      </c>
      <c r="I2248" t="str">
        <f>HYPERLINK("https://zfin.org/ZDB-GENE-040908-1")</f>
        <v>https://zfin.org/ZDB-GENE-040908-1</v>
      </c>
      <c r="J2248" t="s">
        <v>4969</v>
      </c>
    </row>
    <row r="2249" spans="1:10" x14ac:dyDescent="0.2">
      <c r="A2249">
        <v>4.20174986561177E-9</v>
      </c>
      <c r="B2249">
        <v>-0.64474734624458896</v>
      </c>
      <c r="C2249">
        <v>0.51500000000000001</v>
      </c>
      <c r="D2249">
        <v>0.63200000000000001</v>
      </c>
      <c r="E2249">
        <v>5.8395919632272297E-5</v>
      </c>
      <c r="F2249">
        <v>3</v>
      </c>
      <c r="G2249" t="s">
        <v>2141</v>
      </c>
      <c r="H2249" t="s">
        <v>2142</v>
      </c>
      <c r="I2249" t="str">
        <f>HYPERLINK("https://zfin.org/ZDB-GENE-040718-260")</f>
        <v>https://zfin.org/ZDB-GENE-040718-260</v>
      </c>
      <c r="J2249" t="s">
        <v>2143</v>
      </c>
    </row>
    <row r="2250" spans="1:10" x14ac:dyDescent="0.2">
      <c r="A2250">
        <v>4.2157702778760502E-9</v>
      </c>
      <c r="B2250">
        <v>0.34057025238925598</v>
      </c>
      <c r="C2250">
        <v>0.17399999999999999</v>
      </c>
      <c r="D2250">
        <v>5.0999999999999997E-2</v>
      </c>
      <c r="E2250">
        <v>5.8590775321921302E-5</v>
      </c>
      <c r="F2250">
        <v>3</v>
      </c>
      <c r="G2250" t="s">
        <v>4970</v>
      </c>
      <c r="H2250" t="s">
        <v>4971</v>
      </c>
      <c r="I2250" t="str">
        <f>HYPERLINK("https://zfin.org/ZDB-GENE-061103-64")</f>
        <v>https://zfin.org/ZDB-GENE-061103-64</v>
      </c>
      <c r="J2250" t="s">
        <v>4972</v>
      </c>
    </row>
    <row r="2251" spans="1:10" x14ac:dyDescent="0.2">
      <c r="A2251">
        <v>4.2699344771543197E-9</v>
      </c>
      <c r="B2251">
        <v>0.35874865379413601</v>
      </c>
      <c r="C2251">
        <v>0.66700000000000004</v>
      </c>
      <c r="D2251">
        <v>0.40300000000000002</v>
      </c>
      <c r="E2251">
        <v>5.9343549363490799E-5</v>
      </c>
      <c r="F2251">
        <v>3</v>
      </c>
      <c r="G2251" t="s">
        <v>2027</v>
      </c>
      <c r="H2251" t="s">
        <v>2028</v>
      </c>
      <c r="I2251" t="str">
        <f>HYPERLINK("https://zfin.org/ZDB-GENE-040718-138")</f>
        <v>https://zfin.org/ZDB-GENE-040718-138</v>
      </c>
      <c r="J2251" t="s">
        <v>2029</v>
      </c>
    </row>
    <row r="2252" spans="1:10" x14ac:dyDescent="0.2">
      <c r="A2252">
        <v>4.3776841980074698E-9</v>
      </c>
      <c r="B2252">
        <v>0.30695735691721798</v>
      </c>
      <c r="C2252">
        <v>0.34799999999999998</v>
      </c>
      <c r="D2252">
        <v>0.14899999999999999</v>
      </c>
      <c r="E2252">
        <v>6.0841054983907803E-5</v>
      </c>
      <c r="F2252">
        <v>3</v>
      </c>
      <c r="G2252" t="s">
        <v>4973</v>
      </c>
      <c r="H2252" t="s">
        <v>4974</v>
      </c>
      <c r="I2252" t="str">
        <f>HYPERLINK("https://zfin.org/ZDB-GENE-041210-115")</f>
        <v>https://zfin.org/ZDB-GENE-041210-115</v>
      </c>
      <c r="J2252" t="s">
        <v>4975</v>
      </c>
    </row>
    <row r="2253" spans="1:10" x14ac:dyDescent="0.2">
      <c r="A2253">
        <v>4.3846866436267697E-9</v>
      </c>
      <c r="B2253">
        <v>0.33382765395434899</v>
      </c>
      <c r="C2253">
        <v>0.30299999999999999</v>
      </c>
      <c r="D2253">
        <v>0.12</v>
      </c>
      <c r="E2253">
        <v>6.0938374973124801E-5</v>
      </c>
      <c r="F2253">
        <v>3</v>
      </c>
      <c r="G2253" t="s">
        <v>4976</v>
      </c>
      <c r="H2253" t="s">
        <v>4977</v>
      </c>
      <c r="I2253" t="str">
        <f>HYPERLINK("https://zfin.org/ZDB-GENE-030131-5425")</f>
        <v>https://zfin.org/ZDB-GENE-030131-5425</v>
      </c>
      <c r="J2253" t="s">
        <v>4978</v>
      </c>
    </row>
    <row r="2254" spans="1:10" x14ac:dyDescent="0.2">
      <c r="A2254">
        <v>4.4145478119308304E-9</v>
      </c>
      <c r="B2254">
        <v>0.34143957208289399</v>
      </c>
      <c r="C2254">
        <v>0.46200000000000002</v>
      </c>
      <c r="D2254">
        <v>0.22500000000000001</v>
      </c>
      <c r="E2254">
        <v>6.1353385490214694E-5</v>
      </c>
      <c r="F2254">
        <v>3</v>
      </c>
      <c r="G2254" t="s">
        <v>4979</v>
      </c>
      <c r="H2254" t="s">
        <v>4980</v>
      </c>
      <c r="I2254" t="str">
        <f>HYPERLINK("https://zfin.org/ZDB-GENE-030131-8049")</f>
        <v>https://zfin.org/ZDB-GENE-030131-8049</v>
      </c>
      <c r="J2254" t="s">
        <v>4981</v>
      </c>
    </row>
    <row r="2255" spans="1:10" x14ac:dyDescent="0.2">
      <c r="A2255">
        <v>4.4504025944678602E-9</v>
      </c>
      <c r="B2255">
        <v>0.25393091001455598</v>
      </c>
      <c r="C2255">
        <v>0.17399999999999999</v>
      </c>
      <c r="D2255">
        <v>5.1999999999999998E-2</v>
      </c>
      <c r="E2255">
        <v>6.1851695257914298E-5</v>
      </c>
      <c r="F2255">
        <v>3</v>
      </c>
      <c r="G2255" t="s">
        <v>4982</v>
      </c>
      <c r="H2255" t="s">
        <v>4983</v>
      </c>
      <c r="I2255" t="str">
        <f>HYPERLINK("https://zfin.org/ZDB-GENE-030131-6228")</f>
        <v>https://zfin.org/ZDB-GENE-030131-6228</v>
      </c>
      <c r="J2255" t="s">
        <v>4984</v>
      </c>
    </row>
    <row r="2256" spans="1:10" x14ac:dyDescent="0.2">
      <c r="A2256">
        <v>4.4821672084661303E-9</v>
      </c>
      <c r="B2256">
        <v>0.433164406715773</v>
      </c>
      <c r="C2256">
        <v>0.439</v>
      </c>
      <c r="D2256">
        <v>0.217</v>
      </c>
      <c r="E2256">
        <v>6.2293159863262298E-5</v>
      </c>
      <c r="F2256">
        <v>3</v>
      </c>
      <c r="G2256" t="s">
        <v>3324</v>
      </c>
      <c r="H2256" t="s">
        <v>3325</v>
      </c>
      <c r="I2256" t="str">
        <f>HYPERLINK("https://zfin.org/ZDB-GENE-030729-30")</f>
        <v>https://zfin.org/ZDB-GENE-030729-30</v>
      </c>
      <c r="J2256" t="s">
        <v>3326</v>
      </c>
    </row>
    <row r="2257" spans="1:10" x14ac:dyDescent="0.2">
      <c r="A2257">
        <v>4.53661934582243E-9</v>
      </c>
      <c r="B2257">
        <v>0.36259846908669902</v>
      </c>
      <c r="C2257">
        <v>0.68200000000000005</v>
      </c>
      <c r="D2257">
        <v>0.41799999999999998</v>
      </c>
      <c r="E2257">
        <v>6.3049935668240098E-5</v>
      </c>
      <c r="F2257">
        <v>3</v>
      </c>
      <c r="G2257" t="s">
        <v>4985</v>
      </c>
      <c r="H2257" t="s">
        <v>4986</v>
      </c>
      <c r="I2257" t="str">
        <f>HYPERLINK("https://zfin.org/ZDB-GENE-030131-779")</f>
        <v>https://zfin.org/ZDB-GENE-030131-779</v>
      </c>
      <c r="J2257" t="s">
        <v>4987</v>
      </c>
    </row>
    <row r="2258" spans="1:10" x14ac:dyDescent="0.2">
      <c r="A2258">
        <v>4.6557868601389798E-9</v>
      </c>
      <c r="B2258">
        <v>0.25658586600130101</v>
      </c>
      <c r="C2258">
        <v>0.22</v>
      </c>
      <c r="D2258">
        <v>7.3999999999999996E-2</v>
      </c>
      <c r="E2258">
        <v>6.4706125782211497E-5</v>
      </c>
      <c r="F2258">
        <v>3</v>
      </c>
      <c r="G2258" t="s">
        <v>3354</v>
      </c>
      <c r="H2258" t="s">
        <v>3355</v>
      </c>
      <c r="I2258" t="str">
        <f>HYPERLINK("https://zfin.org/ZDB-GENE-040426-1683")</f>
        <v>https://zfin.org/ZDB-GENE-040426-1683</v>
      </c>
      <c r="J2258" t="s">
        <v>3356</v>
      </c>
    </row>
    <row r="2259" spans="1:10" x14ac:dyDescent="0.2">
      <c r="A2259">
        <v>4.8217994822136397E-9</v>
      </c>
      <c r="B2259">
        <v>0.36409050269786802</v>
      </c>
      <c r="C2259">
        <v>0.91700000000000004</v>
      </c>
      <c r="D2259">
        <v>0.66100000000000003</v>
      </c>
      <c r="E2259">
        <v>6.70133692038052E-5</v>
      </c>
      <c r="F2259">
        <v>3</v>
      </c>
      <c r="G2259" t="s">
        <v>2081</v>
      </c>
      <c r="H2259" t="s">
        <v>2082</v>
      </c>
      <c r="I2259" t="str">
        <f>HYPERLINK("https://zfin.org/ZDB-GENE-030131-5177")</f>
        <v>https://zfin.org/ZDB-GENE-030131-5177</v>
      </c>
      <c r="J2259" t="s">
        <v>2083</v>
      </c>
    </row>
    <row r="2260" spans="1:10" x14ac:dyDescent="0.2">
      <c r="A2260">
        <v>5.0789927532084397E-9</v>
      </c>
      <c r="B2260">
        <v>-1.07948828168561</v>
      </c>
      <c r="C2260">
        <v>6.0999999999999999E-2</v>
      </c>
      <c r="D2260">
        <v>0.28799999999999998</v>
      </c>
      <c r="E2260">
        <v>7.0587841284090901E-5</v>
      </c>
      <c r="F2260">
        <v>3</v>
      </c>
      <c r="G2260" t="s">
        <v>2864</v>
      </c>
      <c r="H2260" t="s">
        <v>2865</v>
      </c>
      <c r="I2260" t="str">
        <f>HYPERLINK("https://zfin.org/ZDB-GENE-110411-139")</f>
        <v>https://zfin.org/ZDB-GENE-110411-139</v>
      </c>
      <c r="J2260" t="s">
        <v>2866</v>
      </c>
    </row>
    <row r="2261" spans="1:10" x14ac:dyDescent="0.2">
      <c r="A2261">
        <v>5.1440839773802903E-9</v>
      </c>
      <c r="B2261">
        <v>0.31950643886580699</v>
      </c>
      <c r="C2261">
        <v>0.46200000000000002</v>
      </c>
      <c r="D2261">
        <v>0.221</v>
      </c>
      <c r="E2261">
        <v>7.1492479117631297E-5</v>
      </c>
      <c r="F2261">
        <v>3</v>
      </c>
      <c r="G2261" t="s">
        <v>4988</v>
      </c>
      <c r="H2261" t="s">
        <v>4989</v>
      </c>
      <c r="I2261" t="str">
        <f>HYPERLINK("https://zfin.org/ZDB-GENE-050417-52")</f>
        <v>https://zfin.org/ZDB-GENE-050417-52</v>
      </c>
      <c r="J2261" t="s">
        <v>4990</v>
      </c>
    </row>
    <row r="2262" spans="1:10" x14ac:dyDescent="0.2">
      <c r="A2262">
        <v>5.4869242761158096E-9</v>
      </c>
      <c r="B2262">
        <v>0.27824615882900899</v>
      </c>
      <c r="C2262">
        <v>0.28799999999999998</v>
      </c>
      <c r="D2262">
        <v>0.112</v>
      </c>
      <c r="E2262">
        <v>7.6257273589457498E-5</v>
      </c>
      <c r="F2262">
        <v>3</v>
      </c>
      <c r="G2262" t="s">
        <v>693</v>
      </c>
      <c r="H2262" t="s">
        <v>694</v>
      </c>
      <c r="I2262" t="str">
        <f>HYPERLINK("https://zfin.org/ZDB-GENE-040801-178")</f>
        <v>https://zfin.org/ZDB-GENE-040801-178</v>
      </c>
      <c r="J2262" t="s">
        <v>695</v>
      </c>
    </row>
    <row r="2263" spans="1:10" x14ac:dyDescent="0.2">
      <c r="A2263">
        <v>5.5855991019479698E-9</v>
      </c>
      <c r="B2263">
        <v>0.316871858618818</v>
      </c>
      <c r="C2263">
        <v>0.25</v>
      </c>
      <c r="D2263">
        <v>9.1999999999999998E-2</v>
      </c>
      <c r="E2263">
        <v>7.7628656318872902E-5</v>
      </c>
      <c r="F2263">
        <v>3</v>
      </c>
      <c r="G2263" t="s">
        <v>4991</v>
      </c>
      <c r="H2263" t="s">
        <v>4992</v>
      </c>
      <c r="I2263" t="str">
        <f>HYPERLINK("https://zfin.org/ZDB-GENE-990630-13")</f>
        <v>https://zfin.org/ZDB-GENE-990630-13</v>
      </c>
      <c r="J2263" t="s">
        <v>4993</v>
      </c>
    </row>
    <row r="2264" spans="1:10" x14ac:dyDescent="0.2">
      <c r="A2264">
        <v>5.7271689197496202E-9</v>
      </c>
      <c r="B2264">
        <v>-0.66507709523400804</v>
      </c>
      <c r="C2264">
        <v>0.49199999999999999</v>
      </c>
      <c r="D2264">
        <v>0.61</v>
      </c>
      <c r="E2264">
        <v>7.9596193646680303E-5</v>
      </c>
      <c r="F2264">
        <v>3</v>
      </c>
      <c r="G2264" t="s">
        <v>2586</v>
      </c>
      <c r="H2264" t="s">
        <v>2587</v>
      </c>
      <c r="I2264" t="str">
        <f>HYPERLINK("https://zfin.org/ZDB-GENE-031002-33")</f>
        <v>https://zfin.org/ZDB-GENE-031002-33</v>
      </c>
      <c r="J2264" t="s">
        <v>2588</v>
      </c>
    </row>
    <row r="2265" spans="1:10" x14ac:dyDescent="0.2">
      <c r="A2265">
        <v>5.7587620009222599E-9</v>
      </c>
      <c r="B2265">
        <v>0.25814162721461298</v>
      </c>
      <c r="C2265">
        <v>0.39400000000000002</v>
      </c>
      <c r="D2265">
        <v>0.17100000000000001</v>
      </c>
      <c r="E2265">
        <v>8.0035274288817599E-5</v>
      </c>
      <c r="F2265">
        <v>3</v>
      </c>
      <c r="G2265" t="s">
        <v>4994</v>
      </c>
      <c r="H2265" t="s">
        <v>4995</v>
      </c>
      <c r="I2265" t="str">
        <f>HYPERLINK("https://zfin.org/ZDB-GENE-131121-530")</f>
        <v>https://zfin.org/ZDB-GENE-131121-530</v>
      </c>
      <c r="J2265" t="s">
        <v>4996</v>
      </c>
    </row>
    <row r="2266" spans="1:10" x14ac:dyDescent="0.2">
      <c r="A2266">
        <v>5.7727248185063999E-9</v>
      </c>
      <c r="B2266">
        <v>-0.70418677929068096</v>
      </c>
      <c r="C2266">
        <v>5.2999999999999999E-2</v>
      </c>
      <c r="D2266">
        <v>0.27600000000000002</v>
      </c>
      <c r="E2266">
        <v>8.0229329527602004E-5</v>
      </c>
      <c r="F2266">
        <v>3</v>
      </c>
      <c r="G2266" t="s">
        <v>4997</v>
      </c>
      <c r="H2266" t="s">
        <v>4998</v>
      </c>
      <c r="I2266" t="str">
        <f>HYPERLINK("https://zfin.org/ZDB-GENE-040724-125")</f>
        <v>https://zfin.org/ZDB-GENE-040724-125</v>
      </c>
      <c r="J2266" t="s">
        <v>4999</v>
      </c>
    </row>
    <row r="2267" spans="1:10" x14ac:dyDescent="0.2">
      <c r="A2267">
        <v>5.7930189029116298E-9</v>
      </c>
      <c r="B2267">
        <v>-0.85897845051116795</v>
      </c>
      <c r="C2267">
        <v>0.106</v>
      </c>
      <c r="D2267">
        <v>0.32500000000000001</v>
      </c>
      <c r="E2267">
        <v>8.0511376712665797E-5</v>
      </c>
      <c r="F2267">
        <v>3</v>
      </c>
      <c r="G2267" t="s">
        <v>5000</v>
      </c>
      <c r="H2267" t="s">
        <v>5001</v>
      </c>
      <c r="I2267" t="str">
        <f>HYPERLINK("https://zfin.org/ZDB-GENE-040912-55")</f>
        <v>https://zfin.org/ZDB-GENE-040912-55</v>
      </c>
      <c r="J2267" t="s">
        <v>5002</v>
      </c>
    </row>
    <row r="2268" spans="1:10" x14ac:dyDescent="0.2">
      <c r="A2268">
        <v>5.8251015244072198E-9</v>
      </c>
      <c r="B2268">
        <v>0.33462751488037301</v>
      </c>
      <c r="C2268">
        <v>0.871</v>
      </c>
      <c r="D2268">
        <v>0.60199999999999998</v>
      </c>
      <c r="E2268">
        <v>8.0957260986211596E-5</v>
      </c>
      <c r="F2268">
        <v>3</v>
      </c>
      <c r="G2268" t="s">
        <v>1919</v>
      </c>
      <c r="H2268" t="s">
        <v>1920</v>
      </c>
      <c r="I2268" t="str">
        <f>HYPERLINK("https://zfin.org/ZDB-GENE-081022-15")</f>
        <v>https://zfin.org/ZDB-GENE-081022-15</v>
      </c>
      <c r="J2268" t="s">
        <v>1921</v>
      </c>
    </row>
    <row r="2269" spans="1:10" x14ac:dyDescent="0.2">
      <c r="A2269">
        <v>5.8843270099635203E-9</v>
      </c>
      <c r="B2269">
        <v>0.27611082778413698</v>
      </c>
      <c r="C2269">
        <v>0.29499999999999998</v>
      </c>
      <c r="D2269">
        <v>0.11600000000000001</v>
      </c>
      <c r="E2269">
        <v>8.1780376784473094E-5</v>
      </c>
      <c r="F2269">
        <v>3</v>
      </c>
      <c r="G2269" t="s">
        <v>5003</v>
      </c>
      <c r="H2269" t="s">
        <v>5004</v>
      </c>
      <c r="I2269" t="str">
        <f>HYPERLINK("https://zfin.org/ZDB-GENE-050116-3")</f>
        <v>https://zfin.org/ZDB-GENE-050116-3</v>
      </c>
      <c r="J2269" t="s">
        <v>5005</v>
      </c>
    </row>
    <row r="2270" spans="1:10" x14ac:dyDescent="0.2">
      <c r="A2270">
        <v>6.0813485002683302E-9</v>
      </c>
      <c r="B2270">
        <v>0.27336605373350797</v>
      </c>
      <c r="C2270">
        <v>0.23499999999999999</v>
      </c>
      <c r="D2270">
        <v>8.4000000000000005E-2</v>
      </c>
      <c r="E2270">
        <v>8.4518581456729193E-5</v>
      </c>
      <c r="F2270">
        <v>3</v>
      </c>
      <c r="G2270" t="s">
        <v>5006</v>
      </c>
      <c r="H2270" t="s">
        <v>5007</v>
      </c>
      <c r="I2270" t="str">
        <f>HYPERLINK("https://zfin.org/ZDB-GENE-050417-105")</f>
        <v>https://zfin.org/ZDB-GENE-050417-105</v>
      </c>
      <c r="J2270" t="s">
        <v>5008</v>
      </c>
    </row>
    <row r="2271" spans="1:10" x14ac:dyDescent="0.2">
      <c r="A2271">
        <v>6.17690354869104E-9</v>
      </c>
      <c r="B2271">
        <v>0.27106934320948201</v>
      </c>
      <c r="C2271">
        <v>0.26500000000000001</v>
      </c>
      <c r="D2271">
        <v>9.9000000000000005E-2</v>
      </c>
      <c r="E2271">
        <v>8.5846605519708096E-5</v>
      </c>
      <c r="F2271">
        <v>3</v>
      </c>
      <c r="G2271" t="s">
        <v>5009</v>
      </c>
      <c r="H2271" t="s">
        <v>5010</v>
      </c>
      <c r="I2271" t="str">
        <f>HYPERLINK("https://zfin.org/ZDB-GENE-030131-3151")</f>
        <v>https://zfin.org/ZDB-GENE-030131-3151</v>
      </c>
      <c r="J2271" t="s">
        <v>5011</v>
      </c>
    </row>
    <row r="2272" spans="1:10" x14ac:dyDescent="0.2">
      <c r="A2272">
        <v>6.5553686814044602E-9</v>
      </c>
      <c r="B2272">
        <v>0.28755230599918702</v>
      </c>
      <c r="C2272">
        <v>0.152</v>
      </c>
      <c r="D2272">
        <v>4.2000000000000003E-2</v>
      </c>
      <c r="E2272">
        <v>9.1106513934159097E-5</v>
      </c>
      <c r="F2272">
        <v>3</v>
      </c>
      <c r="G2272" t="s">
        <v>78</v>
      </c>
      <c r="H2272" t="s">
        <v>79</v>
      </c>
      <c r="I2272" t="str">
        <f>HYPERLINK("https://zfin.org/ZDB-GENE-041014-39")</f>
        <v>https://zfin.org/ZDB-GENE-041014-39</v>
      </c>
      <c r="J2272" t="s">
        <v>80</v>
      </c>
    </row>
    <row r="2273" spans="1:10" x14ac:dyDescent="0.2">
      <c r="A2273">
        <v>6.6748861734457697E-9</v>
      </c>
      <c r="B2273">
        <v>0.34817806750314001</v>
      </c>
      <c r="C2273">
        <v>0.90200000000000002</v>
      </c>
      <c r="D2273">
        <v>0.74399999999999999</v>
      </c>
      <c r="E2273">
        <v>9.2767568038549305E-5</v>
      </c>
      <c r="F2273">
        <v>3</v>
      </c>
      <c r="G2273" t="s">
        <v>5012</v>
      </c>
      <c r="H2273" t="s">
        <v>5013</v>
      </c>
      <c r="I2273" t="str">
        <f>HYPERLINK("https://zfin.org/ZDB-GENE-000831-2")</f>
        <v>https://zfin.org/ZDB-GENE-000831-2</v>
      </c>
      <c r="J2273" t="s">
        <v>5014</v>
      </c>
    </row>
    <row r="2274" spans="1:10" x14ac:dyDescent="0.2">
      <c r="A2274">
        <v>6.8506641778582197E-9</v>
      </c>
      <c r="B2274">
        <v>0.36697633601927998</v>
      </c>
      <c r="C2274">
        <v>0.65900000000000003</v>
      </c>
      <c r="D2274">
        <v>0.38500000000000001</v>
      </c>
      <c r="E2274">
        <v>9.5210530743873606E-5</v>
      </c>
      <c r="F2274">
        <v>3</v>
      </c>
      <c r="G2274" t="s">
        <v>2229</v>
      </c>
      <c r="H2274" t="s">
        <v>2230</v>
      </c>
      <c r="I2274" t="str">
        <f>HYPERLINK("https://zfin.org/ZDB-GENE-030131-4437")</f>
        <v>https://zfin.org/ZDB-GENE-030131-4437</v>
      </c>
      <c r="J2274" t="s">
        <v>2231</v>
      </c>
    </row>
    <row r="2275" spans="1:10" x14ac:dyDescent="0.2">
      <c r="A2275">
        <v>7.2100564335411203E-9</v>
      </c>
      <c r="B2275">
        <v>0.25277609529287798</v>
      </c>
      <c r="C2275">
        <v>0.44700000000000001</v>
      </c>
      <c r="D2275">
        <v>0.20399999999999999</v>
      </c>
      <c r="E2275">
        <v>1.00205364313355E-4</v>
      </c>
      <c r="F2275">
        <v>3</v>
      </c>
      <c r="G2275" t="s">
        <v>5015</v>
      </c>
      <c r="H2275" t="s">
        <v>5016</v>
      </c>
      <c r="I2275" t="str">
        <f>HYPERLINK("https://zfin.org/ZDB-GENE-020419-31")</f>
        <v>https://zfin.org/ZDB-GENE-020419-31</v>
      </c>
      <c r="J2275" t="s">
        <v>5017</v>
      </c>
    </row>
    <row r="2276" spans="1:10" x14ac:dyDescent="0.2">
      <c r="A2276">
        <v>7.3291094398775501E-9</v>
      </c>
      <c r="B2276">
        <v>0.29807971898567498</v>
      </c>
      <c r="C2276">
        <v>0.57599999999999996</v>
      </c>
      <c r="D2276">
        <v>0.30199999999999999</v>
      </c>
      <c r="E2276">
        <v>1.01859962995418E-4</v>
      </c>
      <c r="F2276">
        <v>3</v>
      </c>
      <c r="G2276" t="s">
        <v>5018</v>
      </c>
      <c r="H2276" t="s">
        <v>5019</v>
      </c>
      <c r="I2276" t="str">
        <f>HYPERLINK("https://zfin.org/ZDB-GENE-070928-12")</f>
        <v>https://zfin.org/ZDB-GENE-070928-12</v>
      </c>
      <c r="J2276" t="s">
        <v>5020</v>
      </c>
    </row>
    <row r="2277" spans="1:10" x14ac:dyDescent="0.2">
      <c r="A2277">
        <v>7.4275084393589402E-9</v>
      </c>
      <c r="B2277">
        <v>-0.75589253031843695</v>
      </c>
      <c r="C2277">
        <v>8.3000000000000004E-2</v>
      </c>
      <c r="D2277">
        <v>0.30599999999999999</v>
      </c>
      <c r="E2277">
        <v>1.03227512290211E-4</v>
      </c>
      <c r="F2277">
        <v>3</v>
      </c>
      <c r="G2277" t="s">
        <v>2933</v>
      </c>
      <c r="H2277" t="s">
        <v>2934</v>
      </c>
      <c r="I2277" t="str">
        <f>HYPERLINK("https://zfin.org/ZDB-GENE-030616-268")</f>
        <v>https://zfin.org/ZDB-GENE-030616-268</v>
      </c>
      <c r="J2277" t="s">
        <v>2935</v>
      </c>
    </row>
    <row r="2278" spans="1:10" x14ac:dyDescent="0.2">
      <c r="A2278">
        <v>7.42764710641527E-9</v>
      </c>
      <c r="B2278">
        <v>0.35662167149635099</v>
      </c>
      <c r="C2278">
        <v>0.70499999999999996</v>
      </c>
      <c r="D2278">
        <v>0.432</v>
      </c>
      <c r="E2278">
        <v>1.03229439484959E-4</v>
      </c>
      <c r="F2278">
        <v>3</v>
      </c>
      <c r="G2278" t="s">
        <v>5021</v>
      </c>
      <c r="H2278" t="s">
        <v>5022</v>
      </c>
      <c r="I2278" t="str">
        <f>HYPERLINK("https://zfin.org/ZDB-GENE-040625-36")</f>
        <v>https://zfin.org/ZDB-GENE-040625-36</v>
      </c>
      <c r="J2278" t="s">
        <v>5023</v>
      </c>
    </row>
    <row r="2279" spans="1:10" x14ac:dyDescent="0.2">
      <c r="A2279">
        <v>7.6153034735340203E-9</v>
      </c>
      <c r="B2279">
        <v>0.27654957148595</v>
      </c>
      <c r="C2279">
        <v>0.28000000000000003</v>
      </c>
      <c r="D2279">
        <v>0.109</v>
      </c>
      <c r="E2279">
        <v>1.05837487675176E-4</v>
      </c>
      <c r="F2279">
        <v>3</v>
      </c>
      <c r="G2279" t="s">
        <v>5024</v>
      </c>
      <c r="H2279" t="s">
        <v>5025</v>
      </c>
      <c r="I2279" t="str">
        <f>HYPERLINK("https://zfin.org/ZDB-GENE-040718-469")</f>
        <v>https://zfin.org/ZDB-GENE-040718-469</v>
      </c>
      <c r="J2279" t="s">
        <v>5026</v>
      </c>
    </row>
    <row r="2280" spans="1:10" x14ac:dyDescent="0.2">
      <c r="A2280">
        <v>7.6419623444552101E-9</v>
      </c>
      <c r="B2280">
        <v>0.30650153448061301</v>
      </c>
      <c r="C2280">
        <v>0.96199999999999997</v>
      </c>
      <c r="D2280">
        <v>0.84099999999999997</v>
      </c>
      <c r="E2280">
        <v>1.06207992663239E-4</v>
      </c>
      <c r="F2280">
        <v>3</v>
      </c>
      <c r="G2280" t="s">
        <v>2256</v>
      </c>
      <c r="H2280" t="s">
        <v>2257</v>
      </c>
      <c r="I2280" t="str">
        <f>HYPERLINK("https://zfin.org/ZDB-GENE-030131-7479")</f>
        <v>https://zfin.org/ZDB-GENE-030131-7479</v>
      </c>
      <c r="J2280" t="s">
        <v>2258</v>
      </c>
    </row>
    <row r="2281" spans="1:10" x14ac:dyDescent="0.2">
      <c r="A2281">
        <v>8.2117512023918005E-9</v>
      </c>
      <c r="B2281">
        <v>0.280349247233181</v>
      </c>
      <c r="C2281">
        <v>0.34100000000000003</v>
      </c>
      <c r="D2281">
        <v>0.14499999999999999</v>
      </c>
      <c r="E2281">
        <v>1.14126918210841E-4</v>
      </c>
      <c r="F2281">
        <v>3</v>
      </c>
      <c r="G2281" t="s">
        <v>5027</v>
      </c>
      <c r="H2281" t="s">
        <v>5028</v>
      </c>
      <c r="I2281" t="str">
        <f>HYPERLINK("https://zfin.org/ZDB-GENE-040625-25")</f>
        <v>https://zfin.org/ZDB-GENE-040625-25</v>
      </c>
      <c r="J2281" t="s">
        <v>5029</v>
      </c>
    </row>
    <row r="2282" spans="1:10" x14ac:dyDescent="0.2">
      <c r="A2282">
        <v>8.5530033678858195E-9</v>
      </c>
      <c r="B2282">
        <v>0.28262262327893201</v>
      </c>
      <c r="C2282">
        <v>0.121</v>
      </c>
      <c r="D2282">
        <v>2.9000000000000001E-2</v>
      </c>
      <c r="E2282">
        <v>1.1886964080687701E-4</v>
      </c>
      <c r="F2282">
        <v>3</v>
      </c>
      <c r="G2282" t="s">
        <v>5030</v>
      </c>
      <c r="H2282" t="s">
        <v>5031</v>
      </c>
      <c r="I2282" t="str">
        <f>HYPERLINK("https://zfin.org/ZDB-GENE-030131-2433")</f>
        <v>https://zfin.org/ZDB-GENE-030131-2433</v>
      </c>
      <c r="J2282" t="s">
        <v>5032</v>
      </c>
    </row>
    <row r="2283" spans="1:10" x14ac:dyDescent="0.2">
      <c r="A2283">
        <v>8.5649718166683E-9</v>
      </c>
      <c r="B2283">
        <v>0.30500509985330199</v>
      </c>
      <c r="C2283">
        <v>0.106</v>
      </c>
      <c r="D2283">
        <v>2.4E-2</v>
      </c>
      <c r="E2283">
        <v>1.19035978308056E-4</v>
      </c>
      <c r="F2283">
        <v>3</v>
      </c>
      <c r="G2283" t="s">
        <v>212</v>
      </c>
      <c r="H2283" t="s">
        <v>213</v>
      </c>
      <c r="I2283" t="str">
        <f>HYPERLINK("https://zfin.org/ZDB-GENE-050419-109")</f>
        <v>https://zfin.org/ZDB-GENE-050419-109</v>
      </c>
      <c r="J2283" t="s">
        <v>214</v>
      </c>
    </row>
    <row r="2284" spans="1:10" x14ac:dyDescent="0.2">
      <c r="A2284">
        <v>8.5800829602820508E-9</v>
      </c>
      <c r="B2284">
        <v>-0.70523746698874501</v>
      </c>
      <c r="C2284">
        <v>4.4999999999999998E-2</v>
      </c>
      <c r="D2284">
        <v>0.26800000000000002</v>
      </c>
      <c r="E2284">
        <v>1.19245992982E-4</v>
      </c>
      <c r="F2284">
        <v>3</v>
      </c>
      <c r="G2284" t="s">
        <v>3252</v>
      </c>
      <c r="H2284" t="s">
        <v>3253</v>
      </c>
      <c r="I2284" t="str">
        <f>HYPERLINK("https://zfin.org/ZDB-GENE-131121-599")</f>
        <v>https://zfin.org/ZDB-GENE-131121-599</v>
      </c>
      <c r="J2284" t="s">
        <v>3254</v>
      </c>
    </row>
    <row r="2285" spans="1:10" x14ac:dyDescent="0.2">
      <c r="A2285">
        <v>8.9053897265189202E-9</v>
      </c>
      <c r="B2285">
        <v>-0.79738948468762505</v>
      </c>
      <c r="C2285">
        <v>9.0999999999999998E-2</v>
      </c>
      <c r="D2285">
        <v>0.314</v>
      </c>
      <c r="E2285">
        <v>1.2376710641915999E-4</v>
      </c>
      <c r="F2285">
        <v>3</v>
      </c>
      <c r="G2285" t="s">
        <v>5033</v>
      </c>
      <c r="H2285" t="s">
        <v>5034</v>
      </c>
      <c r="I2285" t="str">
        <f>HYPERLINK("https://zfin.org/ZDB-GENE-040426-2517")</f>
        <v>https://zfin.org/ZDB-GENE-040426-2517</v>
      </c>
      <c r="J2285" t="s">
        <v>5035</v>
      </c>
    </row>
    <row r="2286" spans="1:10" x14ac:dyDescent="0.2">
      <c r="A2286">
        <v>9.1457136479004106E-9</v>
      </c>
      <c r="B2286">
        <v>0.33453893393192802</v>
      </c>
      <c r="C2286">
        <v>0.82599999999999996</v>
      </c>
      <c r="D2286">
        <v>0.54800000000000004</v>
      </c>
      <c r="E2286">
        <v>1.2710712827852E-4</v>
      </c>
      <c r="F2286">
        <v>3</v>
      </c>
      <c r="G2286" t="s">
        <v>1797</v>
      </c>
      <c r="H2286" t="s">
        <v>1798</v>
      </c>
      <c r="I2286" t="str">
        <f>HYPERLINK("https://zfin.org/ZDB-GENE-040801-18")</f>
        <v>https://zfin.org/ZDB-GENE-040801-18</v>
      </c>
      <c r="J2286" t="s">
        <v>1799</v>
      </c>
    </row>
    <row r="2287" spans="1:10" x14ac:dyDescent="0.2">
      <c r="A2287">
        <v>9.3269278993962408E-9</v>
      </c>
      <c r="B2287">
        <v>0.39495757051771002</v>
      </c>
      <c r="C2287">
        <v>0.64400000000000002</v>
      </c>
      <c r="D2287">
        <v>0.37</v>
      </c>
      <c r="E2287">
        <v>1.29625643945809E-4</v>
      </c>
      <c r="F2287">
        <v>3</v>
      </c>
      <c r="G2287" t="s">
        <v>1347</v>
      </c>
      <c r="H2287" t="s">
        <v>1348</v>
      </c>
      <c r="I2287" t="str">
        <f>HYPERLINK("https://zfin.org/ZDB-GENE-040912-91")</f>
        <v>https://zfin.org/ZDB-GENE-040912-91</v>
      </c>
      <c r="J2287" t="s">
        <v>1349</v>
      </c>
    </row>
    <row r="2288" spans="1:10" x14ac:dyDescent="0.2">
      <c r="A2288">
        <v>9.4543692994784892E-9</v>
      </c>
      <c r="B2288">
        <v>-1.36892057692989</v>
      </c>
      <c r="C2288">
        <v>0.106</v>
      </c>
      <c r="D2288">
        <v>0.33</v>
      </c>
      <c r="E2288">
        <v>1.3139682452415201E-4</v>
      </c>
      <c r="F2288">
        <v>3</v>
      </c>
      <c r="G2288" t="s">
        <v>2867</v>
      </c>
      <c r="H2288" t="s">
        <v>2868</v>
      </c>
      <c r="I2288" t="str">
        <f>HYPERLINK("https://zfin.org/ZDB-GENE-110411-258")</f>
        <v>https://zfin.org/ZDB-GENE-110411-258</v>
      </c>
      <c r="J2288" t="s">
        <v>2869</v>
      </c>
    </row>
    <row r="2289" spans="1:10" x14ac:dyDescent="0.2">
      <c r="A2289">
        <v>9.9751586839882096E-9</v>
      </c>
      <c r="B2289">
        <v>0.39811112064662801</v>
      </c>
      <c r="C2289">
        <v>0.51500000000000001</v>
      </c>
      <c r="D2289">
        <v>0.27100000000000002</v>
      </c>
      <c r="E2289">
        <v>1.3863475539006799E-4</v>
      </c>
      <c r="F2289">
        <v>3</v>
      </c>
      <c r="G2289" t="s">
        <v>5036</v>
      </c>
      <c r="H2289" t="s">
        <v>5037</v>
      </c>
      <c r="I2289" t="str">
        <f>HYPERLINK("https://zfin.org/ZDB-GENE-040426-915")</f>
        <v>https://zfin.org/ZDB-GENE-040426-915</v>
      </c>
      <c r="J2289" t="s">
        <v>5038</v>
      </c>
    </row>
    <row r="2290" spans="1:10" x14ac:dyDescent="0.2">
      <c r="A2290">
        <v>9.97871567920795E-9</v>
      </c>
      <c r="B2290">
        <v>0.38607175625024098</v>
      </c>
      <c r="C2290">
        <v>0.61399999999999999</v>
      </c>
      <c r="D2290">
        <v>0.36399999999999999</v>
      </c>
      <c r="E2290">
        <v>1.38684190509632E-4</v>
      </c>
      <c r="F2290">
        <v>3</v>
      </c>
      <c r="G2290" t="s">
        <v>2060</v>
      </c>
      <c r="H2290" t="s">
        <v>2061</v>
      </c>
      <c r="I2290" t="str">
        <f>HYPERLINK("https://zfin.org/ZDB-GENE-040426-989")</f>
        <v>https://zfin.org/ZDB-GENE-040426-989</v>
      </c>
      <c r="J2290" t="s">
        <v>2062</v>
      </c>
    </row>
    <row r="2291" spans="1:10" x14ac:dyDescent="0.2">
      <c r="A2291">
        <v>1.0124361695190399E-8</v>
      </c>
      <c r="B2291">
        <v>0.344289092629746</v>
      </c>
      <c r="C2291">
        <v>0.24199999999999999</v>
      </c>
      <c r="D2291">
        <v>9.0999999999999998E-2</v>
      </c>
      <c r="E2291">
        <v>1.40708378839756E-4</v>
      </c>
      <c r="F2291">
        <v>3</v>
      </c>
      <c r="G2291" t="s">
        <v>5039</v>
      </c>
      <c r="H2291" t="s">
        <v>5040</v>
      </c>
      <c r="I2291" t="str">
        <f>HYPERLINK("https://zfin.org/ZDB-GENE-040426-1715")</f>
        <v>https://zfin.org/ZDB-GENE-040426-1715</v>
      </c>
      <c r="J2291" t="s">
        <v>5041</v>
      </c>
    </row>
    <row r="2292" spans="1:10" x14ac:dyDescent="0.2">
      <c r="A2292">
        <v>1.02930459538001E-8</v>
      </c>
      <c r="B2292">
        <v>0.28085480390946399</v>
      </c>
      <c r="C2292">
        <v>0.23499999999999999</v>
      </c>
      <c r="D2292">
        <v>8.5000000000000006E-2</v>
      </c>
      <c r="E2292">
        <v>1.4305275266591401E-4</v>
      </c>
      <c r="F2292">
        <v>3</v>
      </c>
      <c r="G2292" t="s">
        <v>5042</v>
      </c>
      <c r="H2292" t="s">
        <v>5043</v>
      </c>
      <c r="I2292" t="str">
        <f>HYPERLINK("https://zfin.org/ZDB-GENE-040718-119")</f>
        <v>https://zfin.org/ZDB-GENE-040718-119</v>
      </c>
      <c r="J2292" t="s">
        <v>5044</v>
      </c>
    </row>
    <row r="2293" spans="1:10" x14ac:dyDescent="0.2">
      <c r="A2293">
        <v>1.0861323317756999E-8</v>
      </c>
      <c r="B2293">
        <v>-0.79774913027840999</v>
      </c>
      <c r="C2293">
        <v>0.114</v>
      </c>
      <c r="D2293">
        <v>0.33500000000000002</v>
      </c>
      <c r="E2293">
        <v>1.50950671470186E-4</v>
      </c>
      <c r="F2293">
        <v>3</v>
      </c>
      <c r="G2293" t="s">
        <v>5045</v>
      </c>
      <c r="H2293" t="s">
        <v>5046</v>
      </c>
      <c r="I2293" t="str">
        <f>HYPERLINK("https://zfin.org/ZDB-GENE-050208-573")</f>
        <v>https://zfin.org/ZDB-GENE-050208-573</v>
      </c>
      <c r="J2293" t="s">
        <v>5047</v>
      </c>
    </row>
    <row r="2294" spans="1:10" x14ac:dyDescent="0.2">
      <c r="A2294">
        <v>1.14685712059536E-8</v>
      </c>
      <c r="B2294">
        <v>0.26676711206650799</v>
      </c>
      <c r="C2294">
        <v>0.27300000000000002</v>
      </c>
      <c r="D2294">
        <v>0.106</v>
      </c>
      <c r="E2294">
        <v>1.5939020262034301E-4</v>
      </c>
      <c r="F2294">
        <v>3</v>
      </c>
      <c r="G2294" t="s">
        <v>5048</v>
      </c>
      <c r="H2294" t="s">
        <v>5049</v>
      </c>
      <c r="I2294" t="str">
        <f>HYPERLINK("https://zfin.org/ZDB-GENE-040718-98")</f>
        <v>https://zfin.org/ZDB-GENE-040718-98</v>
      </c>
      <c r="J2294" t="s">
        <v>5050</v>
      </c>
    </row>
    <row r="2295" spans="1:10" x14ac:dyDescent="0.2">
      <c r="A2295">
        <v>1.18654275082674E-8</v>
      </c>
      <c r="B2295">
        <v>-0.76910230976792304</v>
      </c>
      <c r="C2295">
        <v>0.22</v>
      </c>
      <c r="D2295">
        <v>0.42</v>
      </c>
      <c r="E2295">
        <v>1.6490571150990001E-4</v>
      </c>
      <c r="F2295">
        <v>3</v>
      </c>
      <c r="G2295" t="s">
        <v>2780</v>
      </c>
      <c r="H2295" t="s">
        <v>2781</v>
      </c>
      <c r="I2295" t="str">
        <f>HYPERLINK("https://zfin.org/ZDB-GENE-030131-5283")</f>
        <v>https://zfin.org/ZDB-GENE-030131-5283</v>
      </c>
      <c r="J2295" t="s">
        <v>2782</v>
      </c>
    </row>
    <row r="2296" spans="1:10" x14ac:dyDescent="0.2">
      <c r="A2296">
        <v>1.22585151152425E-8</v>
      </c>
      <c r="B2296">
        <v>0.32037042566757701</v>
      </c>
      <c r="C2296">
        <v>0.67400000000000004</v>
      </c>
      <c r="D2296">
        <v>0.4</v>
      </c>
      <c r="E2296">
        <v>1.7036884307164001E-4</v>
      </c>
      <c r="F2296">
        <v>3</v>
      </c>
      <c r="G2296" t="s">
        <v>5051</v>
      </c>
      <c r="H2296" t="s">
        <v>5052</v>
      </c>
      <c r="I2296" t="str">
        <f>HYPERLINK("https://zfin.org/ZDB-GENE-051030-102")</f>
        <v>https://zfin.org/ZDB-GENE-051030-102</v>
      </c>
      <c r="J2296" t="s">
        <v>5053</v>
      </c>
    </row>
    <row r="2297" spans="1:10" x14ac:dyDescent="0.2">
      <c r="A2297">
        <v>1.2339871762145301E-8</v>
      </c>
      <c r="B2297">
        <v>0.25401048401974602</v>
      </c>
      <c r="C2297">
        <v>0.36399999999999999</v>
      </c>
      <c r="D2297">
        <v>0.156</v>
      </c>
      <c r="E2297">
        <v>1.7149953775029501E-4</v>
      </c>
      <c r="F2297">
        <v>3</v>
      </c>
      <c r="G2297" t="s">
        <v>5054</v>
      </c>
      <c r="H2297" t="s">
        <v>5055</v>
      </c>
      <c r="I2297" t="str">
        <f>HYPERLINK("https://zfin.org/ZDB-GENE-040426-916")</f>
        <v>https://zfin.org/ZDB-GENE-040426-916</v>
      </c>
      <c r="J2297" t="s">
        <v>5056</v>
      </c>
    </row>
    <row r="2298" spans="1:10" x14ac:dyDescent="0.2">
      <c r="A2298">
        <v>1.2534826672732801E-8</v>
      </c>
      <c r="B2298">
        <v>0.30408914264841802</v>
      </c>
      <c r="C2298">
        <v>0.432</v>
      </c>
      <c r="D2298">
        <v>0.20300000000000001</v>
      </c>
      <c r="E2298">
        <v>1.7420902109764101E-4</v>
      </c>
      <c r="F2298">
        <v>3</v>
      </c>
      <c r="G2298" t="s">
        <v>5057</v>
      </c>
      <c r="H2298" t="s">
        <v>5058</v>
      </c>
      <c r="I2298" t="str">
        <f>HYPERLINK("https://zfin.org/ZDB-GENE-040426-957")</f>
        <v>https://zfin.org/ZDB-GENE-040426-957</v>
      </c>
      <c r="J2298" t="s">
        <v>5059</v>
      </c>
    </row>
    <row r="2299" spans="1:10" x14ac:dyDescent="0.2">
      <c r="A2299">
        <v>1.31006378954326E-8</v>
      </c>
      <c r="B2299">
        <v>0.283672065575929</v>
      </c>
      <c r="C2299">
        <v>0.48499999999999999</v>
      </c>
      <c r="D2299">
        <v>0.24</v>
      </c>
      <c r="E2299">
        <v>1.8207266547072299E-4</v>
      </c>
      <c r="F2299">
        <v>3</v>
      </c>
      <c r="G2299" t="s">
        <v>5060</v>
      </c>
      <c r="H2299" t="s">
        <v>5061</v>
      </c>
      <c r="I2299" t="str">
        <f>HYPERLINK("https://zfin.org/ZDB-GENE-060810-79")</f>
        <v>https://zfin.org/ZDB-GENE-060810-79</v>
      </c>
      <c r="J2299" t="s">
        <v>5062</v>
      </c>
    </row>
    <row r="2300" spans="1:10" x14ac:dyDescent="0.2">
      <c r="A2300">
        <v>1.38616737960372E-8</v>
      </c>
      <c r="B2300">
        <v>0.348911461080471</v>
      </c>
      <c r="C2300">
        <v>0.81100000000000005</v>
      </c>
      <c r="D2300">
        <v>0.629</v>
      </c>
      <c r="E2300">
        <v>1.9264954241732601E-4</v>
      </c>
      <c r="F2300">
        <v>3</v>
      </c>
      <c r="G2300" t="s">
        <v>5063</v>
      </c>
      <c r="H2300" t="s">
        <v>5064</v>
      </c>
      <c r="I2300" t="str">
        <f>HYPERLINK("https://zfin.org/ZDB-GENE-040426-2229")</f>
        <v>https://zfin.org/ZDB-GENE-040426-2229</v>
      </c>
      <c r="J2300" t="s">
        <v>5065</v>
      </c>
    </row>
    <row r="2301" spans="1:10" x14ac:dyDescent="0.2">
      <c r="A2301">
        <v>1.3933577980833699E-8</v>
      </c>
      <c r="B2301">
        <v>-0.72139603986587597</v>
      </c>
      <c r="C2301">
        <v>4.4999999999999998E-2</v>
      </c>
      <c r="D2301">
        <v>0.25700000000000001</v>
      </c>
      <c r="E2301">
        <v>1.9364886677762601E-4</v>
      </c>
      <c r="F2301">
        <v>3</v>
      </c>
      <c r="G2301" t="s">
        <v>3148</v>
      </c>
      <c r="H2301" t="s">
        <v>3149</v>
      </c>
      <c r="I2301" t="str">
        <f>HYPERLINK("https://zfin.org/ZDB-GENE-070912-355")</f>
        <v>https://zfin.org/ZDB-GENE-070912-355</v>
      </c>
      <c r="J2301" t="s">
        <v>3150</v>
      </c>
    </row>
    <row r="2302" spans="1:10" x14ac:dyDescent="0.2">
      <c r="A2302">
        <v>1.44873516203057E-8</v>
      </c>
      <c r="B2302">
        <v>0.337274238298508</v>
      </c>
      <c r="C2302">
        <v>0.45500000000000002</v>
      </c>
      <c r="D2302">
        <v>0.221</v>
      </c>
      <c r="E2302">
        <v>2.0134521281900899E-4</v>
      </c>
      <c r="F2302">
        <v>3</v>
      </c>
      <c r="G2302" t="s">
        <v>5066</v>
      </c>
      <c r="H2302" t="s">
        <v>5067</v>
      </c>
      <c r="I2302" t="str">
        <f>HYPERLINK("https://zfin.org/ZDB-GENE-030327-6")</f>
        <v>https://zfin.org/ZDB-GENE-030327-6</v>
      </c>
      <c r="J2302" t="s">
        <v>5068</v>
      </c>
    </row>
    <row r="2303" spans="1:10" x14ac:dyDescent="0.2">
      <c r="A2303">
        <v>1.46946115451879E-8</v>
      </c>
      <c r="B2303">
        <v>0.32562783015590702</v>
      </c>
      <c r="C2303">
        <v>0.30299999999999999</v>
      </c>
      <c r="D2303">
        <v>0.128</v>
      </c>
      <c r="E2303">
        <v>2.0422571125502099E-4</v>
      </c>
      <c r="F2303">
        <v>3</v>
      </c>
      <c r="G2303" t="s">
        <v>1516</v>
      </c>
      <c r="H2303" t="s">
        <v>1517</v>
      </c>
      <c r="I2303" t="str">
        <f>HYPERLINK("https://zfin.org/ZDB-GENE-040426-1686")</f>
        <v>https://zfin.org/ZDB-GENE-040426-1686</v>
      </c>
      <c r="J2303" t="s">
        <v>1518</v>
      </c>
    </row>
    <row r="2304" spans="1:10" x14ac:dyDescent="0.2">
      <c r="A2304">
        <v>1.52060351321813E-8</v>
      </c>
      <c r="B2304">
        <v>0.26031981997460901</v>
      </c>
      <c r="C2304">
        <v>0.19700000000000001</v>
      </c>
      <c r="D2304">
        <v>6.5000000000000002E-2</v>
      </c>
      <c r="E2304">
        <v>2.11333476267056E-4</v>
      </c>
      <c r="F2304">
        <v>3</v>
      </c>
      <c r="G2304" t="s">
        <v>5069</v>
      </c>
      <c r="H2304" t="s">
        <v>5070</v>
      </c>
      <c r="I2304" t="str">
        <f>HYPERLINK("https://zfin.org/ZDB-GENE-030327-5")</f>
        <v>https://zfin.org/ZDB-GENE-030327-5</v>
      </c>
      <c r="J2304" t="s">
        <v>5071</v>
      </c>
    </row>
    <row r="2305" spans="1:10" x14ac:dyDescent="0.2">
      <c r="A2305">
        <v>1.5567449129197301E-8</v>
      </c>
      <c r="B2305">
        <v>0.37050168194449201</v>
      </c>
      <c r="C2305">
        <v>0.66700000000000004</v>
      </c>
      <c r="D2305">
        <v>0.40100000000000002</v>
      </c>
      <c r="E2305">
        <v>2.16356407997584E-4</v>
      </c>
      <c r="F2305">
        <v>3</v>
      </c>
      <c r="G2305" t="s">
        <v>2313</v>
      </c>
      <c r="H2305" t="s">
        <v>2314</v>
      </c>
      <c r="I2305" t="str">
        <f>HYPERLINK("https://zfin.org/ZDB-GENE-050913-114")</f>
        <v>https://zfin.org/ZDB-GENE-050913-114</v>
      </c>
      <c r="J2305" t="s">
        <v>2315</v>
      </c>
    </row>
    <row r="2306" spans="1:10" x14ac:dyDescent="0.2">
      <c r="A2306">
        <v>1.5602043613172799E-8</v>
      </c>
      <c r="B2306">
        <v>-0.64175429052993005</v>
      </c>
      <c r="C2306">
        <v>0.106</v>
      </c>
      <c r="D2306">
        <v>0.32900000000000001</v>
      </c>
      <c r="E2306">
        <v>2.1683720213587501E-4</v>
      </c>
      <c r="F2306">
        <v>3</v>
      </c>
      <c r="G2306" t="s">
        <v>5072</v>
      </c>
      <c r="H2306" t="s">
        <v>5073</v>
      </c>
      <c r="I2306" t="str">
        <f>HYPERLINK("https://zfin.org/ZDB-GENE-060503-785")</f>
        <v>https://zfin.org/ZDB-GENE-060503-785</v>
      </c>
      <c r="J2306" t="s">
        <v>5074</v>
      </c>
    </row>
    <row r="2307" spans="1:10" x14ac:dyDescent="0.2">
      <c r="A2307">
        <v>1.5770283050596702E-8</v>
      </c>
      <c r="B2307">
        <v>0.28967817682320801</v>
      </c>
      <c r="C2307">
        <v>0.35599999999999998</v>
      </c>
      <c r="D2307">
        <v>0.156</v>
      </c>
      <c r="E2307">
        <v>2.19175393837193E-4</v>
      </c>
      <c r="F2307">
        <v>3</v>
      </c>
      <c r="G2307" t="s">
        <v>5075</v>
      </c>
      <c r="H2307" t="s">
        <v>5076</v>
      </c>
      <c r="I2307" t="str">
        <f>HYPERLINK("https://zfin.org/ZDB-GENE-040426-1089")</f>
        <v>https://zfin.org/ZDB-GENE-040426-1089</v>
      </c>
      <c r="J2307" t="s">
        <v>5077</v>
      </c>
    </row>
    <row r="2308" spans="1:10" x14ac:dyDescent="0.2">
      <c r="A2308">
        <v>1.6228647124638201E-8</v>
      </c>
      <c r="B2308">
        <v>0.26211479274321398</v>
      </c>
      <c r="C2308">
        <v>0.30299999999999999</v>
      </c>
      <c r="D2308">
        <v>0.124</v>
      </c>
      <c r="E2308">
        <v>2.25545737738222E-4</v>
      </c>
      <c r="F2308">
        <v>3</v>
      </c>
      <c r="G2308" t="s">
        <v>5078</v>
      </c>
      <c r="H2308" t="s">
        <v>5079</v>
      </c>
      <c r="I2308" t="str">
        <f>HYPERLINK("https://zfin.org/ZDB-GENE-110325-1")</f>
        <v>https://zfin.org/ZDB-GENE-110325-1</v>
      </c>
      <c r="J2308" t="s">
        <v>5080</v>
      </c>
    </row>
    <row r="2309" spans="1:10" x14ac:dyDescent="0.2">
      <c r="A2309">
        <v>1.6283986659169299E-8</v>
      </c>
      <c r="B2309">
        <v>0.26048720641399897</v>
      </c>
      <c r="C2309">
        <v>0.16700000000000001</v>
      </c>
      <c r="D2309">
        <v>0.05</v>
      </c>
      <c r="E2309">
        <v>2.2631484658913501E-4</v>
      </c>
      <c r="F2309">
        <v>3</v>
      </c>
      <c r="G2309" t="s">
        <v>5081</v>
      </c>
      <c r="H2309" t="s">
        <v>5082</v>
      </c>
      <c r="I2309" t="str">
        <f>HYPERLINK("https://zfin.org/ZDB-GENE-050706-182")</f>
        <v>https://zfin.org/ZDB-GENE-050706-182</v>
      </c>
      <c r="J2309" t="s">
        <v>5083</v>
      </c>
    </row>
    <row r="2310" spans="1:10" x14ac:dyDescent="0.2">
      <c r="A2310">
        <v>1.6438915895917901E-8</v>
      </c>
      <c r="B2310">
        <v>-0.75822944762424105</v>
      </c>
      <c r="C2310">
        <v>0.21199999999999999</v>
      </c>
      <c r="D2310">
        <v>0.41899999999999998</v>
      </c>
      <c r="E2310">
        <v>2.2846805312146701E-4</v>
      </c>
      <c r="F2310">
        <v>3</v>
      </c>
      <c r="G2310" t="s">
        <v>2825</v>
      </c>
      <c r="H2310" t="s">
        <v>2826</v>
      </c>
      <c r="I2310" t="str">
        <f>HYPERLINK("https://zfin.org/ZDB-GENE-030829-65")</f>
        <v>https://zfin.org/ZDB-GENE-030829-65</v>
      </c>
      <c r="J2310" t="s">
        <v>2827</v>
      </c>
    </row>
    <row r="2311" spans="1:10" x14ac:dyDescent="0.2">
      <c r="A2311">
        <v>1.6928553682807601E-8</v>
      </c>
      <c r="B2311">
        <v>0.26420708170983098</v>
      </c>
      <c r="C2311">
        <v>0.39400000000000002</v>
      </c>
      <c r="D2311">
        <v>0.17799999999999999</v>
      </c>
      <c r="E2311">
        <v>2.3527303908366001E-4</v>
      </c>
      <c r="F2311">
        <v>3</v>
      </c>
      <c r="G2311" t="s">
        <v>5084</v>
      </c>
      <c r="H2311" t="s">
        <v>5085</v>
      </c>
      <c r="I2311" t="str">
        <f>HYPERLINK("https://zfin.org/ZDB-GENE-030131-5990")</f>
        <v>https://zfin.org/ZDB-GENE-030131-5990</v>
      </c>
      <c r="J2311" t="s">
        <v>5086</v>
      </c>
    </row>
    <row r="2312" spans="1:10" x14ac:dyDescent="0.2">
      <c r="A2312">
        <v>1.6979293835776899E-8</v>
      </c>
      <c r="B2312">
        <v>0.33608275814024502</v>
      </c>
      <c r="C2312">
        <v>0.30299999999999999</v>
      </c>
      <c r="D2312">
        <v>0.127</v>
      </c>
      <c r="E2312">
        <v>2.3597822572962799E-4</v>
      </c>
      <c r="F2312">
        <v>3</v>
      </c>
      <c r="G2312" t="s">
        <v>5087</v>
      </c>
      <c r="H2312" t="s">
        <v>5088</v>
      </c>
      <c r="I2312" t="str">
        <f>HYPERLINK("https://zfin.org/ZDB-GENE-040718-283")</f>
        <v>https://zfin.org/ZDB-GENE-040718-283</v>
      </c>
      <c r="J2312" t="s">
        <v>5089</v>
      </c>
    </row>
    <row r="2313" spans="1:10" x14ac:dyDescent="0.2">
      <c r="A2313">
        <v>1.8935726907542301E-8</v>
      </c>
      <c r="B2313">
        <v>0.32451319107660798</v>
      </c>
      <c r="C2313">
        <v>0.34100000000000003</v>
      </c>
      <c r="D2313">
        <v>0.152</v>
      </c>
      <c r="E2313">
        <v>2.63168732561023E-4</v>
      </c>
      <c r="F2313">
        <v>3</v>
      </c>
      <c r="G2313" t="s">
        <v>5090</v>
      </c>
      <c r="H2313" t="s">
        <v>5091</v>
      </c>
      <c r="I2313" t="str">
        <f>HYPERLINK("https://zfin.org/ZDB-GENE-050417-290")</f>
        <v>https://zfin.org/ZDB-GENE-050417-290</v>
      </c>
      <c r="J2313" t="s">
        <v>5092</v>
      </c>
    </row>
    <row r="2314" spans="1:10" x14ac:dyDescent="0.2">
      <c r="A2314">
        <v>1.9350907737562101E-8</v>
      </c>
      <c r="B2314">
        <v>-0.72192545459522806</v>
      </c>
      <c r="C2314">
        <v>6.0999999999999999E-2</v>
      </c>
      <c r="D2314">
        <v>0.27300000000000002</v>
      </c>
      <c r="E2314">
        <v>2.6893891573663797E-4</v>
      </c>
      <c r="F2314">
        <v>3</v>
      </c>
      <c r="G2314" t="s">
        <v>5093</v>
      </c>
      <c r="H2314" t="s">
        <v>5094</v>
      </c>
      <c r="I2314" t="str">
        <f>HYPERLINK("https://zfin.org/ZDB-GENE-040801-89")</f>
        <v>https://zfin.org/ZDB-GENE-040801-89</v>
      </c>
      <c r="J2314" t="s">
        <v>5095</v>
      </c>
    </row>
    <row r="2315" spans="1:10" x14ac:dyDescent="0.2">
      <c r="A2315">
        <v>1.94913099533442E-8</v>
      </c>
      <c r="B2315">
        <v>0.27801361810550901</v>
      </c>
      <c r="C2315">
        <v>0.159</v>
      </c>
      <c r="D2315">
        <v>4.8000000000000001E-2</v>
      </c>
      <c r="E2315">
        <v>2.7089022573157702E-4</v>
      </c>
      <c r="F2315">
        <v>3</v>
      </c>
      <c r="G2315" t="s">
        <v>81</v>
      </c>
      <c r="H2315" t="s">
        <v>82</v>
      </c>
      <c r="I2315" t="str">
        <f>HYPERLINK("https://zfin.org/ZDB-GENE-080220-51")</f>
        <v>https://zfin.org/ZDB-GENE-080220-51</v>
      </c>
      <c r="J2315" t="s">
        <v>83</v>
      </c>
    </row>
    <row r="2316" spans="1:10" x14ac:dyDescent="0.2">
      <c r="A2316">
        <v>1.98298047344993E-8</v>
      </c>
      <c r="B2316">
        <v>0.33933197981468</v>
      </c>
      <c r="C2316">
        <v>0.65200000000000002</v>
      </c>
      <c r="D2316">
        <v>0.38800000000000001</v>
      </c>
      <c r="E2316">
        <v>2.7559462620007101E-4</v>
      </c>
      <c r="F2316">
        <v>3</v>
      </c>
      <c r="G2316" t="s">
        <v>5096</v>
      </c>
      <c r="H2316" t="s">
        <v>5097</v>
      </c>
      <c r="I2316" t="str">
        <f>HYPERLINK("https://zfin.org/ZDB-GENE-040808-19")</f>
        <v>https://zfin.org/ZDB-GENE-040808-19</v>
      </c>
      <c r="J2316" t="s">
        <v>5098</v>
      </c>
    </row>
    <row r="2317" spans="1:10" x14ac:dyDescent="0.2">
      <c r="A2317">
        <v>2.0910151842904401E-8</v>
      </c>
      <c r="B2317">
        <v>0.29365175541271199</v>
      </c>
      <c r="C2317">
        <v>0.53800000000000003</v>
      </c>
      <c r="D2317">
        <v>0.27500000000000002</v>
      </c>
      <c r="E2317">
        <v>2.9060929031268502E-4</v>
      </c>
      <c r="F2317">
        <v>3</v>
      </c>
      <c r="G2317" t="s">
        <v>5099</v>
      </c>
      <c r="H2317" t="s">
        <v>5100</v>
      </c>
      <c r="I2317" t="str">
        <f>HYPERLINK("https://zfin.org/ZDB-GENE-040718-35")</f>
        <v>https://zfin.org/ZDB-GENE-040718-35</v>
      </c>
      <c r="J2317" t="s">
        <v>5101</v>
      </c>
    </row>
    <row r="2318" spans="1:10" x14ac:dyDescent="0.2">
      <c r="A2318">
        <v>2.28535377608128E-8</v>
      </c>
      <c r="B2318">
        <v>-0.29923868727726799</v>
      </c>
      <c r="C2318">
        <v>0.98499999999999999</v>
      </c>
      <c r="D2318">
        <v>0.90400000000000003</v>
      </c>
      <c r="E2318">
        <v>3.17618467799776E-4</v>
      </c>
      <c r="F2318">
        <v>3</v>
      </c>
      <c r="G2318" t="s">
        <v>743</v>
      </c>
      <c r="H2318" t="s">
        <v>744</v>
      </c>
      <c r="I2318" t="str">
        <f>HYPERLINK("https://zfin.org/ZDB-GENE-050320-61")</f>
        <v>https://zfin.org/ZDB-GENE-050320-61</v>
      </c>
      <c r="J2318" t="s">
        <v>745</v>
      </c>
    </row>
    <row r="2319" spans="1:10" x14ac:dyDescent="0.2">
      <c r="A2319">
        <v>2.34958241332957E-8</v>
      </c>
      <c r="B2319">
        <v>0.27978999248479097</v>
      </c>
      <c r="C2319">
        <v>0.57599999999999996</v>
      </c>
      <c r="D2319">
        <v>0.30199999999999999</v>
      </c>
      <c r="E2319">
        <v>3.26544963804544E-4</v>
      </c>
      <c r="F2319">
        <v>3</v>
      </c>
      <c r="G2319" t="s">
        <v>5102</v>
      </c>
      <c r="H2319" t="s">
        <v>5103</v>
      </c>
      <c r="I2319" t="str">
        <f>HYPERLINK("https://zfin.org/ZDB-GENE-040927-8")</f>
        <v>https://zfin.org/ZDB-GENE-040927-8</v>
      </c>
      <c r="J2319" t="s">
        <v>5104</v>
      </c>
    </row>
    <row r="2320" spans="1:10" x14ac:dyDescent="0.2">
      <c r="A2320">
        <v>2.4374785557404701E-8</v>
      </c>
      <c r="B2320">
        <v>0.34719635181699099</v>
      </c>
      <c r="C2320">
        <v>0.32600000000000001</v>
      </c>
      <c r="D2320">
        <v>0.14099999999999999</v>
      </c>
      <c r="E2320">
        <v>3.3876076967681102E-4</v>
      </c>
      <c r="F2320">
        <v>3</v>
      </c>
      <c r="G2320" t="s">
        <v>5105</v>
      </c>
      <c r="H2320" t="s">
        <v>5106</v>
      </c>
      <c r="I2320" t="str">
        <f>HYPERLINK("https://zfin.org/ZDB-GENE-041010-218")</f>
        <v>https://zfin.org/ZDB-GENE-041010-218</v>
      </c>
      <c r="J2320" t="s">
        <v>5107</v>
      </c>
    </row>
    <row r="2321" spans="1:10" x14ac:dyDescent="0.2">
      <c r="A2321">
        <v>2.5530440363274699E-8</v>
      </c>
      <c r="B2321">
        <v>0.29566244133974601</v>
      </c>
      <c r="C2321">
        <v>0.65200000000000002</v>
      </c>
      <c r="D2321">
        <v>0.36899999999999999</v>
      </c>
      <c r="E2321">
        <v>3.5482206016879201E-4</v>
      </c>
      <c r="F2321">
        <v>3</v>
      </c>
      <c r="G2321" t="s">
        <v>2445</v>
      </c>
      <c r="H2321" t="s">
        <v>2446</v>
      </c>
      <c r="I2321" t="str">
        <f>HYPERLINK("https://zfin.org/ZDB-GENE-040204-1")</f>
        <v>https://zfin.org/ZDB-GENE-040204-1</v>
      </c>
      <c r="J2321" t="s">
        <v>2447</v>
      </c>
    </row>
    <row r="2322" spans="1:10" x14ac:dyDescent="0.2">
      <c r="A2322">
        <v>2.7421259083882398E-8</v>
      </c>
      <c r="B2322">
        <v>0.35044421254065899</v>
      </c>
      <c r="C2322">
        <v>0.24199999999999999</v>
      </c>
      <c r="D2322">
        <v>9.5000000000000001E-2</v>
      </c>
      <c r="E2322">
        <v>3.81100658747798E-4</v>
      </c>
      <c r="F2322">
        <v>3</v>
      </c>
      <c r="G2322" t="s">
        <v>1566</v>
      </c>
      <c r="H2322" t="s">
        <v>1567</v>
      </c>
      <c r="I2322" t="str">
        <f>HYPERLINK("https://zfin.org/ZDB-GENE-040426-2380")</f>
        <v>https://zfin.org/ZDB-GENE-040426-2380</v>
      </c>
      <c r="J2322" t="s">
        <v>1568</v>
      </c>
    </row>
    <row r="2323" spans="1:10" x14ac:dyDescent="0.2">
      <c r="A2323">
        <v>2.8218064727847301E-8</v>
      </c>
      <c r="B2323">
        <v>0.28911823773534601</v>
      </c>
      <c r="C2323">
        <v>0.35599999999999998</v>
      </c>
      <c r="D2323">
        <v>0.161</v>
      </c>
      <c r="E2323">
        <v>3.9217466358762199E-4</v>
      </c>
      <c r="F2323">
        <v>3</v>
      </c>
      <c r="G2323" t="s">
        <v>5108</v>
      </c>
      <c r="H2323" t="s">
        <v>5109</v>
      </c>
      <c r="I2323" t="str">
        <f>HYPERLINK("https://zfin.org/ZDB-GENE-040426-2719")</f>
        <v>https://zfin.org/ZDB-GENE-040426-2719</v>
      </c>
      <c r="J2323" t="s">
        <v>5110</v>
      </c>
    </row>
    <row r="2324" spans="1:10" x14ac:dyDescent="0.2">
      <c r="A2324">
        <v>2.8591670766345799E-8</v>
      </c>
      <c r="B2324">
        <v>0.28855543484634699</v>
      </c>
      <c r="C2324">
        <v>0.152</v>
      </c>
      <c r="D2324">
        <v>4.3999999999999997E-2</v>
      </c>
      <c r="E2324">
        <v>3.9736704031067399E-4</v>
      </c>
      <c r="F2324">
        <v>3</v>
      </c>
      <c r="G2324" t="s">
        <v>5111</v>
      </c>
      <c r="H2324" t="s">
        <v>5112</v>
      </c>
      <c r="I2324" t="str">
        <f>HYPERLINK("https://zfin.org/ZDB-GENE-100419-3")</f>
        <v>https://zfin.org/ZDB-GENE-100419-3</v>
      </c>
      <c r="J2324" t="s">
        <v>5113</v>
      </c>
    </row>
    <row r="2325" spans="1:10" x14ac:dyDescent="0.2">
      <c r="A2325">
        <v>2.9669237221440199E-8</v>
      </c>
      <c r="B2325">
        <v>-0.72887334895504197</v>
      </c>
      <c r="C2325">
        <v>5.2999999999999999E-2</v>
      </c>
      <c r="D2325">
        <v>0.25900000000000001</v>
      </c>
      <c r="E2325">
        <v>4.1234305890357599E-4</v>
      </c>
      <c r="F2325">
        <v>3</v>
      </c>
      <c r="G2325" t="s">
        <v>2610</v>
      </c>
      <c r="H2325" t="s">
        <v>2611</v>
      </c>
      <c r="I2325" t="str">
        <f>HYPERLINK("https://zfin.org/ZDB-GENE-041010-30")</f>
        <v>https://zfin.org/ZDB-GENE-041010-30</v>
      </c>
      <c r="J2325" t="s">
        <v>2612</v>
      </c>
    </row>
    <row r="2326" spans="1:10" x14ac:dyDescent="0.2">
      <c r="A2326">
        <v>3.0135999059334899E-8</v>
      </c>
      <c r="B2326">
        <v>0.27336151818993198</v>
      </c>
      <c r="C2326">
        <v>0.27300000000000002</v>
      </c>
      <c r="D2326">
        <v>0.109</v>
      </c>
      <c r="E2326">
        <v>4.18830114926636E-4</v>
      </c>
      <c r="F2326">
        <v>3</v>
      </c>
      <c r="G2326" t="s">
        <v>5114</v>
      </c>
      <c r="H2326" t="s">
        <v>5115</v>
      </c>
      <c r="I2326" t="str">
        <f>HYPERLINK("https://zfin.org/ZDB-GENE-030826-9")</f>
        <v>https://zfin.org/ZDB-GENE-030826-9</v>
      </c>
      <c r="J2326" t="s">
        <v>5116</v>
      </c>
    </row>
    <row r="2327" spans="1:10" x14ac:dyDescent="0.2">
      <c r="A2327">
        <v>3.03933822285275E-8</v>
      </c>
      <c r="B2327">
        <v>0.30882767206369</v>
      </c>
      <c r="C2327">
        <v>0.17399999999999999</v>
      </c>
      <c r="D2327">
        <v>5.6000000000000001E-2</v>
      </c>
      <c r="E2327">
        <v>4.2240722621207497E-4</v>
      </c>
      <c r="F2327">
        <v>3</v>
      </c>
      <c r="G2327" t="s">
        <v>25</v>
      </c>
      <c r="H2327" t="s">
        <v>26</v>
      </c>
      <c r="I2327" t="str">
        <f>HYPERLINK("https://zfin.org/")</f>
        <v>https://zfin.org/</v>
      </c>
    </row>
    <row r="2328" spans="1:10" x14ac:dyDescent="0.2">
      <c r="A2328">
        <v>3.1413583987789298E-8</v>
      </c>
      <c r="B2328">
        <v>0.30180423361348802</v>
      </c>
      <c r="C2328">
        <v>0.46200000000000002</v>
      </c>
      <c r="D2328">
        <v>0.23</v>
      </c>
      <c r="E2328">
        <v>4.3658599026229601E-4</v>
      </c>
      <c r="F2328">
        <v>3</v>
      </c>
      <c r="G2328" t="s">
        <v>5117</v>
      </c>
      <c r="H2328" t="s">
        <v>5118</v>
      </c>
      <c r="I2328" t="str">
        <f>HYPERLINK("https://zfin.org/ZDB-GENE-030131-8569")</f>
        <v>https://zfin.org/ZDB-GENE-030131-8569</v>
      </c>
      <c r="J2328" t="s">
        <v>5119</v>
      </c>
    </row>
    <row r="2329" spans="1:10" x14ac:dyDescent="0.2">
      <c r="A2329">
        <v>3.1602021870140401E-8</v>
      </c>
      <c r="B2329">
        <v>0.35214203606491401</v>
      </c>
      <c r="C2329">
        <v>0.78</v>
      </c>
      <c r="D2329">
        <v>0.51600000000000001</v>
      </c>
      <c r="E2329">
        <v>4.3920489995121197E-4</v>
      </c>
      <c r="F2329">
        <v>3</v>
      </c>
      <c r="G2329" t="s">
        <v>5120</v>
      </c>
      <c r="H2329" t="s">
        <v>5121</v>
      </c>
      <c r="I2329" t="str">
        <f>HYPERLINK("https://zfin.org/ZDB-GENE-030521-13")</f>
        <v>https://zfin.org/ZDB-GENE-030521-13</v>
      </c>
      <c r="J2329" t="s">
        <v>5122</v>
      </c>
    </row>
    <row r="2330" spans="1:10" x14ac:dyDescent="0.2">
      <c r="A2330">
        <v>3.1765705602864302E-8</v>
      </c>
      <c r="B2330">
        <v>-1.10977934197386</v>
      </c>
      <c r="C2330">
        <v>0.13600000000000001</v>
      </c>
      <c r="D2330">
        <v>0.34</v>
      </c>
      <c r="E2330">
        <v>4.4147977646860799E-4</v>
      </c>
      <c r="F2330">
        <v>3</v>
      </c>
      <c r="G2330" t="s">
        <v>5123</v>
      </c>
      <c r="H2330" t="s">
        <v>5124</v>
      </c>
      <c r="I2330" t="str">
        <f>HYPERLINK("https://zfin.org/ZDB-GENE-070424-74")</f>
        <v>https://zfin.org/ZDB-GENE-070424-74</v>
      </c>
      <c r="J2330" t="s">
        <v>5125</v>
      </c>
    </row>
    <row r="2331" spans="1:10" x14ac:dyDescent="0.2">
      <c r="A2331">
        <v>3.1789067957509098E-8</v>
      </c>
      <c r="B2331">
        <v>0.27227890207182898</v>
      </c>
      <c r="C2331">
        <v>0.51500000000000001</v>
      </c>
      <c r="D2331">
        <v>0.25800000000000001</v>
      </c>
      <c r="E2331">
        <v>4.41804466473461E-4</v>
      </c>
      <c r="F2331">
        <v>3</v>
      </c>
      <c r="G2331" t="s">
        <v>5126</v>
      </c>
      <c r="H2331" t="s">
        <v>5127</v>
      </c>
      <c r="I2331" t="str">
        <f>HYPERLINK("https://zfin.org/ZDB-GENE-040718-270")</f>
        <v>https://zfin.org/ZDB-GENE-040718-270</v>
      </c>
      <c r="J2331" t="s">
        <v>5128</v>
      </c>
    </row>
    <row r="2332" spans="1:10" x14ac:dyDescent="0.2">
      <c r="A2332">
        <v>3.3089208422855503E-8</v>
      </c>
      <c r="B2332">
        <v>0.29283137173781498</v>
      </c>
      <c r="C2332">
        <v>0.32600000000000001</v>
      </c>
      <c r="D2332">
        <v>0.14099999999999999</v>
      </c>
      <c r="E2332">
        <v>4.59873818660846E-4</v>
      </c>
      <c r="F2332">
        <v>3</v>
      </c>
      <c r="G2332" t="s">
        <v>5129</v>
      </c>
      <c r="H2332" t="s">
        <v>5130</v>
      </c>
      <c r="I2332" t="str">
        <f>HYPERLINK("https://zfin.org/ZDB-GENE-030131-5316")</f>
        <v>https://zfin.org/ZDB-GENE-030131-5316</v>
      </c>
      <c r="J2332" t="s">
        <v>5131</v>
      </c>
    </row>
    <row r="2333" spans="1:10" x14ac:dyDescent="0.2">
      <c r="A2333">
        <v>3.31069227277676E-8</v>
      </c>
      <c r="B2333">
        <v>0.276986362603938</v>
      </c>
      <c r="C2333">
        <v>0.26500000000000001</v>
      </c>
      <c r="D2333">
        <v>0.10199999999999999</v>
      </c>
      <c r="E2333">
        <v>4.6012001207051397E-4</v>
      </c>
      <c r="F2333">
        <v>3</v>
      </c>
      <c r="G2333" t="s">
        <v>5132</v>
      </c>
      <c r="H2333" t="s">
        <v>5133</v>
      </c>
      <c r="I2333" t="str">
        <f>HYPERLINK("https://zfin.org/ZDB-GENE-040912-15")</f>
        <v>https://zfin.org/ZDB-GENE-040912-15</v>
      </c>
      <c r="J2333" t="s">
        <v>5134</v>
      </c>
    </row>
    <row r="2334" spans="1:10" x14ac:dyDescent="0.2">
      <c r="A2334">
        <v>3.3347018225519498E-8</v>
      </c>
      <c r="B2334">
        <v>0.36195654075941303</v>
      </c>
      <c r="C2334">
        <v>0.59799999999999998</v>
      </c>
      <c r="D2334">
        <v>0.34799999999999998</v>
      </c>
      <c r="E2334">
        <v>4.6345685929827002E-4</v>
      </c>
      <c r="F2334">
        <v>3</v>
      </c>
      <c r="G2334" t="s">
        <v>2129</v>
      </c>
      <c r="H2334" t="s">
        <v>2130</v>
      </c>
      <c r="I2334" t="str">
        <f>HYPERLINK("https://zfin.org/ZDB-GENE-040801-1")</f>
        <v>https://zfin.org/ZDB-GENE-040801-1</v>
      </c>
      <c r="J2334" t="s">
        <v>2131</v>
      </c>
    </row>
    <row r="2335" spans="1:10" x14ac:dyDescent="0.2">
      <c r="A2335">
        <v>3.3857774675548902E-8</v>
      </c>
      <c r="B2335">
        <v>0.34374114486373702</v>
      </c>
      <c r="C2335">
        <v>0.439</v>
      </c>
      <c r="D2335">
        <v>0.218</v>
      </c>
      <c r="E2335">
        <v>4.7055535244077898E-4</v>
      </c>
      <c r="F2335">
        <v>3</v>
      </c>
      <c r="G2335" t="s">
        <v>5135</v>
      </c>
      <c r="H2335" t="s">
        <v>5136</v>
      </c>
      <c r="I2335" t="str">
        <f>HYPERLINK("https://zfin.org/ZDB-GENE-030912-11")</f>
        <v>https://zfin.org/ZDB-GENE-030912-11</v>
      </c>
      <c r="J2335" t="s">
        <v>5137</v>
      </c>
    </row>
    <row r="2336" spans="1:10" x14ac:dyDescent="0.2">
      <c r="A2336">
        <v>3.40085469660582E-8</v>
      </c>
      <c r="B2336">
        <v>0.31909512333097401</v>
      </c>
      <c r="C2336">
        <v>0.56100000000000005</v>
      </c>
      <c r="D2336">
        <v>0.30399999999999999</v>
      </c>
      <c r="E2336">
        <v>4.7265078573427801E-4</v>
      </c>
      <c r="F2336">
        <v>3</v>
      </c>
      <c r="G2336" t="s">
        <v>5138</v>
      </c>
      <c r="H2336" t="s">
        <v>5139</v>
      </c>
      <c r="I2336" t="str">
        <f>HYPERLINK("https://zfin.org/ZDB-GENE-040718-450")</f>
        <v>https://zfin.org/ZDB-GENE-040718-450</v>
      </c>
      <c r="J2336" t="s">
        <v>5140</v>
      </c>
    </row>
    <row r="2337" spans="1:10" x14ac:dyDescent="0.2">
      <c r="A2337">
        <v>3.65678717312945E-8</v>
      </c>
      <c r="B2337">
        <v>0.30605064903246498</v>
      </c>
      <c r="C2337">
        <v>0.42399999999999999</v>
      </c>
      <c r="D2337">
        <v>0.20699999999999999</v>
      </c>
      <c r="E2337">
        <v>5.0822028132153105E-4</v>
      </c>
      <c r="F2337">
        <v>3</v>
      </c>
      <c r="G2337" t="s">
        <v>1641</v>
      </c>
      <c r="H2337" t="s">
        <v>1642</v>
      </c>
      <c r="I2337" t="str">
        <f>HYPERLINK("https://zfin.org/ZDB-GENE-030131-670")</f>
        <v>https://zfin.org/ZDB-GENE-030131-670</v>
      </c>
      <c r="J2337" t="s">
        <v>1643</v>
      </c>
    </row>
    <row r="2338" spans="1:10" x14ac:dyDescent="0.2">
      <c r="A2338">
        <v>3.66087055850733E-8</v>
      </c>
      <c r="B2338">
        <v>0.27695732646370402</v>
      </c>
      <c r="C2338">
        <v>0.129</v>
      </c>
      <c r="D2338">
        <v>3.5000000000000003E-2</v>
      </c>
      <c r="E2338">
        <v>5.0878779022134899E-4</v>
      </c>
      <c r="F2338">
        <v>3</v>
      </c>
      <c r="G2338" t="s">
        <v>198</v>
      </c>
      <c r="H2338" t="s">
        <v>199</v>
      </c>
      <c r="I2338" t="str">
        <f>HYPERLINK("https://zfin.org/ZDB-GENE-060825-357")</f>
        <v>https://zfin.org/ZDB-GENE-060825-357</v>
      </c>
      <c r="J2338" t="s">
        <v>200</v>
      </c>
    </row>
    <row r="2339" spans="1:10" x14ac:dyDescent="0.2">
      <c r="A2339">
        <v>3.77086553688171E-8</v>
      </c>
      <c r="B2339">
        <v>-0.94991483809648203</v>
      </c>
      <c r="C2339">
        <v>5.2999999999999999E-2</v>
      </c>
      <c r="D2339">
        <v>0.25600000000000001</v>
      </c>
      <c r="E2339">
        <v>5.2407489231582E-4</v>
      </c>
      <c r="F2339">
        <v>3</v>
      </c>
      <c r="G2339" t="s">
        <v>5141</v>
      </c>
      <c r="H2339" t="s">
        <v>5142</v>
      </c>
      <c r="I2339" t="str">
        <f>HYPERLINK("https://zfin.org/ZDB-GENE-031112-4")</f>
        <v>https://zfin.org/ZDB-GENE-031112-4</v>
      </c>
      <c r="J2339" t="s">
        <v>5143</v>
      </c>
    </row>
    <row r="2340" spans="1:10" x14ac:dyDescent="0.2">
      <c r="A2340">
        <v>3.8818829701841799E-8</v>
      </c>
      <c r="B2340">
        <v>0.31189251680622398</v>
      </c>
      <c r="C2340">
        <v>0.52300000000000002</v>
      </c>
      <c r="D2340">
        <v>0.27300000000000002</v>
      </c>
      <c r="E2340">
        <v>5.3950409519619696E-4</v>
      </c>
      <c r="F2340">
        <v>3</v>
      </c>
      <c r="G2340" t="s">
        <v>5144</v>
      </c>
      <c r="H2340" t="s">
        <v>5145</v>
      </c>
      <c r="I2340" t="str">
        <f>HYPERLINK("https://zfin.org/ZDB-GENE-030408-5")</f>
        <v>https://zfin.org/ZDB-GENE-030408-5</v>
      </c>
      <c r="J2340" t="s">
        <v>5146</v>
      </c>
    </row>
    <row r="2341" spans="1:10" x14ac:dyDescent="0.2">
      <c r="A2341">
        <v>3.9237315521132098E-8</v>
      </c>
      <c r="B2341">
        <v>0.33923820536305499</v>
      </c>
      <c r="C2341">
        <v>0.90200000000000002</v>
      </c>
      <c r="D2341">
        <v>0.71699999999999997</v>
      </c>
      <c r="E2341">
        <v>5.4532021111269305E-4</v>
      </c>
      <c r="F2341">
        <v>3</v>
      </c>
      <c r="G2341" t="s">
        <v>5147</v>
      </c>
      <c r="H2341" t="s">
        <v>5148</v>
      </c>
      <c r="I2341" t="str">
        <f>HYPERLINK("https://zfin.org/ZDB-GENE-011205-8")</f>
        <v>https://zfin.org/ZDB-GENE-011205-8</v>
      </c>
      <c r="J2341" t="s">
        <v>5149</v>
      </c>
    </row>
    <row r="2342" spans="1:10" x14ac:dyDescent="0.2">
      <c r="A2342">
        <v>3.9970946909167801E-8</v>
      </c>
      <c r="B2342">
        <v>0.342692104007631</v>
      </c>
      <c r="C2342">
        <v>0.318</v>
      </c>
      <c r="D2342">
        <v>0.13800000000000001</v>
      </c>
      <c r="E2342">
        <v>5.5551622014361399E-4</v>
      </c>
      <c r="F2342">
        <v>3</v>
      </c>
      <c r="G2342" t="s">
        <v>5150</v>
      </c>
      <c r="H2342" t="s">
        <v>5151</v>
      </c>
      <c r="I2342" t="str">
        <f>HYPERLINK("https://zfin.org/ZDB-GENE-040426-2009")</f>
        <v>https://zfin.org/ZDB-GENE-040426-2009</v>
      </c>
      <c r="J2342" t="s">
        <v>5152</v>
      </c>
    </row>
    <row r="2343" spans="1:10" x14ac:dyDescent="0.2">
      <c r="A2343">
        <v>4.2246514403612501E-8</v>
      </c>
      <c r="B2343">
        <v>0.257793891138208</v>
      </c>
      <c r="C2343">
        <v>0.96199999999999997</v>
      </c>
      <c r="D2343">
        <v>0.88100000000000001</v>
      </c>
      <c r="E2343">
        <v>5.8714205718140601E-4</v>
      </c>
      <c r="F2343">
        <v>3</v>
      </c>
      <c r="G2343" t="s">
        <v>1629</v>
      </c>
      <c r="H2343" t="s">
        <v>1630</v>
      </c>
      <c r="I2343" t="str">
        <f>HYPERLINK("https://zfin.org/ZDB-GENE-040426-2756")</f>
        <v>https://zfin.org/ZDB-GENE-040426-2756</v>
      </c>
      <c r="J2343" t="s">
        <v>1631</v>
      </c>
    </row>
    <row r="2344" spans="1:10" x14ac:dyDescent="0.2">
      <c r="A2344">
        <v>4.3350265175325698E-8</v>
      </c>
      <c r="B2344">
        <v>0.289656725263432</v>
      </c>
      <c r="C2344">
        <v>0.24199999999999999</v>
      </c>
      <c r="D2344">
        <v>9.2999999999999999E-2</v>
      </c>
      <c r="E2344">
        <v>6.0248198540667605E-4</v>
      </c>
      <c r="F2344">
        <v>3</v>
      </c>
      <c r="G2344" t="s">
        <v>1549</v>
      </c>
      <c r="H2344" t="s">
        <v>1550</v>
      </c>
      <c r="I2344" t="str">
        <f>HYPERLINK("https://zfin.org/ZDB-GENE-090417-1")</f>
        <v>https://zfin.org/ZDB-GENE-090417-1</v>
      </c>
      <c r="J2344" t="s">
        <v>1551</v>
      </c>
    </row>
    <row r="2345" spans="1:10" x14ac:dyDescent="0.2">
      <c r="A2345">
        <v>4.3452446960925303E-8</v>
      </c>
      <c r="B2345">
        <v>0.31770532029562298</v>
      </c>
      <c r="C2345">
        <v>0.35599999999999998</v>
      </c>
      <c r="D2345">
        <v>0.16400000000000001</v>
      </c>
      <c r="E2345">
        <v>6.0390210786293995E-4</v>
      </c>
      <c r="F2345">
        <v>3</v>
      </c>
      <c r="G2345" t="s">
        <v>5153</v>
      </c>
      <c r="H2345" t="s">
        <v>5154</v>
      </c>
      <c r="I2345" t="str">
        <f>HYPERLINK("https://zfin.org/ZDB-GENE-040426-2303")</f>
        <v>https://zfin.org/ZDB-GENE-040426-2303</v>
      </c>
      <c r="J2345" t="s">
        <v>5155</v>
      </c>
    </row>
    <row r="2346" spans="1:10" x14ac:dyDescent="0.2">
      <c r="A2346">
        <v>4.3857777575916699E-8</v>
      </c>
      <c r="B2346">
        <v>0.32330148460855601</v>
      </c>
      <c r="C2346">
        <v>0.28799999999999998</v>
      </c>
      <c r="D2346">
        <v>0.122</v>
      </c>
      <c r="E2346">
        <v>6.0953539275008996E-4</v>
      </c>
      <c r="F2346">
        <v>3</v>
      </c>
      <c r="G2346" t="s">
        <v>5156</v>
      </c>
      <c r="H2346" t="s">
        <v>5157</v>
      </c>
      <c r="I2346" t="str">
        <f>HYPERLINK("https://zfin.org/ZDB-GENE-060616-375")</f>
        <v>https://zfin.org/ZDB-GENE-060616-375</v>
      </c>
      <c r="J2346" t="s">
        <v>5158</v>
      </c>
    </row>
    <row r="2347" spans="1:10" x14ac:dyDescent="0.2">
      <c r="A2347">
        <v>4.49989995811197E-8</v>
      </c>
      <c r="B2347">
        <v>0.26366337966659698</v>
      </c>
      <c r="C2347">
        <v>0.152</v>
      </c>
      <c r="D2347">
        <v>4.5999999999999999E-2</v>
      </c>
      <c r="E2347">
        <v>6.2539609617840103E-4</v>
      </c>
      <c r="F2347">
        <v>3</v>
      </c>
      <c r="G2347" t="s">
        <v>885</v>
      </c>
      <c r="H2347" t="s">
        <v>886</v>
      </c>
      <c r="I2347" t="str">
        <f>HYPERLINK("https://zfin.org/ZDB-GENE-050522-504")</f>
        <v>https://zfin.org/ZDB-GENE-050522-504</v>
      </c>
      <c r="J2347" t="s">
        <v>887</v>
      </c>
    </row>
    <row r="2348" spans="1:10" x14ac:dyDescent="0.2">
      <c r="A2348">
        <v>4.56508599753234E-8</v>
      </c>
      <c r="B2348">
        <v>0.28478010054909603</v>
      </c>
      <c r="C2348">
        <v>0.42399999999999999</v>
      </c>
      <c r="D2348">
        <v>0.20100000000000001</v>
      </c>
      <c r="E2348">
        <v>6.3445565193704495E-4</v>
      </c>
      <c r="F2348">
        <v>3</v>
      </c>
      <c r="G2348" t="s">
        <v>5159</v>
      </c>
      <c r="H2348" t="s">
        <v>5160</v>
      </c>
      <c r="I2348" t="str">
        <f>HYPERLINK("https://zfin.org/ZDB-GENE-060312-32")</f>
        <v>https://zfin.org/ZDB-GENE-060312-32</v>
      </c>
      <c r="J2348" t="s">
        <v>5161</v>
      </c>
    </row>
    <row r="2349" spans="1:10" x14ac:dyDescent="0.2">
      <c r="A2349">
        <v>4.7991887823139998E-8</v>
      </c>
      <c r="B2349">
        <v>0.27457677533338298</v>
      </c>
      <c r="C2349">
        <v>0.13600000000000001</v>
      </c>
      <c r="D2349">
        <v>3.9E-2</v>
      </c>
      <c r="E2349">
        <v>6.6699125696600004E-4</v>
      </c>
      <c r="F2349">
        <v>3</v>
      </c>
      <c r="G2349" t="s">
        <v>558</v>
      </c>
      <c r="H2349" t="s">
        <v>559</v>
      </c>
      <c r="I2349" t="str">
        <f>HYPERLINK("https://zfin.org/ZDB-GENE-061215-15")</f>
        <v>https://zfin.org/ZDB-GENE-061215-15</v>
      </c>
      <c r="J2349" t="s">
        <v>560</v>
      </c>
    </row>
    <row r="2350" spans="1:10" x14ac:dyDescent="0.2">
      <c r="A2350">
        <v>5.0777720087026299E-8</v>
      </c>
      <c r="B2350">
        <v>-0.73041250494348098</v>
      </c>
      <c r="C2350">
        <v>0.33300000000000002</v>
      </c>
      <c r="D2350">
        <v>0.48799999999999999</v>
      </c>
      <c r="E2350">
        <v>7.0570875376949104E-4</v>
      </c>
      <c r="F2350">
        <v>3</v>
      </c>
      <c r="G2350" t="s">
        <v>2448</v>
      </c>
      <c r="H2350" t="s">
        <v>2449</v>
      </c>
      <c r="I2350" t="str">
        <f>HYPERLINK("https://zfin.org/ZDB-GENE-031113-9")</f>
        <v>https://zfin.org/ZDB-GENE-031113-9</v>
      </c>
      <c r="J2350" t="s">
        <v>2450</v>
      </c>
    </row>
    <row r="2351" spans="1:10" x14ac:dyDescent="0.2">
      <c r="A2351">
        <v>5.3639068418468101E-8</v>
      </c>
      <c r="B2351">
        <v>-0.98427938481328503</v>
      </c>
      <c r="C2351">
        <v>5.2999999999999999E-2</v>
      </c>
      <c r="D2351">
        <v>0.253</v>
      </c>
      <c r="E2351">
        <v>7.4547577287986905E-4</v>
      </c>
      <c r="F2351">
        <v>3</v>
      </c>
      <c r="G2351" t="s">
        <v>2921</v>
      </c>
      <c r="H2351" t="s">
        <v>2922</v>
      </c>
      <c r="I2351" t="str">
        <f>HYPERLINK("https://zfin.org/ZDB-GENE-061103-355")</f>
        <v>https://zfin.org/ZDB-GENE-061103-355</v>
      </c>
      <c r="J2351" t="s">
        <v>2923</v>
      </c>
    </row>
    <row r="2352" spans="1:10" x14ac:dyDescent="0.2">
      <c r="A2352">
        <v>5.5652850468112699E-8</v>
      </c>
      <c r="B2352">
        <v>0.33262156084114802</v>
      </c>
      <c r="C2352">
        <v>0.83299999999999996</v>
      </c>
      <c r="D2352">
        <v>0.54600000000000004</v>
      </c>
      <c r="E2352">
        <v>7.7346331580583E-4</v>
      </c>
      <c r="F2352">
        <v>3</v>
      </c>
      <c r="G2352" t="s">
        <v>1408</v>
      </c>
      <c r="H2352" t="s">
        <v>1409</v>
      </c>
      <c r="I2352" t="str">
        <f>HYPERLINK("https://zfin.org/ZDB-GENE-050522-147")</f>
        <v>https://zfin.org/ZDB-GENE-050522-147</v>
      </c>
      <c r="J2352" t="s">
        <v>1410</v>
      </c>
    </row>
    <row r="2353" spans="1:10" x14ac:dyDescent="0.2">
      <c r="A2353">
        <v>5.8870351495024603E-8</v>
      </c>
      <c r="B2353">
        <v>-0.95336732069811403</v>
      </c>
      <c r="C2353">
        <v>7.5999999999999998E-2</v>
      </c>
      <c r="D2353">
        <v>0.27400000000000002</v>
      </c>
      <c r="E2353">
        <v>8.1818014507785202E-4</v>
      </c>
      <c r="F2353">
        <v>3</v>
      </c>
      <c r="G2353" t="s">
        <v>2763</v>
      </c>
      <c r="H2353" t="s">
        <v>2764</v>
      </c>
      <c r="I2353" t="str">
        <f>HYPERLINK("https://zfin.org/")</f>
        <v>https://zfin.org/</v>
      </c>
    </row>
    <row r="2354" spans="1:10" x14ac:dyDescent="0.2">
      <c r="A2354">
        <v>6.0060627002934606E-8</v>
      </c>
      <c r="B2354">
        <v>0.26266099085917599</v>
      </c>
      <c r="C2354">
        <v>0.17399999999999999</v>
      </c>
      <c r="D2354">
        <v>5.7000000000000002E-2</v>
      </c>
      <c r="E2354">
        <v>8.3472259408678496E-4</v>
      </c>
      <c r="F2354">
        <v>3</v>
      </c>
      <c r="G2354" t="s">
        <v>105</v>
      </c>
      <c r="H2354" t="s">
        <v>106</v>
      </c>
      <c r="I2354" t="str">
        <f>HYPERLINK("https://zfin.org/")</f>
        <v>https://zfin.org/</v>
      </c>
      <c r="J2354" t="s">
        <v>107</v>
      </c>
    </row>
    <row r="2355" spans="1:10" x14ac:dyDescent="0.2">
      <c r="A2355">
        <v>6.2359338969816796E-8</v>
      </c>
      <c r="B2355">
        <v>0.26796669146790397</v>
      </c>
      <c r="C2355">
        <v>0.34799999999999998</v>
      </c>
      <c r="D2355">
        <v>0.156</v>
      </c>
      <c r="E2355">
        <v>8.6667009300251405E-4</v>
      </c>
      <c r="F2355">
        <v>3</v>
      </c>
      <c r="G2355" t="s">
        <v>5162</v>
      </c>
      <c r="H2355" t="s">
        <v>5163</v>
      </c>
      <c r="I2355" t="str">
        <f>HYPERLINK("https://zfin.org/ZDB-GENE-030131-2182")</f>
        <v>https://zfin.org/ZDB-GENE-030131-2182</v>
      </c>
      <c r="J2355" t="s">
        <v>5164</v>
      </c>
    </row>
    <row r="2356" spans="1:10" x14ac:dyDescent="0.2">
      <c r="A2356">
        <v>6.3262189737373506E-8</v>
      </c>
      <c r="B2356">
        <v>0.31746814815493402</v>
      </c>
      <c r="C2356">
        <v>0.68899999999999995</v>
      </c>
      <c r="D2356">
        <v>0.40899999999999997</v>
      </c>
      <c r="E2356">
        <v>8.7921791297001703E-4</v>
      </c>
      <c r="F2356">
        <v>3</v>
      </c>
      <c r="G2356" t="s">
        <v>1794</v>
      </c>
      <c r="H2356" t="s">
        <v>1795</v>
      </c>
      <c r="I2356" t="str">
        <f>HYPERLINK("https://zfin.org/ZDB-GENE-041111-261")</f>
        <v>https://zfin.org/ZDB-GENE-041111-261</v>
      </c>
      <c r="J2356" t="s">
        <v>1796</v>
      </c>
    </row>
    <row r="2357" spans="1:10" x14ac:dyDescent="0.2">
      <c r="A2357">
        <v>6.3446539047107705E-8</v>
      </c>
      <c r="B2357">
        <v>0.31874412388981599</v>
      </c>
      <c r="C2357">
        <v>0.22</v>
      </c>
      <c r="D2357">
        <v>8.2000000000000003E-2</v>
      </c>
      <c r="E2357">
        <v>8.8177999967670195E-4</v>
      </c>
      <c r="F2357">
        <v>3</v>
      </c>
      <c r="G2357" t="s">
        <v>5165</v>
      </c>
      <c r="H2357" t="s">
        <v>5166</v>
      </c>
      <c r="I2357" t="str">
        <f>HYPERLINK("https://zfin.org/ZDB-GENE-030826-29")</f>
        <v>https://zfin.org/ZDB-GENE-030826-29</v>
      </c>
      <c r="J2357" t="s">
        <v>5167</v>
      </c>
    </row>
    <row r="2358" spans="1:10" x14ac:dyDescent="0.2">
      <c r="A2358">
        <v>6.4252737190661E-8</v>
      </c>
      <c r="B2358">
        <v>-0.72280823726360499</v>
      </c>
      <c r="C2358">
        <v>6.8000000000000005E-2</v>
      </c>
      <c r="D2358">
        <v>0.27500000000000002</v>
      </c>
      <c r="E2358">
        <v>8.9298454147580602E-4</v>
      </c>
      <c r="F2358">
        <v>3</v>
      </c>
      <c r="G2358" t="s">
        <v>2604</v>
      </c>
      <c r="H2358" t="s">
        <v>2605</v>
      </c>
      <c r="I2358" t="str">
        <f>HYPERLINK("https://zfin.org/ZDB-GENE-091204-265")</f>
        <v>https://zfin.org/ZDB-GENE-091204-265</v>
      </c>
      <c r="J2358" t="s">
        <v>2606</v>
      </c>
    </row>
    <row r="2359" spans="1:10" x14ac:dyDescent="0.2">
      <c r="A2359">
        <v>6.5899798824765506E-8</v>
      </c>
      <c r="B2359">
        <v>-0.710181670552125</v>
      </c>
      <c r="C2359">
        <v>0.03</v>
      </c>
      <c r="D2359">
        <v>0.22500000000000001</v>
      </c>
      <c r="E2359">
        <v>9.1587540406659E-4</v>
      </c>
      <c r="F2359">
        <v>3</v>
      </c>
      <c r="G2359" t="s">
        <v>5168</v>
      </c>
      <c r="H2359" t="s">
        <v>5169</v>
      </c>
      <c r="I2359" t="str">
        <f>HYPERLINK("https://zfin.org/ZDB-GENE-120215-186")</f>
        <v>https://zfin.org/ZDB-GENE-120215-186</v>
      </c>
      <c r="J2359" t="s">
        <v>5170</v>
      </c>
    </row>
    <row r="2360" spans="1:10" x14ac:dyDescent="0.2">
      <c r="A2360">
        <v>6.86995712203135E-8</v>
      </c>
      <c r="B2360">
        <v>0.257069772161444</v>
      </c>
      <c r="C2360">
        <v>0.318</v>
      </c>
      <c r="D2360">
        <v>0.13600000000000001</v>
      </c>
      <c r="E2360">
        <v>9.5478664081991699E-4</v>
      </c>
      <c r="F2360">
        <v>3</v>
      </c>
      <c r="G2360" t="s">
        <v>5171</v>
      </c>
      <c r="H2360" t="s">
        <v>5172</v>
      </c>
      <c r="I2360" t="str">
        <f>HYPERLINK("https://zfin.org/ZDB-GENE-060825-216")</f>
        <v>https://zfin.org/ZDB-GENE-060825-216</v>
      </c>
      <c r="J2360" t="s">
        <v>5173</v>
      </c>
    </row>
    <row r="2361" spans="1:10" x14ac:dyDescent="0.2">
      <c r="A2361">
        <v>7.0200130121093102E-8</v>
      </c>
      <c r="B2361">
        <v>-0.67622326104212205</v>
      </c>
      <c r="C2361">
        <v>0.03</v>
      </c>
      <c r="D2361">
        <v>0.22500000000000001</v>
      </c>
      <c r="E2361">
        <v>9.75641408422952E-4</v>
      </c>
      <c r="F2361">
        <v>3</v>
      </c>
      <c r="G2361" t="s">
        <v>5174</v>
      </c>
      <c r="H2361" t="s">
        <v>5175</v>
      </c>
      <c r="I2361" t="str">
        <f>HYPERLINK("https://zfin.org/ZDB-GENE-041014-252")</f>
        <v>https://zfin.org/ZDB-GENE-041014-252</v>
      </c>
      <c r="J2361" t="s">
        <v>5176</v>
      </c>
    </row>
    <row r="2362" spans="1:10" x14ac:dyDescent="0.2">
      <c r="A2362">
        <v>7.1853244225638301E-8</v>
      </c>
      <c r="B2362">
        <v>-0.66567771527852704</v>
      </c>
      <c r="C2362">
        <v>1.4999999999999999E-2</v>
      </c>
      <c r="D2362">
        <v>0.20699999999999999</v>
      </c>
      <c r="E2362">
        <v>9.9861638824792201E-4</v>
      </c>
      <c r="F2362">
        <v>3</v>
      </c>
      <c r="G2362" t="s">
        <v>2966</v>
      </c>
      <c r="H2362" t="s">
        <v>2967</v>
      </c>
      <c r="I2362" t="str">
        <f>HYPERLINK("https://zfin.org/ZDB-GENE-040718-449")</f>
        <v>https://zfin.org/ZDB-GENE-040718-449</v>
      </c>
      <c r="J2362" t="s">
        <v>2968</v>
      </c>
    </row>
    <row r="2363" spans="1:10" x14ac:dyDescent="0.2">
      <c r="A2363">
        <v>8.2924492739854795E-198</v>
      </c>
      <c r="B2363">
        <v>1.8935638275909401</v>
      </c>
      <c r="C2363">
        <v>0.76</v>
      </c>
      <c r="D2363">
        <v>2.9000000000000001E-2</v>
      </c>
      <c r="E2363">
        <v>1.1524846000985E-193</v>
      </c>
      <c r="F2363">
        <v>4</v>
      </c>
      <c r="G2363" t="s">
        <v>5177</v>
      </c>
      <c r="H2363" t="s">
        <v>5178</v>
      </c>
      <c r="I2363" t="str">
        <f>HYPERLINK("https://zfin.org/ZDB-GENE-010320-1")</f>
        <v>https://zfin.org/ZDB-GENE-010320-1</v>
      </c>
      <c r="J2363" t="s">
        <v>5179</v>
      </c>
    </row>
    <row r="2364" spans="1:10" x14ac:dyDescent="0.2">
      <c r="A2364">
        <v>2.1770627477924902E-139</v>
      </c>
      <c r="B2364">
        <v>1.3711660106863299</v>
      </c>
      <c r="C2364">
        <v>0.4</v>
      </c>
      <c r="D2364">
        <v>8.9999999999999993E-3</v>
      </c>
      <c r="E2364">
        <v>3.0256818068819997E-135</v>
      </c>
      <c r="F2364">
        <v>4</v>
      </c>
      <c r="G2364" t="s">
        <v>5180</v>
      </c>
      <c r="H2364" t="s">
        <v>5181</v>
      </c>
      <c r="I2364" t="str">
        <f>HYPERLINK("https://zfin.org/ZDB-GENE-030131-9652")</f>
        <v>https://zfin.org/ZDB-GENE-030131-9652</v>
      </c>
      <c r="J2364" t="s">
        <v>5182</v>
      </c>
    </row>
    <row r="2365" spans="1:10" x14ac:dyDescent="0.2">
      <c r="A2365">
        <v>4.9835292733316502E-138</v>
      </c>
      <c r="B2365">
        <v>1.1403471029116099</v>
      </c>
      <c r="C2365">
        <v>0.49299999999999999</v>
      </c>
      <c r="D2365">
        <v>1.6E-2</v>
      </c>
      <c r="E2365">
        <v>6.9261089840763201E-134</v>
      </c>
      <c r="F2365">
        <v>4</v>
      </c>
      <c r="G2365" t="s">
        <v>4455</v>
      </c>
      <c r="H2365" t="s">
        <v>4456</v>
      </c>
      <c r="I2365" t="str">
        <f>HYPERLINK("https://zfin.org/ZDB-GENE-050208-508")</f>
        <v>https://zfin.org/ZDB-GENE-050208-508</v>
      </c>
      <c r="J2365" t="s">
        <v>4457</v>
      </c>
    </row>
    <row r="2366" spans="1:10" x14ac:dyDescent="0.2">
      <c r="A2366">
        <v>1.47844852843543E-136</v>
      </c>
      <c r="B2366">
        <v>1.0721961673470899</v>
      </c>
      <c r="C2366">
        <v>0.46700000000000003</v>
      </c>
      <c r="D2366">
        <v>1.4E-2</v>
      </c>
      <c r="E2366">
        <v>2.0547477648195699E-132</v>
      </c>
      <c r="F2366">
        <v>4</v>
      </c>
      <c r="G2366" t="s">
        <v>3963</v>
      </c>
      <c r="H2366" t="s">
        <v>3964</v>
      </c>
      <c r="I2366" t="str">
        <f>HYPERLINK("https://zfin.org/ZDB-GENE-000208-21")</f>
        <v>https://zfin.org/ZDB-GENE-000208-21</v>
      </c>
      <c r="J2366" t="s">
        <v>3965</v>
      </c>
    </row>
    <row r="2367" spans="1:10" x14ac:dyDescent="0.2">
      <c r="A2367">
        <v>3.4635743846364501E-133</v>
      </c>
      <c r="B2367">
        <v>1.5577725461805301</v>
      </c>
      <c r="C2367">
        <v>0.54700000000000004</v>
      </c>
      <c r="D2367">
        <v>2.1999999999999999E-2</v>
      </c>
      <c r="E2367">
        <v>4.8136756797677397E-129</v>
      </c>
      <c r="F2367">
        <v>4</v>
      </c>
      <c r="G2367" t="s">
        <v>5183</v>
      </c>
      <c r="H2367" t="s">
        <v>5184</v>
      </c>
      <c r="I2367" t="str">
        <f>HYPERLINK("https://zfin.org/ZDB-GENE-030131-2453")</f>
        <v>https://zfin.org/ZDB-GENE-030131-2453</v>
      </c>
      <c r="J2367" t="s">
        <v>5185</v>
      </c>
    </row>
    <row r="2368" spans="1:10" x14ac:dyDescent="0.2">
      <c r="A2368">
        <v>5.0019081027267798E-133</v>
      </c>
      <c r="B2368">
        <v>1.5064107236983799</v>
      </c>
      <c r="C2368">
        <v>0.68</v>
      </c>
      <c r="D2368">
        <v>3.9E-2</v>
      </c>
      <c r="E2368">
        <v>6.9516518811696797E-129</v>
      </c>
      <c r="F2368">
        <v>4</v>
      </c>
      <c r="G2368" t="s">
        <v>4318</v>
      </c>
      <c r="H2368" t="s">
        <v>4319</v>
      </c>
      <c r="I2368" t="str">
        <f>HYPERLINK("https://zfin.org/ZDB-GENE-030131-9771")</f>
        <v>https://zfin.org/ZDB-GENE-030131-9771</v>
      </c>
      <c r="J2368" t="s">
        <v>4320</v>
      </c>
    </row>
    <row r="2369" spans="1:10" x14ac:dyDescent="0.2">
      <c r="A2369">
        <v>7.2113143866944297E-127</v>
      </c>
      <c r="B2369">
        <v>1.4561469667801701</v>
      </c>
      <c r="C2369">
        <v>0.65300000000000002</v>
      </c>
      <c r="D2369">
        <v>3.7999999999999999E-2</v>
      </c>
      <c r="E2369">
        <v>1.0022284734627901E-122</v>
      </c>
      <c r="F2369">
        <v>4</v>
      </c>
      <c r="G2369" t="s">
        <v>5186</v>
      </c>
      <c r="H2369" t="s">
        <v>5187</v>
      </c>
      <c r="I2369" t="str">
        <f>HYPERLINK("https://zfin.org/ZDB-GENE-020419-40")</f>
        <v>https://zfin.org/ZDB-GENE-020419-40</v>
      </c>
      <c r="J2369" t="s">
        <v>5188</v>
      </c>
    </row>
    <row r="2370" spans="1:10" x14ac:dyDescent="0.2">
      <c r="A2370">
        <v>4.4193901524342004E-121</v>
      </c>
      <c r="B2370">
        <v>1.31261006899744</v>
      </c>
      <c r="C2370">
        <v>0.58699999999999997</v>
      </c>
      <c r="D2370">
        <v>0.03</v>
      </c>
      <c r="E2370">
        <v>6.1420684338530503E-117</v>
      </c>
      <c r="F2370">
        <v>4</v>
      </c>
      <c r="G2370" t="s">
        <v>4082</v>
      </c>
      <c r="H2370" t="s">
        <v>4083</v>
      </c>
      <c r="I2370" t="str">
        <f>HYPERLINK("https://zfin.org/ZDB-GENE-020418-1")</f>
        <v>https://zfin.org/ZDB-GENE-020418-1</v>
      </c>
      <c r="J2370" t="s">
        <v>4084</v>
      </c>
    </row>
    <row r="2371" spans="1:10" x14ac:dyDescent="0.2">
      <c r="A2371">
        <v>6.1461944308572795E-113</v>
      </c>
      <c r="B2371">
        <v>1.6887427689045</v>
      </c>
      <c r="C2371">
        <v>0.69299999999999995</v>
      </c>
      <c r="D2371">
        <v>5.0999999999999997E-2</v>
      </c>
      <c r="E2371">
        <v>8.5419810200054407E-109</v>
      </c>
      <c r="F2371">
        <v>4</v>
      </c>
      <c r="G2371" t="s">
        <v>4115</v>
      </c>
      <c r="H2371" t="s">
        <v>4116</v>
      </c>
      <c r="I2371" t="str">
        <f>HYPERLINK("https://zfin.org/ZDB-GENE-030515-3")</f>
        <v>https://zfin.org/ZDB-GENE-030515-3</v>
      </c>
      <c r="J2371" t="s">
        <v>4117</v>
      </c>
    </row>
    <row r="2372" spans="1:10" x14ac:dyDescent="0.2">
      <c r="A2372">
        <v>1.9315790965701099E-100</v>
      </c>
      <c r="B2372">
        <v>1.5352714618525201</v>
      </c>
      <c r="C2372">
        <v>0.64</v>
      </c>
      <c r="D2372">
        <v>4.8000000000000001E-2</v>
      </c>
      <c r="E2372">
        <v>2.6845086284131399E-96</v>
      </c>
      <c r="F2372">
        <v>4</v>
      </c>
      <c r="G2372" t="s">
        <v>5189</v>
      </c>
      <c r="H2372" t="s">
        <v>5190</v>
      </c>
      <c r="I2372" t="str">
        <f>HYPERLINK("https://zfin.org/ZDB-GENE-030404-1")</f>
        <v>https://zfin.org/ZDB-GENE-030404-1</v>
      </c>
      <c r="J2372" t="s">
        <v>5191</v>
      </c>
    </row>
    <row r="2373" spans="1:10" x14ac:dyDescent="0.2">
      <c r="A2373">
        <v>2.7879382973415701E-100</v>
      </c>
      <c r="B2373">
        <v>0.91034129759154303</v>
      </c>
      <c r="C2373">
        <v>0.38700000000000001</v>
      </c>
      <c r="D2373">
        <v>1.4E-2</v>
      </c>
      <c r="E2373">
        <v>3.8746766456453101E-96</v>
      </c>
      <c r="F2373">
        <v>4</v>
      </c>
      <c r="G2373" t="s">
        <v>5192</v>
      </c>
      <c r="H2373" t="s">
        <v>5193</v>
      </c>
      <c r="I2373" t="str">
        <f>HYPERLINK("https://zfin.org/ZDB-GENE-050506-59")</f>
        <v>https://zfin.org/ZDB-GENE-050506-59</v>
      </c>
      <c r="J2373" t="s">
        <v>5194</v>
      </c>
    </row>
    <row r="2374" spans="1:10" x14ac:dyDescent="0.2">
      <c r="A2374">
        <v>3.0326634047908799E-98</v>
      </c>
      <c r="B2374">
        <v>1.1366708918642501</v>
      </c>
      <c r="C2374">
        <v>0.50700000000000001</v>
      </c>
      <c r="D2374">
        <v>2.8000000000000001E-2</v>
      </c>
      <c r="E2374">
        <v>4.2147955999783597E-94</v>
      </c>
      <c r="F2374">
        <v>4</v>
      </c>
      <c r="G2374" t="s">
        <v>3757</v>
      </c>
      <c r="H2374" t="s">
        <v>3758</v>
      </c>
      <c r="I2374" t="str">
        <f>HYPERLINK("https://zfin.org/ZDB-GENE-040912-160")</f>
        <v>https://zfin.org/ZDB-GENE-040912-160</v>
      </c>
      <c r="J2374" t="s">
        <v>3759</v>
      </c>
    </row>
    <row r="2375" spans="1:10" x14ac:dyDescent="0.2">
      <c r="A2375">
        <v>4.8527664424663497E-98</v>
      </c>
      <c r="B2375">
        <v>1.09453403723156</v>
      </c>
      <c r="C2375">
        <v>0.46700000000000003</v>
      </c>
      <c r="D2375">
        <v>2.3E-2</v>
      </c>
      <c r="E2375">
        <v>6.74437480173973E-94</v>
      </c>
      <c r="F2375">
        <v>4</v>
      </c>
      <c r="G2375" t="s">
        <v>3910</v>
      </c>
      <c r="H2375" t="s">
        <v>3911</v>
      </c>
      <c r="I2375" t="str">
        <f>HYPERLINK("https://zfin.org/")</f>
        <v>https://zfin.org/</v>
      </c>
    </row>
    <row r="2376" spans="1:10" x14ac:dyDescent="0.2">
      <c r="A2376">
        <v>2.5792743360772999E-97</v>
      </c>
      <c r="B2376">
        <v>1.18674501231673</v>
      </c>
      <c r="C2376">
        <v>0.46700000000000003</v>
      </c>
      <c r="D2376">
        <v>2.4E-2</v>
      </c>
      <c r="E2376">
        <v>3.5846754722802301E-93</v>
      </c>
      <c r="F2376">
        <v>4</v>
      </c>
      <c r="G2376" t="s">
        <v>4896</v>
      </c>
      <c r="H2376" t="s">
        <v>4897</v>
      </c>
      <c r="I2376" t="str">
        <f>HYPERLINK("https://zfin.org/ZDB-GENE-041114-171")</f>
        <v>https://zfin.org/ZDB-GENE-041114-171</v>
      </c>
      <c r="J2376" t="s">
        <v>4898</v>
      </c>
    </row>
    <row r="2377" spans="1:10" x14ac:dyDescent="0.2">
      <c r="A2377">
        <v>4.5750360607590103E-91</v>
      </c>
      <c r="B2377">
        <v>1.18468551030146</v>
      </c>
      <c r="C2377">
        <v>0.41299999999999998</v>
      </c>
      <c r="D2377">
        <v>1.9E-2</v>
      </c>
      <c r="E2377">
        <v>6.3583851172428703E-87</v>
      </c>
      <c r="F2377">
        <v>4</v>
      </c>
      <c r="G2377" t="s">
        <v>4023</v>
      </c>
      <c r="H2377" t="s">
        <v>4024</v>
      </c>
      <c r="I2377" t="str">
        <f>HYPERLINK("https://zfin.org/ZDB-GENE-030827-5")</f>
        <v>https://zfin.org/ZDB-GENE-030827-5</v>
      </c>
      <c r="J2377" t="s">
        <v>4025</v>
      </c>
    </row>
    <row r="2378" spans="1:10" x14ac:dyDescent="0.2">
      <c r="A2378">
        <v>7.1739762018033599E-90</v>
      </c>
      <c r="B2378">
        <v>1.94422234341097</v>
      </c>
      <c r="C2378">
        <v>0.69299999999999995</v>
      </c>
      <c r="D2378">
        <v>6.8000000000000005E-2</v>
      </c>
      <c r="E2378">
        <v>9.9703921252663103E-86</v>
      </c>
      <c r="F2378">
        <v>4</v>
      </c>
      <c r="G2378" t="s">
        <v>3772</v>
      </c>
      <c r="H2378" t="s">
        <v>3773</v>
      </c>
      <c r="I2378" t="str">
        <f>HYPERLINK("https://zfin.org/ZDB-GENE-051030-48")</f>
        <v>https://zfin.org/ZDB-GENE-051030-48</v>
      </c>
      <c r="J2378" t="s">
        <v>3774</v>
      </c>
    </row>
    <row r="2379" spans="1:10" x14ac:dyDescent="0.2">
      <c r="A2379">
        <v>1.1210314077721401E-83</v>
      </c>
      <c r="B2379">
        <v>1.3917696769169301</v>
      </c>
      <c r="C2379">
        <v>0.6</v>
      </c>
      <c r="D2379">
        <v>5.2999999999999999E-2</v>
      </c>
      <c r="E2379">
        <v>1.5580094505217201E-79</v>
      </c>
      <c r="F2379">
        <v>4</v>
      </c>
      <c r="G2379" t="s">
        <v>4845</v>
      </c>
      <c r="H2379" t="s">
        <v>4846</v>
      </c>
      <c r="I2379" t="str">
        <f>HYPERLINK("https://zfin.org/ZDB-GENE-040801-112")</f>
        <v>https://zfin.org/ZDB-GENE-040801-112</v>
      </c>
      <c r="J2379" t="s">
        <v>4847</v>
      </c>
    </row>
    <row r="2380" spans="1:10" x14ac:dyDescent="0.2">
      <c r="A2380">
        <v>1.5025493816367299E-82</v>
      </c>
      <c r="B2380">
        <v>0.45901142540004097</v>
      </c>
      <c r="C2380">
        <v>0.21299999999999999</v>
      </c>
      <c r="D2380">
        <v>4.0000000000000001E-3</v>
      </c>
      <c r="E2380">
        <v>2.08824313059873E-78</v>
      </c>
      <c r="F2380">
        <v>4</v>
      </c>
      <c r="G2380" t="s">
        <v>5195</v>
      </c>
      <c r="H2380" t="s">
        <v>5196</v>
      </c>
      <c r="I2380" t="str">
        <f>HYPERLINK("https://zfin.org/ZDB-GENE-040930-6")</f>
        <v>https://zfin.org/ZDB-GENE-040930-6</v>
      </c>
      <c r="J2380" t="s">
        <v>5197</v>
      </c>
    </row>
    <row r="2381" spans="1:10" x14ac:dyDescent="0.2">
      <c r="A2381">
        <v>1.88519572204418E-81</v>
      </c>
      <c r="B2381">
        <v>0.77731792472683403</v>
      </c>
      <c r="C2381">
        <v>0.38700000000000001</v>
      </c>
      <c r="D2381">
        <v>1.9E-2</v>
      </c>
      <c r="E2381">
        <v>2.6200450144969901E-77</v>
      </c>
      <c r="F2381">
        <v>4</v>
      </c>
      <c r="G2381" t="s">
        <v>5198</v>
      </c>
      <c r="H2381" t="s">
        <v>5199</v>
      </c>
      <c r="I2381" t="str">
        <f>HYPERLINK("https://zfin.org/ZDB-GENE-040426-2923")</f>
        <v>https://zfin.org/ZDB-GENE-040426-2923</v>
      </c>
      <c r="J2381" t="s">
        <v>5200</v>
      </c>
    </row>
    <row r="2382" spans="1:10" x14ac:dyDescent="0.2">
      <c r="A2382">
        <v>4.49301707578422E-80</v>
      </c>
      <c r="B2382">
        <v>1.3500651807916499</v>
      </c>
      <c r="C2382">
        <v>0.44</v>
      </c>
      <c r="D2382">
        <v>2.5999999999999999E-2</v>
      </c>
      <c r="E2382">
        <v>6.2443951319249095E-76</v>
      </c>
      <c r="F2382">
        <v>4</v>
      </c>
      <c r="G2382" t="s">
        <v>3667</v>
      </c>
      <c r="H2382" t="s">
        <v>3668</v>
      </c>
      <c r="I2382" t="str">
        <f>HYPERLINK("https://zfin.org/ZDB-GENE-081022-132")</f>
        <v>https://zfin.org/ZDB-GENE-081022-132</v>
      </c>
      <c r="J2382" t="s">
        <v>3669</v>
      </c>
    </row>
    <row r="2383" spans="1:10" x14ac:dyDescent="0.2">
      <c r="A2383">
        <v>6.5434516646910897E-73</v>
      </c>
      <c r="B2383">
        <v>0.82129483837282302</v>
      </c>
      <c r="C2383">
        <v>0.33300000000000002</v>
      </c>
      <c r="D2383">
        <v>1.6E-2</v>
      </c>
      <c r="E2383">
        <v>9.0940891235876802E-69</v>
      </c>
      <c r="F2383">
        <v>4</v>
      </c>
      <c r="G2383" t="s">
        <v>3781</v>
      </c>
      <c r="H2383" t="s">
        <v>3782</v>
      </c>
      <c r="I2383" t="str">
        <f>HYPERLINK("https://zfin.org/ZDB-GENE-030616-400")</f>
        <v>https://zfin.org/ZDB-GENE-030616-400</v>
      </c>
      <c r="J2383" t="s">
        <v>3783</v>
      </c>
    </row>
    <row r="2384" spans="1:10" x14ac:dyDescent="0.2">
      <c r="A2384">
        <v>1.61048007544005E-72</v>
      </c>
      <c r="B2384">
        <v>1.19668999242281</v>
      </c>
      <c r="C2384">
        <v>0.34699999999999998</v>
      </c>
      <c r="D2384">
        <v>1.7000000000000001E-2</v>
      </c>
      <c r="E2384">
        <v>2.2382452088465899E-68</v>
      </c>
      <c r="F2384">
        <v>4</v>
      </c>
      <c r="G2384" t="s">
        <v>3625</v>
      </c>
      <c r="H2384" t="s">
        <v>3626</v>
      </c>
      <c r="I2384" t="str">
        <f>HYPERLINK("https://zfin.org/ZDB-GENE-050208-620")</f>
        <v>https://zfin.org/ZDB-GENE-050208-620</v>
      </c>
      <c r="J2384" t="s">
        <v>3627</v>
      </c>
    </row>
    <row r="2385" spans="1:10" x14ac:dyDescent="0.2">
      <c r="A2385">
        <v>1.9551095724219599E-72</v>
      </c>
      <c r="B2385">
        <v>1.5322949885655801</v>
      </c>
      <c r="C2385">
        <v>0.48</v>
      </c>
      <c r="D2385">
        <v>3.7999999999999999E-2</v>
      </c>
      <c r="E2385">
        <v>2.7172112837520398E-68</v>
      </c>
      <c r="F2385">
        <v>4</v>
      </c>
      <c r="G2385" t="s">
        <v>5201</v>
      </c>
      <c r="H2385" t="s">
        <v>5202</v>
      </c>
      <c r="I2385" t="str">
        <f>HYPERLINK("https://zfin.org/ZDB-GENE-050327-77")</f>
        <v>https://zfin.org/ZDB-GENE-050327-77</v>
      </c>
      <c r="J2385" t="s">
        <v>5203</v>
      </c>
    </row>
    <row r="2386" spans="1:10" x14ac:dyDescent="0.2">
      <c r="A2386">
        <v>1.98098645409333E-72</v>
      </c>
      <c r="B2386">
        <v>0.98053478699725904</v>
      </c>
      <c r="C2386">
        <v>0.41299999999999998</v>
      </c>
      <c r="D2386">
        <v>2.5999999999999999E-2</v>
      </c>
      <c r="E2386">
        <v>2.75317497389891E-68</v>
      </c>
      <c r="F2386">
        <v>4</v>
      </c>
      <c r="G2386" t="s">
        <v>5204</v>
      </c>
      <c r="H2386" t="s">
        <v>5205</v>
      </c>
      <c r="I2386" t="str">
        <f>HYPERLINK("https://zfin.org/ZDB-GENE-030131-235")</f>
        <v>https://zfin.org/ZDB-GENE-030131-235</v>
      </c>
      <c r="J2386" t="s">
        <v>5206</v>
      </c>
    </row>
    <row r="2387" spans="1:10" x14ac:dyDescent="0.2">
      <c r="A2387">
        <v>4.5090453380748501E-72</v>
      </c>
      <c r="B2387">
        <v>0.86593293099179003</v>
      </c>
      <c r="C2387">
        <v>0.28000000000000003</v>
      </c>
      <c r="D2387">
        <v>0.01</v>
      </c>
      <c r="E2387">
        <v>6.2666712108564303E-68</v>
      </c>
      <c r="F2387">
        <v>4</v>
      </c>
      <c r="G2387" t="s">
        <v>3748</v>
      </c>
      <c r="H2387" t="s">
        <v>3749</v>
      </c>
      <c r="I2387" t="str">
        <f>HYPERLINK("https://zfin.org/ZDB-GENE-040801-161")</f>
        <v>https://zfin.org/ZDB-GENE-040801-161</v>
      </c>
      <c r="J2387" t="s">
        <v>3750</v>
      </c>
    </row>
    <row r="2388" spans="1:10" x14ac:dyDescent="0.2">
      <c r="A2388">
        <v>7.1390339895327302E-69</v>
      </c>
      <c r="B2388">
        <v>0.96815280149997196</v>
      </c>
      <c r="C2388">
        <v>0.53300000000000003</v>
      </c>
      <c r="D2388">
        <v>4.8000000000000001E-2</v>
      </c>
      <c r="E2388">
        <v>9.9218294386525904E-65</v>
      </c>
      <c r="F2388">
        <v>4</v>
      </c>
      <c r="G2388" t="s">
        <v>5207</v>
      </c>
      <c r="H2388" t="s">
        <v>5208</v>
      </c>
      <c r="I2388" t="str">
        <f>HYPERLINK("https://zfin.org/ZDB-GENE-100922-200")</f>
        <v>https://zfin.org/ZDB-GENE-100922-200</v>
      </c>
      <c r="J2388" t="s">
        <v>5209</v>
      </c>
    </row>
    <row r="2389" spans="1:10" x14ac:dyDescent="0.2">
      <c r="A2389">
        <v>6.3361624956761602E-67</v>
      </c>
      <c r="B2389">
        <v>0.79888761994615598</v>
      </c>
      <c r="C2389">
        <v>0.33300000000000002</v>
      </c>
      <c r="D2389">
        <v>1.7999999999999999E-2</v>
      </c>
      <c r="E2389">
        <v>8.8059986364907205E-63</v>
      </c>
      <c r="F2389">
        <v>4</v>
      </c>
      <c r="G2389" t="s">
        <v>4330</v>
      </c>
      <c r="H2389" t="s">
        <v>4331</v>
      </c>
      <c r="I2389" t="str">
        <f>HYPERLINK("https://zfin.org/ZDB-GENE-041111-282")</f>
        <v>https://zfin.org/ZDB-GENE-041111-282</v>
      </c>
      <c r="J2389" t="s">
        <v>4332</v>
      </c>
    </row>
    <row r="2390" spans="1:10" x14ac:dyDescent="0.2">
      <c r="A2390">
        <v>1.10362755747078E-66</v>
      </c>
      <c r="B2390">
        <v>0.87021412042967505</v>
      </c>
      <c r="C2390">
        <v>0.26700000000000002</v>
      </c>
      <c r="D2390">
        <v>0.01</v>
      </c>
      <c r="E2390">
        <v>1.53382157937289E-62</v>
      </c>
      <c r="F2390">
        <v>4</v>
      </c>
      <c r="G2390" t="s">
        <v>5210</v>
      </c>
      <c r="H2390" t="s">
        <v>5211</v>
      </c>
      <c r="I2390" t="str">
        <f>HYPERLINK("https://zfin.org/ZDB-GENE-041111-205")</f>
        <v>https://zfin.org/ZDB-GENE-041111-205</v>
      </c>
      <c r="J2390" t="s">
        <v>5212</v>
      </c>
    </row>
    <row r="2391" spans="1:10" x14ac:dyDescent="0.2">
      <c r="A2391">
        <v>6.2022690057478902E-65</v>
      </c>
      <c r="B2391">
        <v>0.53904547060298402</v>
      </c>
      <c r="C2391">
        <v>0.22700000000000001</v>
      </c>
      <c r="D2391">
        <v>7.0000000000000001E-3</v>
      </c>
      <c r="E2391">
        <v>8.6199134641884094E-61</v>
      </c>
      <c r="F2391">
        <v>4</v>
      </c>
      <c r="G2391" t="s">
        <v>5213</v>
      </c>
      <c r="H2391" t="s">
        <v>5214</v>
      </c>
      <c r="I2391" t="str">
        <f>HYPERLINK("https://zfin.org/ZDB-GENE-060929-860")</f>
        <v>https://zfin.org/ZDB-GENE-060929-860</v>
      </c>
      <c r="J2391" t="s">
        <v>5215</v>
      </c>
    </row>
    <row r="2392" spans="1:10" x14ac:dyDescent="0.2">
      <c r="A2392">
        <v>1.6379166167263999E-64</v>
      </c>
      <c r="B2392">
        <v>1.05840952274234</v>
      </c>
      <c r="C2392">
        <v>0.373</v>
      </c>
      <c r="D2392">
        <v>2.4E-2</v>
      </c>
      <c r="E2392">
        <v>2.2763765139263501E-60</v>
      </c>
      <c r="F2392">
        <v>4</v>
      </c>
      <c r="G2392" t="s">
        <v>3504</v>
      </c>
      <c r="H2392" t="s">
        <v>3505</v>
      </c>
      <c r="I2392" t="str">
        <f>HYPERLINK("https://zfin.org/ZDB-GENE-040426-2044")</f>
        <v>https://zfin.org/ZDB-GENE-040426-2044</v>
      </c>
      <c r="J2392" t="s">
        <v>3506</v>
      </c>
    </row>
    <row r="2393" spans="1:10" x14ac:dyDescent="0.2">
      <c r="A2393">
        <v>4.4438355312563402E-63</v>
      </c>
      <c r="B2393">
        <v>1.1344573653824701</v>
      </c>
      <c r="C2393">
        <v>0.28000000000000003</v>
      </c>
      <c r="D2393">
        <v>1.2999999999999999E-2</v>
      </c>
      <c r="E2393">
        <v>6.1760426213400596E-59</v>
      </c>
      <c r="F2393">
        <v>4</v>
      </c>
      <c r="G2393" t="s">
        <v>5216</v>
      </c>
      <c r="H2393" t="s">
        <v>5217</v>
      </c>
      <c r="I2393" t="str">
        <f>HYPERLINK("https://zfin.org/ZDB-GENE-050522-327")</f>
        <v>https://zfin.org/ZDB-GENE-050522-327</v>
      </c>
      <c r="J2393" t="s">
        <v>5218</v>
      </c>
    </row>
    <row r="2394" spans="1:10" x14ac:dyDescent="0.2">
      <c r="A2394">
        <v>4.6366953163822298E-62</v>
      </c>
      <c r="B2394">
        <v>2.0565879795376198</v>
      </c>
      <c r="C2394">
        <v>0.64</v>
      </c>
      <c r="D2394">
        <v>8.7999999999999995E-2</v>
      </c>
      <c r="E2394">
        <v>6.4440791507080206E-58</v>
      </c>
      <c r="F2394">
        <v>4</v>
      </c>
      <c r="G2394" t="s">
        <v>3924</v>
      </c>
      <c r="H2394" t="s">
        <v>3925</v>
      </c>
      <c r="I2394" t="str">
        <f>HYPERLINK("https://zfin.org/ZDB-GENE-990415-25")</f>
        <v>https://zfin.org/ZDB-GENE-990415-25</v>
      </c>
      <c r="J2394" t="s">
        <v>3926</v>
      </c>
    </row>
    <row r="2395" spans="1:10" x14ac:dyDescent="0.2">
      <c r="A2395">
        <v>1.0584513024484999E-61</v>
      </c>
      <c r="B2395">
        <v>0.57383676261154803</v>
      </c>
      <c r="C2395">
        <v>0.22700000000000001</v>
      </c>
      <c r="D2395">
        <v>8.0000000000000002E-3</v>
      </c>
      <c r="E2395">
        <v>1.47103562014292E-57</v>
      </c>
      <c r="F2395">
        <v>4</v>
      </c>
      <c r="G2395" t="s">
        <v>5219</v>
      </c>
      <c r="H2395" t="s">
        <v>5220</v>
      </c>
      <c r="I2395" t="str">
        <f>HYPERLINK("https://zfin.org/ZDB-GENE-030131-1917")</f>
        <v>https://zfin.org/ZDB-GENE-030131-1917</v>
      </c>
      <c r="J2395" t="s">
        <v>5221</v>
      </c>
    </row>
    <row r="2396" spans="1:10" x14ac:dyDescent="0.2">
      <c r="A2396">
        <v>8.4834219824211598E-61</v>
      </c>
      <c r="B2396">
        <v>1.09122652119757</v>
      </c>
      <c r="C2396">
        <v>0.4</v>
      </c>
      <c r="D2396">
        <v>0.03</v>
      </c>
      <c r="E2396">
        <v>1.1790259871168901E-56</v>
      </c>
      <c r="F2396">
        <v>4</v>
      </c>
      <c r="G2396" t="s">
        <v>3751</v>
      </c>
      <c r="H2396" t="s">
        <v>3752</v>
      </c>
      <c r="I2396" t="str">
        <f>HYPERLINK("https://zfin.org/ZDB-GENE-021115-7")</f>
        <v>https://zfin.org/ZDB-GENE-021115-7</v>
      </c>
      <c r="J2396" t="s">
        <v>3753</v>
      </c>
    </row>
    <row r="2397" spans="1:10" x14ac:dyDescent="0.2">
      <c r="A2397">
        <v>1.22003568845648E-60</v>
      </c>
      <c r="B2397">
        <v>0.76471907652162796</v>
      </c>
      <c r="C2397">
        <v>0.28000000000000003</v>
      </c>
      <c r="D2397">
        <v>1.2999999999999999E-2</v>
      </c>
      <c r="E2397">
        <v>1.6956055998168199E-56</v>
      </c>
      <c r="F2397">
        <v>4</v>
      </c>
      <c r="G2397" t="s">
        <v>5222</v>
      </c>
      <c r="H2397" t="s">
        <v>5223</v>
      </c>
      <c r="I2397" t="str">
        <f>HYPERLINK("https://zfin.org/ZDB-GENE-040426-1121")</f>
        <v>https://zfin.org/ZDB-GENE-040426-1121</v>
      </c>
      <c r="J2397" t="s">
        <v>5224</v>
      </c>
    </row>
    <row r="2398" spans="1:10" x14ac:dyDescent="0.2">
      <c r="A2398">
        <v>7.3182228551513599E-60</v>
      </c>
      <c r="B2398">
        <v>0.85050832603270099</v>
      </c>
      <c r="C2398">
        <v>0.38700000000000001</v>
      </c>
      <c r="D2398">
        <v>2.9000000000000001E-2</v>
      </c>
      <c r="E2398">
        <v>1.0170866124089399E-55</v>
      </c>
      <c r="F2398">
        <v>4</v>
      </c>
      <c r="G2398" t="s">
        <v>3760</v>
      </c>
      <c r="H2398" t="s">
        <v>3761</v>
      </c>
      <c r="I2398" t="str">
        <f>HYPERLINK("https://zfin.org/ZDB-GENE-060810-13")</f>
        <v>https://zfin.org/ZDB-GENE-060810-13</v>
      </c>
      <c r="J2398" t="s">
        <v>3762</v>
      </c>
    </row>
    <row r="2399" spans="1:10" x14ac:dyDescent="0.2">
      <c r="A2399">
        <v>1.6726227889248999E-59</v>
      </c>
      <c r="B2399">
        <v>0.86769670566110202</v>
      </c>
      <c r="C2399">
        <v>0.32</v>
      </c>
      <c r="D2399">
        <v>1.9E-2</v>
      </c>
      <c r="E2399">
        <v>2.3246111520478301E-55</v>
      </c>
      <c r="F2399">
        <v>4</v>
      </c>
      <c r="G2399" t="s">
        <v>3602</v>
      </c>
      <c r="H2399" t="s">
        <v>3603</v>
      </c>
      <c r="I2399" t="str">
        <f>HYPERLINK("https://zfin.org/ZDB-GENE-020426-1")</f>
        <v>https://zfin.org/ZDB-GENE-020426-1</v>
      </c>
      <c r="J2399" t="s">
        <v>3604</v>
      </c>
    </row>
    <row r="2400" spans="1:10" x14ac:dyDescent="0.2">
      <c r="A2400">
        <v>7.0663137682874104E-59</v>
      </c>
      <c r="B2400">
        <v>0.69547931435499399</v>
      </c>
      <c r="C2400">
        <v>0.26700000000000002</v>
      </c>
      <c r="D2400">
        <v>1.2E-2</v>
      </c>
      <c r="E2400">
        <v>9.8207628751658502E-55</v>
      </c>
      <c r="F2400">
        <v>4</v>
      </c>
      <c r="G2400" t="s">
        <v>5225</v>
      </c>
      <c r="H2400" t="s">
        <v>5226</v>
      </c>
      <c r="I2400" t="str">
        <f>HYPERLINK("https://zfin.org/ZDB-GENE-030131-9819")</f>
        <v>https://zfin.org/ZDB-GENE-030131-9819</v>
      </c>
      <c r="J2400" t="s">
        <v>5227</v>
      </c>
    </row>
    <row r="2401" spans="1:10" x14ac:dyDescent="0.2">
      <c r="A2401">
        <v>2.3596273952846E-58</v>
      </c>
      <c r="B2401">
        <v>0.67886655338900803</v>
      </c>
      <c r="C2401">
        <v>0.253</v>
      </c>
      <c r="D2401">
        <v>1.0999999999999999E-2</v>
      </c>
      <c r="E2401">
        <v>3.27941015396654E-54</v>
      </c>
      <c r="F2401">
        <v>4</v>
      </c>
      <c r="G2401" t="s">
        <v>5228</v>
      </c>
      <c r="H2401" t="s">
        <v>5229</v>
      </c>
      <c r="I2401" t="str">
        <f>HYPERLINK("https://zfin.org/ZDB-GENE-040718-435")</f>
        <v>https://zfin.org/ZDB-GENE-040718-435</v>
      </c>
      <c r="J2401" t="s">
        <v>5230</v>
      </c>
    </row>
    <row r="2402" spans="1:10" x14ac:dyDescent="0.2">
      <c r="A2402">
        <v>7.1806116087934697E-57</v>
      </c>
      <c r="B2402">
        <v>1.3022168675399799</v>
      </c>
      <c r="C2402">
        <v>0.29299999999999998</v>
      </c>
      <c r="D2402">
        <v>1.6E-2</v>
      </c>
      <c r="E2402">
        <v>9.9796140139011601E-53</v>
      </c>
      <c r="F2402">
        <v>4</v>
      </c>
      <c r="G2402" t="s">
        <v>4333</v>
      </c>
      <c r="H2402" t="s">
        <v>4334</v>
      </c>
      <c r="I2402" t="str">
        <f>HYPERLINK("https://zfin.org/ZDB-GENE-030804-13")</f>
        <v>https://zfin.org/ZDB-GENE-030804-13</v>
      </c>
      <c r="J2402" t="s">
        <v>4335</v>
      </c>
    </row>
    <row r="2403" spans="1:10" x14ac:dyDescent="0.2">
      <c r="A2403">
        <v>1.13640802020781E-56</v>
      </c>
      <c r="B2403">
        <v>0.49142112414023897</v>
      </c>
      <c r="C2403">
        <v>0.2</v>
      </c>
      <c r="D2403">
        <v>6.0000000000000001E-3</v>
      </c>
      <c r="E2403">
        <v>1.57937986648481E-52</v>
      </c>
      <c r="F2403">
        <v>4</v>
      </c>
      <c r="G2403" t="s">
        <v>5231</v>
      </c>
      <c r="H2403" t="s">
        <v>5232</v>
      </c>
      <c r="I2403" t="str">
        <f>HYPERLINK("https://zfin.org/ZDB-GENE-040426-862")</f>
        <v>https://zfin.org/ZDB-GENE-040426-862</v>
      </c>
      <c r="J2403" t="s">
        <v>5233</v>
      </c>
    </row>
    <row r="2404" spans="1:10" x14ac:dyDescent="0.2">
      <c r="A2404">
        <v>1.53522227352731E-56</v>
      </c>
      <c r="B2404">
        <v>0.53273899950931303</v>
      </c>
      <c r="C2404">
        <v>0.2</v>
      </c>
      <c r="D2404">
        <v>6.0000000000000001E-3</v>
      </c>
      <c r="E2404">
        <v>2.13365191574825E-52</v>
      </c>
      <c r="F2404">
        <v>4</v>
      </c>
      <c r="G2404" t="s">
        <v>5234</v>
      </c>
      <c r="H2404" t="s">
        <v>5235</v>
      </c>
      <c r="I2404" t="str">
        <f>HYPERLINK("https://zfin.org/ZDB-GENE-070928-16")</f>
        <v>https://zfin.org/ZDB-GENE-070928-16</v>
      </c>
      <c r="J2404" t="s">
        <v>5236</v>
      </c>
    </row>
    <row r="2405" spans="1:10" x14ac:dyDescent="0.2">
      <c r="A2405">
        <v>9.9761486289010607E-56</v>
      </c>
      <c r="B2405">
        <v>0.87376759015491401</v>
      </c>
      <c r="C2405">
        <v>0.373</v>
      </c>
      <c r="D2405">
        <v>2.9000000000000001E-2</v>
      </c>
      <c r="E2405">
        <v>1.3864851364446701E-51</v>
      </c>
      <c r="F2405">
        <v>4</v>
      </c>
      <c r="G2405" t="s">
        <v>5237</v>
      </c>
      <c r="H2405" t="s">
        <v>5238</v>
      </c>
      <c r="I2405" t="str">
        <f>HYPERLINK("https://zfin.org/ZDB-GENE-061013-547")</f>
        <v>https://zfin.org/ZDB-GENE-061013-547</v>
      </c>
      <c r="J2405" t="s">
        <v>5239</v>
      </c>
    </row>
    <row r="2406" spans="1:10" x14ac:dyDescent="0.2">
      <c r="A2406">
        <v>9.3218574834221902E-55</v>
      </c>
      <c r="B2406">
        <v>0.847978760870715</v>
      </c>
      <c r="C2406">
        <v>0.28000000000000003</v>
      </c>
      <c r="D2406">
        <v>1.4999999999999999E-2</v>
      </c>
      <c r="E2406">
        <v>1.29555175304602E-50</v>
      </c>
      <c r="F2406">
        <v>4</v>
      </c>
      <c r="G2406" t="s">
        <v>3793</v>
      </c>
      <c r="H2406" t="s">
        <v>3794</v>
      </c>
      <c r="I2406" t="str">
        <f>HYPERLINK("https://zfin.org/ZDB-GENE-060929-684")</f>
        <v>https://zfin.org/ZDB-GENE-060929-684</v>
      </c>
      <c r="J2406" t="s">
        <v>3795</v>
      </c>
    </row>
    <row r="2407" spans="1:10" x14ac:dyDescent="0.2">
      <c r="A2407">
        <v>1.38872285052224E-54</v>
      </c>
      <c r="B2407">
        <v>1.9111202964076499</v>
      </c>
      <c r="C2407">
        <v>0.627</v>
      </c>
      <c r="D2407">
        <v>9.6000000000000002E-2</v>
      </c>
      <c r="E2407">
        <v>1.9300470176558E-50</v>
      </c>
      <c r="F2407">
        <v>4</v>
      </c>
      <c r="G2407" t="s">
        <v>5240</v>
      </c>
      <c r="H2407" t="s">
        <v>5241</v>
      </c>
      <c r="I2407" t="str">
        <f>HYPERLINK("https://zfin.org/ZDB-GENE-131127-543")</f>
        <v>https://zfin.org/ZDB-GENE-131127-543</v>
      </c>
      <c r="J2407" t="s">
        <v>5242</v>
      </c>
    </row>
    <row r="2408" spans="1:10" x14ac:dyDescent="0.2">
      <c r="A2408">
        <v>9.8845214034766695E-54</v>
      </c>
      <c r="B2408">
        <v>1.15649783467648</v>
      </c>
      <c r="C2408">
        <v>0.57299999999999995</v>
      </c>
      <c r="D2408">
        <v>7.5999999999999998E-2</v>
      </c>
      <c r="E2408">
        <v>1.37375078465519E-49</v>
      </c>
      <c r="F2408">
        <v>4</v>
      </c>
      <c r="G2408" t="s">
        <v>5243</v>
      </c>
      <c r="H2408" t="s">
        <v>5244</v>
      </c>
      <c r="I2408" t="str">
        <f>HYPERLINK("https://zfin.org/ZDB-GENE-040426-987")</f>
        <v>https://zfin.org/ZDB-GENE-040426-987</v>
      </c>
      <c r="J2408" t="s">
        <v>5245</v>
      </c>
    </row>
    <row r="2409" spans="1:10" x14ac:dyDescent="0.2">
      <c r="A2409">
        <v>7.1167850431358396E-53</v>
      </c>
      <c r="B2409">
        <v>1.0267469327866801</v>
      </c>
      <c r="C2409">
        <v>0.44</v>
      </c>
      <c r="D2409">
        <v>4.2999999999999997E-2</v>
      </c>
      <c r="E2409">
        <v>9.8909078529501898E-49</v>
      </c>
      <c r="F2409">
        <v>4</v>
      </c>
      <c r="G2409" t="s">
        <v>5246</v>
      </c>
      <c r="H2409" t="s">
        <v>5247</v>
      </c>
      <c r="I2409" t="str">
        <f>HYPERLINK("https://zfin.org/ZDB-GENE-020801-3")</f>
        <v>https://zfin.org/ZDB-GENE-020801-3</v>
      </c>
      <c r="J2409" t="s">
        <v>5248</v>
      </c>
    </row>
    <row r="2410" spans="1:10" x14ac:dyDescent="0.2">
      <c r="A2410">
        <v>1.5080205458368599E-52</v>
      </c>
      <c r="B2410">
        <v>1.0586567499500199</v>
      </c>
      <c r="C2410">
        <v>0.42699999999999999</v>
      </c>
      <c r="D2410">
        <v>4.1000000000000002E-2</v>
      </c>
      <c r="E2410">
        <v>2.09584695460406E-48</v>
      </c>
      <c r="F2410">
        <v>4</v>
      </c>
      <c r="G2410" t="s">
        <v>5249</v>
      </c>
      <c r="H2410" t="s">
        <v>5250</v>
      </c>
      <c r="I2410" t="str">
        <f>HYPERLINK("https://zfin.org/ZDB-GENE-050506-32")</f>
        <v>https://zfin.org/ZDB-GENE-050506-32</v>
      </c>
      <c r="J2410" t="s">
        <v>5251</v>
      </c>
    </row>
    <row r="2411" spans="1:10" x14ac:dyDescent="0.2">
      <c r="A2411">
        <v>2.5371591948869601E-52</v>
      </c>
      <c r="B2411">
        <v>0.76534558818971299</v>
      </c>
      <c r="C2411">
        <v>0.307</v>
      </c>
      <c r="D2411">
        <v>0.02</v>
      </c>
      <c r="E2411">
        <v>3.5261438490538901E-48</v>
      </c>
      <c r="F2411">
        <v>4</v>
      </c>
      <c r="G2411" t="s">
        <v>5252</v>
      </c>
      <c r="H2411" t="s">
        <v>5253</v>
      </c>
      <c r="I2411" t="str">
        <f>HYPERLINK("https://zfin.org/ZDB-GENE-030131-105")</f>
        <v>https://zfin.org/ZDB-GENE-030131-105</v>
      </c>
      <c r="J2411" t="s">
        <v>5254</v>
      </c>
    </row>
    <row r="2412" spans="1:10" x14ac:dyDescent="0.2">
      <c r="A2412">
        <v>2.6094533025519001E-52</v>
      </c>
      <c r="B2412">
        <v>1.99953476479795</v>
      </c>
      <c r="C2412">
        <v>0.46700000000000003</v>
      </c>
      <c r="D2412">
        <v>5.1999999999999998E-2</v>
      </c>
      <c r="E2412">
        <v>3.6266181998866402E-48</v>
      </c>
      <c r="F2412">
        <v>4</v>
      </c>
      <c r="G2412" t="s">
        <v>4590</v>
      </c>
      <c r="H2412" t="s">
        <v>4591</v>
      </c>
      <c r="I2412" t="str">
        <f>HYPERLINK("https://zfin.org/ZDB-GENE-040718-22")</f>
        <v>https://zfin.org/ZDB-GENE-040718-22</v>
      </c>
      <c r="J2412" t="s">
        <v>4592</v>
      </c>
    </row>
    <row r="2413" spans="1:10" x14ac:dyDescent="0.2">
      <c r="A2413">
        <v>4.8529202095353402E-52</v>
      </c>
      <c r="B2413">
        <v>0.675162733963238</v>
      </c>
      <c r="C2413">
        <v>0.2</v>
      </c>
      <c r="D2413">
        <v>7.0000000000000001E-3</v>
      </c>
      <c r="E2413">
        <v>6.74458850721222E-48</v>
      </c>
      <c r="F2413">
        <v>4</v>
      </c>
      <c r="G2413" t="s">
        <v>5255</v>
      </c>
      <c r="H2413" t="s">
        <v>5256</v>
      </c>
      <c r="I2413" t="str">
        <f>HYPERLINK("https://zfin.org/ZDB-GENE-030131-4486")</f>
        <v>https://zfin.org/ZDB-GENE-030131-4486</v>
      </c>
      <c r="J2413" t="s">
        <v>5257</v>
      </c>
    </row>
    <row r="2414" spans="1:10" x14ac:dyDescent="0.2">
      <c r="A2414">
        <v>7.91025369060269E-52</v>
      </c>
      <c r="B2414">
        <v>1.1052677237944699</v>
      </c>
      <c r="C2414">
        <v>0.49299999999999999</v>
      </c>
      <c r="D2414">
        <v>5.7000000000000002E-2</v>
      </c>
      <c r="E2414">
        <v>1.09936705791996E-47</v>
      </c>
      <c r="F2414">
        <v>4</v>
      </c>
      <c r="G2414" t="s">
        <v>4449</v>
      </c>
      <c r="H2414" t="s">
        <v>4450</v>
      </c>
      <c r="I2414" t="str">
        <f>HYPERLINK("https://zfin.org/ZDB-GENE-030826-1")</f>
        <v>https://zfin.org/ZDB-GENE-030826-1</v>
      </c>
      <c r="J2414" t="s">
        <v>4451</v>
      </c>
    </row>
    <row r="2415" spans="1:10" x14ac:dyDescent="0.2">
      <c r="A2415">
        <v>2.88494901439428E-51</v>
      </c>
      <c r="B2415">
        <v>2.11986648534497</v>
      </c>
      <c r="C2415">
        <v>0.88</v>
      </c>
      <c r="D2415">
        <v>0.248</v>
      </c>
      <c r="E2415">
        <v>4.0095021402051702E-47</v>
      </c>
      <c r="F2415">
        <v>4</v>
      </c>
      <c r="G2415" t="s">
        <v>2948</v>
      </c>
      <c r="H2415" t="s">
        <v>2949</v>
      </c>
      <c r="I2415" t="str">
        <f>HYPERLINK("https://zfin.org/ZDB-GENE-031006-14")</f>
        <v>https://zfin.org/ZDB-GENE-031006-14</v>
      </c>
      <c r="J2415" t="s">
        <v>2950</v>
      </c>
    </row>
    <row r="2416" spans="1:10" x14ac:dyDescent="0.2">
      <c r="A2416">
        <v>8.8491119303958096E-51</v>
      </c>
      <c r="B2416">
        <v>0.48949932453117301</v>
      </c>
      <c r="C2416">
        <v>0.187</v>
      </c>
      <c r="D2416">
        <v>6.0000000000000001E-3</v>
      </c>
      <c r="E2416">
        <v>1.2298495760864101E-46</v>
      </c>
      <c r="F2416">
        <v>4</v>
      </c>
      <c r="G2416" t="s">
        <v>5258</v>
      </c>
      <c r="H2416" t="s">
        <v>5259</v>
      </c>
      <c r="I2416" t="str">
        <f>HYPERLINK("https://zfin.org/ZDB-GENE-040426-1488")</f>
        <v>https://zfin.org/ZDB-GENE-040426-1488</v>
      </c>
      <c r="J2416" t="s">
        <v>5260</v>
      </c>
    </row>
    <row r="2417" spans="1:10" x14ac:dyDescent="0.2">
      <c r="A2417">
        <v>1.0901200774854899E-50</v>
      </c>
      <c r="B2417">
        <v>0.868766559634369</v>
      </c>
      <c r="C2417">
        <v>0.36</v>
      </c>
      <c r="D2417">
        <v>0.03</v>
      </c>
      <c r="E2417">
        <v>1.51504888368934E-46</v>
      </c>
      <c r="F2417">
        <v>4</v>
      </c>
      <c r="G2417" t="s">
        <v>5261</v>
      </c>
      <c r="H2417" t="s">
        <v>5262</v>
      </c>
      <c r="I2417" t="str">
        <f>HYPERLINK("https://zfin.org/ZDB-GENE-040426-1372")</f>
        <v>https://zfin.org/ZDB-GENE-040426-1372</v>
      </c>
      <c r="J2417" t="s">
        <v>5263</v>
      </c>
    </row>
    <row r="2418" spans="1:10" x14ac:dyDescent="0.2">
      <c r="A2418">
        <v>1.25749024156871E-50</v>
      </c>
      <c r="B2418">
        <v>0.76906690134010103</v>
      </c>
      <c r="C2418">
        <v>0.26700000000000002</v>
      </c>
      <c r="D2418">
        <v>1.4999999999999999E-2</v>
      </c>
      <c r="E2418">
        <v>1.7476599377322001E-46</v>
      </c>
      <c r="F2418">
        <v>4</v>
      </c>
      <c r="G2418" t="s">
        <v>3987</v>
      </c>
      <c r="H2418" t="s">
        <v>3988</v>
      </c>
      <c r="I2418" t="str">
        <f>HYPERLINK("https://zfin.org/ZDB-GENE-000406-10")</f>
        <v>https://zfin.org/ZDB-GENE-000406-10</v>
      </c>
      <c r="J2418" t="s">
        <v>3989</v>
      </c>
    </row>
    <row r="2419" spans="1:10" x14ac:dyDescent="0.2">
      <c r="A2419">
        <v>1.01152805940934E-49</v>
      </c>
      <c r="B2419">
        <v>0.87751870680637201</v>
      </c>
      <c r="C2419">
        <v>0.36</v>
      </c>
      <c r="D2419">
        <v>0.03</v>
      </c>
      <c r="E2419">
        <v>1.4058216969671E-45</v>
      </c>
      <c r="F2419">
        <v>4</v>
      </c>
      <c r="G2419" t="s">
        <v>3784</v>
      </c>
      <c r="H2419" t="s">
        <v>3785</v>
      </c>
      <c r="I2419" t="str">
        <f>HYPERLINK("https://zfin.org/ZDB-GENE-050522-456")</f>
        <v>https://zfin.org/ZDB-GENE-050522-456</v>
      </c>
      <c r="J2419" t="s">
        <v>3786</v>
      </c>
    </row>
    <row r="2420" spans="1:10" x14ac:dyDescent="0.2">
      <c r="A2420">
        <v>1.29225355812977E-49</v>
      </c>
      <c r="B2420">
        <v>0.64645502069226102</v>
      </c>
      <c r="C2420">
        <v>0.253</v>
      </c>
      <c r="D2420">
        <v>1.4E-2</v>
      </c>
      <c r="E2420">
        <v>1.7959739950887501E-45</v>
      </c>
      <c r="F2420">
        <v>4</v>
      </c>
      <c r="G2420" t="s">
        <v>5264</v>
      </c>
      <c r="H2420" t="s">
        <v>5265</v>
      </c>
      <c r="I2420" t="str">
        <f>HYPERLINK("https://zfin.org/ZDB-GENE-041014-362")</f>
        <v>https://zfin.org/ZDB-GENE-041014-362</v>
      </c>
      <c r="J2420" t="s">
        <v>5266</v>
      </c>
    </row>
    <row r="2421" spans="1:10" x14ac:dyDescent="0.2">
      <c r="A2421">
        <v>1.57095850377E-48</v>
      </c>
      <c r="B2421">
        <v>0.65860245279057394</v>
      </c>
      <c r="C2421">
        <v>0.253</v>
      </c>
      <c r="D2421">
        <v>1.4E-2</v>
      </c>
      <c r="E2421">
        <v>2.18331812853955E-44</v>
      </c>
      <c r="F2421">
        <v>4</v>
      </c>
      <c r="G2421" t="s">
        <v>5267</v>
      </c>
      <c r="H2421" t="s">
        <v>5268</v>
      </c>
      <c r="I2421" t="str">
        <f>HYPERLINK("https://zfin.org/ZDB-GENE-030616-408")</f>
        <v>https://zfin.org/ZDB-GENE-030616-408</v>
      </c>
      <c r="J2421" t="s">
        <v>5269</v>
      </c>
    </row>
    <row r="2422" spans="1:10" x14ac:dyDescent="0.2">
      <c r="A2422">
        <v>4.5793084380238197E-48</v>
      </c>
      <c r="B2422">
        <v>0.66804152846857801</v>
      </c>
      <c r="C2422">
        <v>0.28000000000000003</v>
      </c>
      <c r="D2422">
        <v>1.7999999999999999E-2</v>
      </c>
      <c r="E2422">
        <v>6.3643228671655096E-44</v>
      </c>
      <c r="F2422">
        <v>4</v>
      </c>
      <c r="G2422" t="s">
        <v>3709</v>
      </c>
      <c r="H2422" t="s">
        <v>3710</v>
      </c>
      <c r="I2422" t="str">
        <f>HYPERLINK("https://zfin.org/ZDB-GENE-081022-187")</f>
        <v>https://zfin.org/ZDB-GENE-081022-187</v>
      </c>
      <c r="J2422" t="s">
        <v>3711</v>
      </c>
    </row>
    <row r="2423" spans="1:10" x14ac:dyDescent="0.2">
      <c r="A2423">
        <v>7.7975947813773496E-48</v>
      </c>
      <c r="B2423">
        <v>0.34454286783870602</v>
      </c>
      <c r="C2423">
        <v>0.16</v>
      </c>
      <c r="D2423">
        <v>5.0000000000000001E-3</v>
      </c>
      <c r="E2423">
        <v>1.08370972271582E-43</v>
      </c>
      <c r="F2423">
        <v>4</v>
      </c>
      <c r="G2423" t="s">
        <v>5270</v>
      </c>
      <c r="H2423" t="s">
        <v>5271</v>
      </c>
      <c r="I2423" t="str">
        <f>HYPERLINK("https://zfin.org/ZDB-GENE-030429-12")</f>
        <v>https://zfin.org/ZDB-GENE-030429-12</v>
      </c>
      <c r="J2423" t="s">
        <v>5272</v>
      </c>
    </row>
    <row r="2424" spans="1:10" x14ac:dyDescent="0.2">
      <c r="A2424">
        <v>4.3141984581790302E-45</v>
      </c>
      <c r="B2424">
        <v>0.52544839852195802</v>
      </c>
      <c r="C2424">
        <v>0.17299999999999999</v>
      </c>
      <c r="D2424">
        <v>6.0000000000000001E-3</v>
      </c>
      <c r="E2424">
        <v>5.9958730171772197E-41</v>
      </c>
      <c r="F2424">
        <v>4</v>
      </c>
      <c r="G2424" t="s">
        <v>5273</v>
      </c>
      <c r="H2424" t="s">
        <v>5274</v>
      </c>
      <c r="I2424" t="str">
        <f>HYPERLINK("https://zfin.org/ZDB-GENE-041111-213")</f>
        <v>https://zfin.org/ZDB-GENE-041111-213</v>
      </c>
      <c r="J2424" t="s">
        <v>5275</v>
      </c>
    </row>
    <row r="2425" spans="1:10" x14ac:dyDescent="0.2">
      <c r="A2425">
        <v>4.4217174838778701E-45</v>
      </c>
      <c r="B2425">
        <v>0.67658669160628204</v>
      </c>
      <c r="C2425">
        <v>0.26700000000000002</v>
      </c>
      <c r="D2425">
        <v>1.7999999999999999E-2</v>
      </c>
      <c r="E2425">
        <v>6.1453029590934705E-41</v>
      </c>
      <c r="F2425">
        <v>4</v>
      </c>
      <c r="G2425" t="s">
        <v>4366</v>
      </c>
      <c r="H2425" t="s">
        <v>4367</v>
      </c>
      <c r="I2425" t="str">
        <f>HYPERLINK("https://zfin.org/ZDB-GENE-030131-904")</f>
        <v>https://zfin.org/ZDB-GENE-030131-904</v>
      </c>
      <c r="J2425" t="s">
        <v>4368</v>
      </c>
    </row>
    <row r="2426" spans="1:10" x14ac:dyDescent="0.2">
      <c r="A2426">
        <v>7.5089432067914299E-44</v>
      </c>
      <c r="B2426">
        <v>0.95296728849487999</v>
      </c>
      <c r="C2426">
        <v>0.4</v>
      </c>
      <c r="D2426">
        <v>4.3999999999999997E-2</v>
      </c>
      <c r="E2426">
        <v>1.0435929268798701E-39</v>
      </c>
      <c r="F2426">
        <v>4</v>
      </c>
      <c r="G2426" t="s">
        <v>1970</v>
      </c>
      <c r="H2426" t="s">
        <v>1971</v>
      </c>
      <c r="I2426" t="str">
        <f>HYPERLINK("https://zfin.org/ZDB-GENE-030804-11")</f>
        <v>https://zfin.org/ZDB-GENE-030804-11</v>
      </c>
      <c r="J2426" t="s">
        <v>1972</v>
      </c>
    </row>
    <row r="2427" spans="1:10" x14ac:dyDescent="0.2">
      <c r="A2427">
        <v>6.1443912709603498E-43</v>
      </c>
      <c r="B2427">
        <v>0.49157111373506801</v>
      </c>
      <c r="C2427">
        <v>0.2</v>
      </c>
      <c r="D2427">
        <v>0.01</v>
      </c>
      <c r="E2427">
        <v>8.5394749883806903E-39</v>
      </c>
      <c r="F2427">
        <v>4</v>
      </c>
      <c r="G2427" t="s">
        <v>5276</v>
      </c>
      <c r="H2427" t="s">
        <v>5277</v>
      </c>
      <c r="I2427" t="str">
        <f>HYPERLINK("https://zfin.org/ZDB-GENE-030131-731")</f>
        <v>https://zfin.org/ZDB-GENE-030131-731</v>
      </c>
      <c r="J2427" t="s">
        <v>5278</v>
      </c>
    </row>
    <row r="2428" spans="1:10" x14ac:dyDescent="0.2">
      <c r="A2428">
        <v>6.9710142224430297E-43</v>
      </c>
      <c r="B2428">
        <v>0.60200511819563296</v>
      </c>
      <c r="C2428">
        <v>0.253</v>
      </c>
      <c r="D2428">
        <v>1.7000000000000001E-2</v>
      </c>
      <c r="E2428">
        <v>9.6883155663513197E-39</v>
      </c>
      <c r="F2428">
        <v>4</v>
      </c>
      <c r="G2428" t="s">
        <v>5279</v>
      </c>
      <c r="H2428" t="s">
        <v>5280</v>
      </c>
      <c r="I2428" t="str">
        <f>HYPERLINK("https://zfin.org/ZDB-GENE-040718-122")</f>
        <v>https://zfin.org/ZDB-GENE-040718-122</v>
      </c>
      <c r="J2428" t="s">
        <v>5281</v>
      </c>
    </row>
    <row r="2429" spans="1:10" x14ac:dyDescent="0.2">
      <c r="A2429">
        <v>1.54928598588876E-42</v>
      </c>
      <c r="B2429">
        <v>0.51364502064068995</v>
      </c>
      <c r="C2429">
        <v>0.21299999999999999</v>
      </c>
      <c r="D2429">
        <v>1.0999999999999999E-2</v>
      </c>
      <c r="E2429">
        <v>2.1531976631881999E-38</v>
      </c>
      <c r="F2429">
        <v>4</v>
      </c>
      <c r="G2429" t="s">
        <v>5282</v>
      </c>
      <c r="H2429" t="s">
        <v>5283</v>
      </c>
      <c r="I2429" t="str">
        <f>HYPERLINK("https://zfin.org/ZDB-GENE-030523-2")</f>
        <v>https://zfin.org/ZDB-GENE-030523-2</v>
      </c>
      <c r="J2429" t="s">
        <v>5284</v>
      </c>
    </row>
    <row r="2430" spans="1:10" x14ac:dyDescent="0.2">
      <c r="A2430">
        <v>2.03819924851273E-42</v>
      </c>
      <c r="B2430">
        <v>0.46129553458905698</v>
      </c>
      <c r="C2430">
        <v>0.187</v>
      </c>
      <c r="D2430">
        <v>8.0000000000000002E-3</v>
      </c>
      <c r="E2430">
        <v>2.8326893155829897E-38</v>
      </c>
      <c r="F2430">
        <v>4</v>
      </c>
      <c r="G2430" t="s">
        <v>5285</v>
      </c>
      <c r="H2430" t="s">
        <v>5286</v>
      </c>
      <c r="I2430" t="str">
        <f>HYPERLINK("https://zfin.org/ZDB-GENE-070112-652")</f>
        <v>https://zfin.org/ZDB-GENE-070112-652</v>
      </c>
      <c r="J2430" t="s">
        <v>5287</v>
      </c>
    </row>
    <row r="2431" spans="1:10" x14ac:dyDescent="0.2">
      <c r="A2431">
        <v>8.3054881703235297E-42</v>
      </c>
      <c r="B2431">
        <v>0.45029516450373802</v>
      </c>
      <c r="C2431">
        <v>0.2</v>
      </c>
      <c r="D2431">
        <v>0.01</v>
      </c>
      <c r="E2431">
        <v>1.15429674591156E-37</v>
      </c>
      <c r="F2431">
        <v>4</v>
      </c>
      <c r="G2431" t="s">
        <v>5288</v>
      </c>
      <c r="H2431" t="s">
        <v>5289</v>
      </c>
      <c r="I2431" t="str">
        <f>HYPERLINK("https://zfin.org/ZDB-GENE-041111-264")</f>
        <v>https://zfin.org/ZDB-GENE-041111-264</v>
      </c>
      <c r="J2431" t="s">
        <v>5290</v>
      </c>
    </row>
    <row r="2432" spans="1:10" x14ac:dyDescent="0.2">
      <c r="A2432">
        <v>9.02937354497635E-42</v>
      </c>
      <c r="B2432">
        <v>0.40294298994155803</v>
      </c>
      <c r="C2432">
        <v>0.14699999999999999</v>
      </c>
      <c r="D2432">
        <v>5.0000000000000001E-3</v>
      </c>
      <c r="E2432">
        <v>1.2549023352808101E-37</v>
      </c>
      <c r="F2432">
        <v>4</v>
      </c>
      <c r="G2432" t="s">
        <v>5291</v>
      </c>
      <c r="H2432" t="s">
        <v>5292</v>
      </c>
      <c r="I2432" t="str">
        <f>HYPERLINK("https://zfin.org/ZDB-GENE-081104-145")</f>
        <v>https://zfin.org/ZDB-GENE-081104-145</v>
      </c>
      <c r="J2432" t="s">
        <v>5293</v>
      </c>
    </row>
    <row r="2433" spans="1:10" x14ac:dyDescent="0.2">
      <c r="A2433">
        <v>3.1708844848498798E-41</v>
      </c>
      <c r="B2433">
        <v>0.89563855718069596</v>
      </c>
      <c r="C2433">
        <v>0.45300000000000001</v>
      </c>
      <c r="D2433">
        <v>0.06</v>
      </c>
      <c r="E2433">
        <v>4.4068952570443696E-37</v>
      </c>
      <c r="F2433">
        <v>4</v>
      </c>
      <c r="G2433" t="s">
        <v>4689</v>
      </c>
      <c r="H2433" t="s">
        <v>4690</v>
      </c>
      <c r="I2433" t="str">
        <f>HYPERLINK("https://zfin.org/ZDB-GENE-110411-78")</f>
        <v>https://zfin.org/ZDB-GENE-110411-78</v>
      </c>
      <c r="J2433" t="s">
        <v>4691</v>
      </c>
    </row>
    <row r="2434" spans="1:10" x14ac:dyDescent="0.2">
      <c r="A2434">
        <v>6.9563635337542298E-41</v>
      </c>
      <c r="B2434">
        <v>1.7098783794969099</v>
      </c>
      <c r="C2434">
        <v>0.97299999999999998</v>
      </c>
      <c r="D2434">
        <v>0.58499999999999996</v>
      </c>
      <c r="E2434">
        <v>9.6679540392116392E-37</v>
      </c>
      <c r="F2434">
        <v>4</v>
      </c>
      <c r="G2434" t="s">
        <v>5294</v>
      </c>
      <c r="H2434" t="s">
        <v>5295</v>
      </c>
      <c r="I2434" t="str">
        <f>HYPERLINK("https://zfin.org/ZDB-GENE-030131-722")</f>
        <v>https://zfin.org/ZDB-GENE-030131-722</v>
      </c>
      <c r="J2434" t="s">
        <v>5296</v>
      </c>
    </row>
    <row r="2435" spans="1:10" x14ac:dyDescent="0.2">
      <c r="A2435">
        <v>1.8284091306560601E-40</v>
      </c>
      <c r="B2435">
        <v>0.68599840494270303</v>
      </c>
      <c r="C2435">
        <v>0.307</v>
      </c>
      <c r="D2435">
        <v>2.7E-2</v>
      </c>
      <c r="E2435">
        <v>2.54112300978579E-36</v>
      </c>
      <c r="F2435">
        <v>4</v>
      </c>
      <c r="G2435" t="s">
        <v>3593</v>
      </c>
      <c r="H2435" t="s">
        <v>3594</v>
      </c>
      <c r="I2435" t="str">
        <f>HYPERLINK("https://zfin.org/ZDB-GENE-081104-345")</f>
        <v>https://zfin.org/ZDB-GENE-081104-345</v>
      </c>
      <c r="J2435" t="s">
        <v>3595</v>
      </c>
    </row>
    <row r="2436" spans="1:10" x14ac:dyDescent="0.2">
      <c r="A2436">
        <v>4.2814280252577002E-40</v>
      </c>
      <c r="B2436">
        <v>0.66272430923783698</v>
      </c>
      <c r="C2436">
        <v>0.307</v>
      </c>
      <c r="D2436">
        <v>2.7E-2</v>
      </c>
      <c r="E2436">
        <v>5.9503286695031502E-36</v>
      </c>
      <c r="F2436">
        <v>4</v>
      </c>
      <c r="G2436" t="s">
        <v>4500</v>
      </c>
      <c r="H2436" t="s">
        <v>4501</v>
      </c>
      <c r="I2436" t="str">
        <f>HYPERLINK("https://zfin.org/ZDB-GENE-040611-4")</f>
        <v>https://zfin.org/ZDB-GENE-040611-4</v>
      </c>
      <c r="J2436" t="s">
        <v>4502</v>
      </c>
    </row>
    <row r="2437" spans="1:10" x14ac:dyDescent="0.2">
      <c r="A2437">
        <v>5.26071258840548E-40</v>
      </c>
      <c r="B2437">
        <v>1.4413433294448901</v>
      </c>
      <c r="C2437">
        <v>1</v>
      </c>
      <c r="D2437">
        <v>0.91200000000000003</v>
      </c>
      <c r="E2437">
        <v>7.3113383553659296E-36</v>
      </c>
      <c r="F2437">
        <v>4</v>
      </c>
      <c r="G2437" t="s">
        <v>3631</v>
      </c>
      <c r="H2437" t="s">
        <v>3632</v>
      </c>
      <c r="I2437" t="str">
        <f>HYPERLINK("https://zfin.org/ZDB-GENE-051120-126")</f>
        <v>https://zfin.org/ZDB-GENE-051120-126</v>
      </c>
      <c r="J2437" t="s">
        <v>3633</v>
      </c>
    </row>
    <row r="2438" spans="1:10" x14ac:dyDescent="0.2">
      <c r="A2438">
        <v>1.5377039151818999E-39</v>
      </c>
      <c r="B2438">
        <v>1.428020979344</v>
      </c>
      <c r="C2438">
        <v>1</v>
      </c>
      <c r="D2438">
        <v>0.75</v>
      </c>
      <c r="E2438">
        <v>2.1371009013197999E-35</v>
      </c>
      <c r="F2438">
        <v>4</v>
      </c>
      <c r="G2438" t="s">
        <v>2565</v>
      </c>
      <c r="H2438" t="s">
        <v>2566</v>
      </c>
      <c r="I2438" t="str">
        <f>HYPERLINK("https://zfin.org/ZDB-GENE-040912-122")</f>
        <v>https://zfin.org/ZDB-GENE-040912-122</v>
      </c>
      <c r="J2438" t="s">
        <v>2567</v>
      </c>
    </row>
    <row r="2439" spans="1:10" x14ac:dyDescent="0.2">
      <c r="A2439">
        <v>1.88045128724735E-39</v>
      </c>
      <c r="B2439">
        <v>0.45705174163768802</v>
      </c>
      <c r="C2439">
        <v>0.12</v>
      </c>
      <c r="D2439">
        <v>3.0000000000000001E-3</v>
      </c>
      <c r="E2439">
        <v>2.6134511990163698E-35</v>
      </c>
      <c r="F2439">
        <v>4</v>
      </c>
      <c r="G2439" t="s">
        <v>5297</v>
      </c>
      <c r="H2439" t="s">
        <v>5298</v>
      </c>
      <c r="I2439" t="str">
        <f>HYPERLINK("https://zfin.org/ZDB-GENE-050208-92")</f>
        <v>https://zfin.org/ZDB-GENE-050208-92</v>
      </c>
      <c r="J2439" t="s">
        <v>5299</v>
      </c>
    </row>
    <row r="2440" spans="1:10" x14ac:dyDescent="0.2">
      <c r="A2440">
        <v>5.9915089665915303E-39</v>
      </c>
      <c r="B2440">
        <v>0.75267795954357797</v>
      </c>
      <c r="C2440">
        <v>0.33300000000000002</v>
      </c>
      <c r="D2440">
        <v>3.4000000000000002E-2</v>
      </c>
      <c r="E2440">
        <v>8.3269991617689104E-35</v>
      </c>
      <c r="F2440">
        <v>4</v>
      </c>
      <c r="G2440" t="s">
        <v>5300</v>
      </c>
      <c r="H2440" t="s">
        <v>5301</v>
      </c>
      <c r="I2440" t="str">
        <f>HYPERLINK("https://zfin.org/ZDB-GENE-080723-52")</f>
        <v>https://zfin.org/ZDB-GENE-080723-52</v>
      </c>
      <c r="J2440" t="s">
        <v>5302</v>
      </c>
    </row>
    <row r="2441" spans="1:10" x14ac:dyDescent="0.2">
      <c r="A2441">
        <v>7.2361351154458598E-39</v>
      </c>
      <c r="B2441">
        <v>1.5285751394309</v>
      </c>
      <c r="C2441">
        <v>0.93300000000000005</v>
      </c>
      <c r="D2441">
        <v>0.41599999999999998</v>
      </c>
      <c r="E2441">
        <v>1.0056780583446699E-34</v>
      </c>
      <c r="F2441">
        <v>4</v>
      </c>
      <c r="G2441" t="s">
        <v>3112</v>
      </c>
      <c r="H2441" t="s">
        <v>3113</v>
      </c>
      <c r="I2441" t="str">
        <f>HYPERLINK("https://zfin.org/ZDB-GENE-030131-9167")</f>
        <v>https://zfin.org/ZDB-GENE-030131-9167</v>
      </c>
      <c r="J2441" t="s">
        <v>3114</v>
      </c>
    </row>
    <row r="2442" spans="1:10" x14ac:dyDescent="0.2">
      <c r="A2442">
        <v>1.08665387955406E-38</v>
      </c>
      <c r="B2442">
        <v>0.42739805927688401</v>
      </c>
      <c r="C2442">
        <v>0.14699999999999999</v>
      </c>
      <c r="D2442">
        <v>5.0000000000000001E-3</v>
      </c>
      <c r="E2442">
        <v>1.5102315618042299E-34</v>
      </c>
      <c r="F2442">
        <v>4</v>
      </c>
      <c r="G2442" t="s">
        <v>5303</v>
      </c>
      <c r="H2442" t="s">
        <v>5304</v>
      </c>
      <c r="I2442" t="str">
        <f>HYPERLINK("https://zfin.org/ZDB-GENE-030131-4027")</f>
        <v>https://zfin.org/ZDB-GENE-030131-4027</v>
      </c>
      <c r="J2442" t="s">
        <v>5305</v>
      </c>
    </row>
    <row r="2443" spans="1:10" x14ac:dyDescent="0.2">
      <c r="A2443">
        <v>1.38058444179624E-38</v>
      </c>
      <c r="B2443">
        <v>0.71625106400254201</v>
      </c>
      <c r="C2443">
        <v>0.21299999999999999</v>
      </c>
      <c r="D2443">
        <v>1.2999999999999999E-2</v>
      </c>
      <c r="E2443">
        <v>1.91873625720842E-34</v>
      </c>
      <c r="F2443">
        <v>4</v>
      </c>
      <c r="G2443" t="s">
        <v>5306</v>
      </c>
      <c r="H2443" t="s">
        <v>5307</v>
      </c>
      <c r="I2443" t="str">
        <f>HYPERLINK("https://zfin.org/ZDB-GENE-050220-15")</f>
        <v>https://zfin.org/ZDB-GENE-050220-15</v>
      </c>
      <c r="J2443" t="s">
        <v>5308</v>
      </c>
    </row>
    <row r="2444" spans="1:10" x14ac:dyDescent="0.2">
      <c r="A2444">
        <v>1.5357190046068399E-38</v>
      </c>
      <c r="B2444">
        <v>0.37329668144237299</v>
      </c>
      <c r="C2444">
        <v>0.17299999999999999</v>
      </c>
      <c r="D2444">
        <v>8.0000000000000002E-3</v>
      </c>
      <c r="E2444">
        <v>2.13434227260259E-34</v>
      </c>
      <c r="F2444">
        <v>4</v>
      </c>
      <c r="G2444" t="s">
        <v>5309</v>
      </c>
      <c r="H2444" t="s">
        <v>5310</v>
      </c>
      <c r="I2444" t="str">
        <f>HYPERLINK("https://zfin.org/ZDB-GENE-041114-18")</f>
        <v>https://zfin.org/ZDB-GENE-041114-18</v>
      </c>
      <c r="J2444" t="s">
        <v>5311</v>
      </c>
    </row>
    <row r="2445" spans="1:10" x14ac:dyDescent="0.2">
      <c r="A2445">
        <v>2.1792843378122001E-38</v>
      </c>
      <c r="B2445">
        <v>0.49122882301099902</v>
      </c>
      <c r="C2445">
        <v>0.21299999999999999</v>
      </c>
      <c r="D2445">
        <v>1.2999999999999999E-2</v>
      </c>
      <c r="E2445">
        <v>3.0287693726913899E-34</v>
      </c>
      <c r="F2445">
        <v>4</v>
      </c>
      <c r="G2445" t="s">
        <v>5312</v>
      </c>
      <c r="H2445" t="s">
        <v>5313</v>
      </c>
      <c r="I2445" t="str">
        <f>HYPERLINK("https://zfin.org/ZDB-GENE-041114-28")</f>
        <v>https://zfin.org/ZDB-GENE-041114-28</v>
      </c>
      <c r="J2445" t="s">
        <v>5314</v>
      </c>
    </row>
    <row r="2446" spans="1:10" x14ac:dyDescent="0.2">
      <c r="A2446">
        <v>2.6958128502299598E-37</v>
      </c>
      <c r="B2446">
        <v>0.61949090024253495</v>
      </c>
      <c r="C2446">
        <v>0.21299999999999999</v>
      </c>
      <c r="D2446">
        <v>1.4E-2</v>
      </c>
      <c r="E2446">
        <v>3.7466406992495997E-33</v>
      </c>
      <c r="F2446">
        <v>4</v>
      </c>
      <c r="G2446" t="s">
        <v>5315</v>
      </c>
      <c r="H2446" t="s">
        <v>5316</v>
      </c>
      <c r="I2446" t="str">
        <f>HYPERLINK("https://zfin.org/ZDB-GENE-061013-398")</f>
        <v>https://zfin.org/ZDB-GENE-061013-398</v>
      </c>
      <c r="J2446" t="s">
        <v>5317</v>
      </c>
    </row>
    <row r="2447" spans="1:10" x14ac:dyDescent="0.2">
      <c r="A2447">
        <v>5.0776293079086298E-37</v>
      </c>
      <c r="B2447">
        <v>0.380409215828656</v>
      </c>
      <c r="C2447">
        <v>0.14699999999999999</v>
      </c>
      <c r="D2447">
        <v>6.0000000000000001E-3</v>
      </c>
      <c r="E2447">
        <v>7.0568892121314105E-33</v>
      </c>
      <c r="F2447">
        <v>4</v>
      </c>
      <c r="G2447" t="s">
        <v>5318</v>
      </c>
      <c r="H2447" t="s">
        <v>5319</v>
      </c>
      <c r="I2447" t="str">
        <f>HYPERLINK("https://zfin.org/ZDB-GENE-060825-208")</f>
        <v>https://zfin.org/ZDB-GENE-060825-208</v>
      </c>
      <c r="J2447" t="s">
        <v>5320</v>
      </c>
    </row>
    <row r="2448" spans="1:10" x14ac:dyDescent="0.2">
      <c r="A2448">
        <v>1.10556471099692E-36</v>
      </c>
      <c r="B2448">
        <v>1.2287362970771201</v>
      </c>
      <c r="C2448">
        <v>1</v>
      </c>
      <c r="D2448">
        <v>0.82799999999999996</v>
      </c>
      <c r="E2448">
        <v>1.53651383534351E-32</v>
      </c>
      <c r="F2448">
        <v>4</v>
      </c>
      <c r="G2448" t="s">
        <v>4420</v>
      </c>
      <c r="H2448" t="s">
        <v>4421</v>
      </c>
      <c r="I2448" t="str">
        <f>HYPERLINK("https://zfin.org/ZDB-GENE-050417-65")</f>
        <v>https://zfin.org/ZDB-GENE-050417-65</v>
      </c>
      <c r="J2448" t="s">
        <v>4422</v>
      </c>
    </row>
    <row r="2449" spans="1:10" x14ac:dyDescent="0.2">
      <c r="A2449">
        <v>4.00907714908504E-36</v>
      </c>
      <c r="B2449">
        <v>0.87314124886851596</v>
      </c>
      <c r="C2449">
        <v>0.34699999999999998</v>
      </c>
      <c r="D2449">
        <v>0.04</v>
      </c>
      <c r="E2449">
        <v>5.5718154217983796E-32</v>
      </c>
      <c r="F2449">
        <v>4</v>
      </c>
      <c r="G2449" t="s">
        <v>5321</v>
      </c>
      <c r="H2449" t="s">
        <v>5322</v>
      </c>
      <c r="I2449" t="str">
        <f>HYPERLINK("https://zfin.org/ZDB-GENE-031118-197")</f>
        <v>https://zfin.org/ZDB-GENE-031118-197</v>
      </c>
      <c r="J2449" t="s">
        <v>5323</v>
      </c>
    </row>
    <row r="2450" spans="1:10" x14ac:dyDescent="0.2">
      <c r="A2450">
        <v>2.7644623065580602E-35</v>
      </c>
      <c r="B2450">
        <v>0.34720402509069598</v>
      </c>
      <c r="C2450">
        <v>0.12</v>
      </c>
      <c r="D2450">
        <v>4.0000000000000001E-3</v>
      </c>
      <c r="E2450">
        <v>3.8420497136544E-31</v>
      </c>
      <c r="F2450">
        <v>4</v>
      </c>
      <c r="G2450" t="s">
        <v>5324</v>
      </c>
      <c r="H2450" t="s">
        <v>5325</v>
      </c>
      <c r="I2450" t="str">
        <f>HYPERLINK("https://zfin.org/ZDB-GENE-091118-97")</f>
        <v>https://zfin.org/ZDB-GENE-091118-97</v>
      </c>
      <c r="J2450" t="s">
        <v>5326</v>
      </c>
    </row>
    <row r="2451" spans="1:10" x14ac:dyDescent="0.2">
      <c r="A2451">
        <v>1.0414928211881399E-34</v>
      </c>
      <c r="B2451">
        <v>1.3262182563914</v>
      </c>
      <c r="C2451">
        <v>0.88</v>
      </c>
      <c r="D2451">
        <v>0.34200000000000003</v>
      </c>
      <c r="E2451">
        <v>1.4474667228872699E-30</v>
      </c>
      <c r="F2451">
        <v>4</v>
      </c>
      <c r="G2451" t="s">
        <v>3088</v>
      </c>
      <c r="H2451" t="s">
        <v>3089</v>
      </c>
      <c r="I2451" t="str">
        <f>HYPERLINK("https://zfin.org/ZDB-GENE-060503-618")</f>
        <v>https://zfin.org/ZDB-GENE-060503-618</v>
      </c>
      <c r="J2451" t="s">
        <v>3090</v>
      </c>
    </row>
    <row r="2452" spans="1:10" x14ac:dyDescent="0.2">
      <c r="A2452">
        <v>1.8387853213927601E-34</v>
      </c>
      <c r="B2452">
        <v>1.1684187651325799</v>
      </c>
      <c r="C2452">
        <v>0.53300000000000003</v>
      </c>
      <c r="D2452">
        <v>9.9000000000000005E-2</v>
      </c>
      <c r="E2452">
        <v>2.5555438396716599E-30</v>
      </c>
      <c r="F2452">
        <v>4</v>
      </c>
      <c r="G2452" t="s">
        <v>5327</v>
      </c>
      <c r="H2452" t="s">
        <v>5328</v>
      </c>
      <c r="I2452" t="str">
        <f>HYPERLINK("https://zfin.org/ZDB-GENE-110404-2")</f>
        <v>https://zfin.org/ZDB-GENE-110404-2</v>
      </c>
      <c r="J2452" t="s">
        <v>5329</v>
      </c>
    </row>
    <row r="2453" spans="1:10" x14ac:dyDescent="0.2">
      <c r="A2453">
        <v>7.9215554253588097E-34</v>
      </c>
      <c r="B2453">
        <v>0.68203479094663</v>
      </c>
      <c r="C2453">
        <v>0.28000000000000003</v>
      </c>
      <c r="D2453">
        <v>2.7E-2</v>
      </c>
      <c r="E2453">
        <v>1.10093777301637E-29</v>
      </c>
      <c r="F2453">
        <v>4</v>
      </c>
      <c r="G2453" t="s">
        <v>5330</v>
      </c>
      <c r="H2453" t="s">
        <v>5331</v>
      </c>
      <c r="I2453" t="str">
        <f>HYPERLINK("https://zfin.org/")</f>
        <v>https://zfin.org/</v>
      </c>
    </row>
    <row r="2454" spans="1:10" x14ac:dyDescent="0.2">
      <c r="A2454">
        <v>9.8647734168705708E-34</v>
      </c>
      <c r="B2454">
        <v>0.364859333262601</v>
      </c>
      <c r="C2454">
        <v>0.16</v>
      </c>
      <c r="D2454">
        <v>8.0000000000000002E-3</v>
      </c>
      <c r="E2454">
        <v>1.37100620947667E-29</v>
      </c>
      <c r="F2454">
        <v>4</v>
      </c>
      <c r="G2454" t="s">
        <v>5332</v>
      </c>
      <c r="H2454" t="s">
        <v>5333</v>
      </c>
      <c r="I2454" t="str">
        <f>HYPERLINK("https://zfin.org/ZDB-GENE-030131-3087")</f>
        <v>https://zfin.org/ZDB-GENE-030131-3087</v>
      </c>
      <c r="J2454" t="s">
        <v>5334</v>
      </c>
    </row>
    <row r="2455" spans="1:10" x14ac:dyDescent="0.2">
      <c r="A2455">
        <v>1.55107453026933E-33</v>
      </c>
      <c r="B2455">
        <v>0.93006695135877604</v>
      </c>
      <c r="C2455">
        <v>0.41299999999999998</v>
      </c>
      <c r="D2455">
        <v>6.0999999999999999E-2</v>
      </c>
      <c r="E2455">
        <v>2.15568338216831E-29</v>
      </c>
      <c r="F2455">
        <v>4</v>
      </c>
      <c r="G2455" t="s">
        <v>4776</v>
      </c>
      <c r="H2455" t="s">
        <v>4777</v>
      </c>
      <c r="I2455" t="str">
        <f>HYPERLINK("https://zfin.org/ZDB-GENE-080204-34")</f>
        <v>https://zfin.org/ZDB-GENE-080204-34</v>
      </c>
      <c r="J2455" t="s">
        <v>4778</v>
      </c>
    </row>
    <row r="2456" spans="1:10" x14ac:dyDescent="0.2">
      <c r="A2456">
        <v>1.8175027985215599E-33</v>
      </c>
      <c r="B2456">
        <v>0.35087111783654301</v>
      </c>
      <c r="C2456">
        <v>0.12</v>
      </c>
      <c r="D2456">
        <v>4.0000000000000001E-3</v>
      </c>
      <c r="E2456">
        <v>2.5259653893852702E-29</v>
      </c>
      <c r="F2456">
        <v>4</v>
      </c>
      <c r="G2456" t="s">
        <v>5335</v>
      </c>
      <c r="H2456" t="s">
        <v>5336</v>
      </c>
      <c r="I2456" t="str">
        <f>HYPERLINK("https://zfin.org/ZDB-GENE-091230-4")</f>
        <v>https://zfin.org/ZDB-GENE-091230-4</v>
      </c>
      <c r="J2456" t="s">
        <v>5337</v>
      </c>
    </row>
    <row r="2457" spans="1:10" x14ac:dyDescent="0.2">
      <c r="A2457">
        <v>1.8175027985215599E-33</v>
      </c>
      <c r="B2457">
        <v>0.27463950247014801</v>
      </c>
      <c r="C2457">
        <v>0.12</v>
      </c>
      <c r="D2457">
        <v>4.0000000000000001E-3</v>
      </c>
      <c r="E2457">
        <v>2.5259653893852702E-29</v>
      </c>
      <c r="F2457">
        <v>4</v>
      </c>
      <c r="G2457" t="s">
        <v>5338</v>
      </c>
      <c r="H2457" t="s">
        <v>5339</v>
      </c>
      <c r="I2457" t="str">
        <f>HYPERLINK("https://zfin.org/")</f>
        <v>https://zfin.org/</v>
      </c>
      <c r="J2457" t="s">
        <v>5340</v>
      </c>
    </row>
    <row r="2458" spans="1:10" x14ac:dyDescent="0.2">
      <c r="A2458">
        <v>2.0661256536456001E-33</v>
      </c>
      <c r="B2458">
        <v>1.03457433232704</v>
      </c>
      <c r="C2458">
        <v>0.253</v>
      </c>
      <c r="D2458">
        <v>2.3E-2</v>
      </c>
      <c r="E2458">
        <v>2.87150143343665E-29</v>
      </c>
      <c r="F2458">
        <v>4</v>
      </c>
      <c r="G2458" t="s">
        <v>5341</v>
      </c>
      <c r="H2458" t="s">
        <v>5342</v>
      </c>
      <c r="I2458" t="str">
        <f>HYPERLINK("https://zfin.org/ZDB-GENE-131119-25")</f>
        <v>https://zfin.org/ZDB-GENE-131119-25</v>
      </c>
      <c r="J2458" t="s">
        <v>5343</v>
      </c>
    </row>
    <row r="2459" spans="1:10" x14ac:dyDescent="0.2">
      <c r="A2459">
        <v>3.2642350812476901E-33</v>
      </c>
      <c r="B2459">
        <v>1.41886201331234</v>
      </c>
      <c r="C2459">
        <v>1</v>
      </c>
      <c r="D2459">
        <v>0.83199999999999996</v>
      </c>
      <c r="E2459">
        <v>4.5366339159180401E-29</v>
      </c>
      <c r="F2459">
        <v>4</v>
      </c>
      <c r="G2459" t="s">
        <v>2622</v>
      </c>
      <c r="H2459" t="s">
        <v>2623</v>
      </c>
      <c r="I2459" t="str">
        <f>HYPERLINK("https://zfin.org/ZDB-GENE-051030-81")</f>
        <v>https://zfin.org/ZDB-GENE-051030-81</v>
      </c>
      <c r="J2459" t="s">
        <v>2624</v>
      </c>
    </row>
    <row r="2460" spans="1:10" x14ac:dyDescent="0.2">
      <c r="A2460">
        <v>4.3853046860388497E-33</v>
      </c>
      <c r="B2460">
        <v>0.327635342502752</v>
      </c>
      <c r="C2460">
        <v>0.107</v>
      </c>
      <c r="D2460">
        <v>3.0000000000000001E-3</v>
      </c>
      <c r="E2460">
        <v>6.0946964526567897E-29</v>
      </c>
      <c r="F2460">
        <v>4</v>
      </c>
      <c r="G2460" t="s">
        <v>5344</v>
      </c>
      <c r="H2460" t="s">
        <v>5345</v>
      </c>
      <c r="I2460" t="str">
        <f>HYPERLINK("https://zfin.org/ZDB-GENE-990603-5")</f>
        <v>https://zfin.org/ZDB-GENE-990603-5</v>
      </c>
      <c r="J2460" t="s">
        <v>5346</v>
      </c>
    </row>
    <row r="2461" spans="1:10" x14ac:dyDescent="0.2">
      <c r="A2461">
        <v>5.4424479532804999E-33</v>
      </c>
      <c r="B2461">
        <v>0.608532509307396</v>
      </c>
      <c r="C2461">
        <v>0.17299999999999999</v>
      </c>
      <c r="D2461">
        <v>0.01</v>
      </c>
      <c r="E2461">
        <v>7.5639141654692403E-29</v>
      </c>
      <c r="F2461">
        <v>4</v>
      </c>
      <c r="G2461" t="s">
        <v>5347</v>
      </c>
      <c r="H2461" t="s">
        <v>5348</v>
      </c>
      <c r="I2461" t="str">
        <f>HYPERLINK("https://zfin.org/ZDB-GENE-030131-6690")</f>
        <v>https://zfin.org/ZDB-GENE-030131-6690</v>
      </c>
      <c r="J2461" t="s">
        <v>5349</v>
      </c>
    </row>
    <row r="2462" spans="1:10" x14ac:dyDescent="0.2">
      <c r="A2462">
        <v>8.6165587659087005E-33</v>
      </c>
      <c r="B2462">
        <v>0.40858250963591802</v>
      </c>
      <c r="C2462">
        <v>0.16</v>
      </c>
      <c r="D2462">
        <v>8.0000000000000002E-3</v>
      </c>
      <c r="E2462">
        <v>1.19752933728599E-28</v>
      </c>
      <c r="F2462">
        <v>4</v>
      </c>
      <c r="G2462" t="s">
        <v>3808</v>
      </c>
      <c r="H2462" t="s">
        <v>3809</v>
      </c>
      <c r="I2462" t="str">
        <f>HYPERLINK("https://zfin.org/ZDB-GENE-040426-777")</f>
        <v>https://zfin.org/ZDB-GENE-040426-777</v>
      </c>
      <c r="J2462" t="s">
        <v>3810</v>
      </c>
    </row>
    <row r="2463" spans="1:10" x14ac:dyDescent="0.2">
      <c r="A2463">
        <v>2.7452904633016302E-32</v>
      </c>
      <c r="B2463">
        <v>0.56136102671226096</v>
      </c>
      <c r="C2463">
        <v>0.2</v>
      </c>
      <c r="D2463">
        <v>1.4E-2</v>
      </c>
      <c r="E2463">
        <v>3.8154046858965999E-28</v>
      </c>
      <c r="F2463">
        <v>4</v>
      </c>
      <c r="G2463" t="s">
        <v>5350</v>
      </c>
      <c r="H2463" t="s">
        <v>5351</v>
      </c>
      <c r="I2463" t="str">
        <f>HYPERLINK("https://zfin.org/ZDB-GENE-090313-328")</f>
        <v>https://zfin.org/ZDB-GENE-090313-328</v>
      </c>
      <c r="J2463" t="s">
        <v>5352</v>
      </c>
    </row>
    <row r="2464" spans="1:10" x14ac:dyDescent="0.2">
      <c r="A2464">
        <v>3.5779938509972399E-32</v>
      </c>
      <c r="B2464">
        <v>0.412978733622132</v>
      </c>
      <c r="C2464">
        <v>0.2</v>
      </c>
      <c r="D2464">
        <v>1.4E-2</v>
      </c>
      <c r="E2464">
        <v>4.9726958541159703E-28</v>
      </c>
      <c r="F2464">
        <v>4</v>
      </c>
      <c r="G2464" t="s">
        <v>5353</v>
      </c>
      <c r="H2464" t="s">
        <v>5354</v>
      </c>
      <c r="I2464" t="str">
        <f>HYPERLINK("https://zfin.org/ZDB-GENE-040718-334")</f>
        <v>https://zfin.org/ZDB-GENE-040718-334</v>
      </c>
      <c r="J2464" t="s">
        <v>5355</v>
      </c>
    </row>
    <row r="2465" spans="1:10" x14ac:dyDescent="0.2">
      <c r="A2465">
        <v>6.2541084357985099E-32</v>
      </c>
      <c r="B2465">
        <v>0.38367766382945201</v>
      </c>
      <c r="C2465">
        <v>0.12</v>
      </c>
      <c r="D2465">
        <v>4.0000000000000001E-3</v>
      </c>
      <c r="E2465">
        <v>8.6919599040727699E-28</v>
      </c>
      <c r="F2465">
        <v>4</v>
      </c>
      <c r="G2465" t="s">
        <v>5356</v>
      </c>
      <c r="H2465" t="s">
        <v>5357</v>
      </c>
      <c r="I2465" t="str">
        <f>HYPERLINK("https://zfin.org/ZDB-GENE-030131-4928")</f>
        <v>https://zfin.org/ZDB-GENE-030131-4928</v>
      </c>
      <c r="J2465" t="s">
        <v>5358</v>
      </c>
    </row>
    <row r="2466" spans="1:10" x14ac:dyDescent="0.2">
      <c r="A2466">
        <v>6.8989686384918697E-32</v>
      </c>
      <c r="B2466">
        <v>0.723070319025375</v>
      </c>
      <c r="C2466">
        <v>0.41299999999999998</v>
      </c>
      <c r="D2466">
        <v>6.2E-2</v>
      </c>
      <c r="E2466">
        <v>9.5881866137759997E-28</v>
      </c>
      <c r="F2466">
        <v>4</v>
      </c>
      <c r="G2466" t="s">
        <v>5359</v>
      </c>
      <c r="H2466" t="s">
        <v>5360</v>
      </c>
      <c r="I2466" t="str">
        <f>HYPERLINK("https://zfin.org/ZDB-GENE-060512-191")</f>
        <v>https://zfin.org/ZDB-GENE-060512-191</v>
      </c>
      <c r="J2466" t="s">
        <v>5361</v>
      </c>
    </row>
    <row r="2467" spans="1:10" x14ac:dyDescent="0.2">
      <c r="A2467">
        <v>7.46658127561045E-32</v>
      </c>
      <c r="B2467">
        <v>0.47849713962277202</v>
      </c>
      <c r="C2467">
        <v>0.16</v>
      </c>
      <c r="D2467">
        <v>8.9999999999999993E-3</v>
      </c>
      <c r="E2467">
        <v>1.0377054656843399E-27</v>
      </c>
      <c r="F2467">
        <v>4</v>
      </c>
      <c r="G2467" t="s">
        <v>5362</v>
      </c>
      <c r="H2467" t="s">
        <v>5363</v>
      </c>
      <c r="I2467" t="str">
        <f>HYPERLINK("https://zfin.org/ZDB-GENE-030131-969")</f>
        <v>https://zfin.org/ZDB-GENE-030131-969</v>
      </c>
      <c r="J2467" t="s">
        <v>5364</v>
      </c>
    </row>
    <row r="2468" spans="1:10" x14ac:dyDescent="0.2">
      <c r="A2468">
        <v>1.43193888254005E-31</v>
      </c>
      <c r="B2468">
        <v>1.20051666310137</v>
      </c>
      <c r="C2468">
        <v>0.66700000000000004</v>
      </c>
      <c r="D2468">
        <v>0.17199999999999999</v>
      </c>
      <c r="E2468">
        <v>1.9901086589541499E-27</v>
      </c>
      <c r="F2468">
        <v>4</v>
      </c>
      <c r="G2468" t="s">
        <v>3345</v>
      </c>
      <c r="H2468" t="s">
        <v>3346</v>
      </c>
      <c r="I2468" t="str">
        <f>HYPERLINK("https://zfin.org/ZDB-GENE-040426-977")</f>
        <v>https://zfin.org/ZDB-GENE-040426-977</v>
      </c>
      <c r="J2468" t="s">
        <v>3347</v>
      </c>
    </row>
    <row r="2469" spans="1:10" x14ac:dyDescent="0.2">
      <c r="A2469">
        <v>1.5002485551697901E-31</v>
      </c>
      <c r="B2469">
        <v>1.3103854011465501</v>
      </c>
      <c r="C2469">
        <v>0.94699999999999995</v>
      </c>
      <c r="D2469">
        <v>0.52</v>
      </c>
      <c r="E2469">
        <v>2.0850454419749699E-27</v>
      </c>
      <c r="F2469">
        <v>4</v>
      </c>
      <c r="G2469" t="s">
        <v>3062</v>
      </c>
      <c r="H2469" t="s">
        <v>3063</v>
      </c>
      <c r="I2469" t="str">
        <f>HYPERLINK("https://zfin.org/ZDB-GENE-010502-1")</f>
        <v>https://zfin.org/ZDB-GENE-010502-1</v>
      </c>
      <c r="J2469" t="s">
        <v>3064</v>
      </c>
    </row>
    <row r="2470" spans="1:10" x14ac:dyDescent="0.2">
      <c r="A2470">
        <v>3.7454252622368998E-31</v>
      </c>
      <c r="B2470">
        <v>1.15205618625177</v>
      </c>
      <c r="C2470">
        <v>0.66700000000000004</v>
      </c>
      <c r="D2470">
        <v>0.17299999999999999</v>
      </c>
      <c r="E2470">
        <v>5.20539202945684E-27</v>
      </c>
      <c r="F2470">
        <v>4</v>
      </c>
      <c r="G2470" t="s">
        <v>2957</v>
      </c>
      <c r="H2470" t="s">
        <v>2958</v>
      </c>
      <c r="I2470" t="str">
        <f>HYPERLINK("https://zfin.org/ZDB-GENE-141212-376")</f>
        <v>https://zfin.org/ZDB-GENE-141212-376</v>
      </c>
      <c r="J2470" t="s">
        <v>2959</v>
      </c>
    </row>
    <row r="2471" spans="1:10" x14ac:dyDescent="0.2">
      <c r="A2471">
        <v>4.9825323162488697E-31</v>
      </c>
      <c r="B2471">
        <v>0.42101080600332003</v>
      </c>
      <c r="C2471">
        <v>0.16</v>
      </c>
      <c r="D2471">
        <v>8.9999999999999993E-3</v>
      </c>
      <c r="E2471">
        <v>6.9247234131226799E-27</v>
      </c>
      <c r="F2471">
        <v>4</v>
      </c>
      <c r="G2471" t="s">
        <v>5365</v>
      </c>
      <c r="H2471" t="s">
        <v>5366</v>
      </c>
      <c r="I2471" t="str">
        <f>HYPERLINK("https://zfin.org/ZDB-GENE-030131-6252")</f>
        <v>https://zfin.org/ZDB-GENE-030131-6252</v>
      </c>
      <c r="J2471" t="s">
        <v>5367</v>
      </c>
    </row>
    <row r="2472" spans="1:10" x14ac:dyDescent="0.2">
      <c r="A2472">
        <v>6.5841083890062002E-31</v>
      </c>
      <c r="B2472">
        <v>1.5652369846710801</v>
      </c>
      <c r="C2472">
        <v>0.64</v>
      </c>
      <c r="D2472">
        <v>0.17299999999999999</v>
      </c>
      <c r="E2472">
        <v>9.1505938390408101E-27</v>
      </c>
      <c r="F2472">
        <v>4</v>
      </c>
      <c r="G2472" t="s">
        <v>3255</v>
      </c>
      <c r="H2472" t="s">
        <v>3256</v>
      </c>
      <c r="I2472" t="str">
        <f>HYPERLINK("https://zfin.org/ZDB-GENE-000210-8")</f>
        <v>https://zfin.org/ZDB-GENE-000210-8</v>
      </c>
      <c r="J2472" t="s">
        <v>3257</v>
      </c>
    </row>
    <row r="2473" spans="1:10" x14ac:dyDescent="0.2">
      <c r="A2473">
        <v>6.6366476953367E-31</v>
      </c>
      <c r="B2473">
        <v>0.75004090888343999</v>
      </c>
      <c r="C2473">
        <v>0.29299999999999998</v>
      </c>
      <c r="D2473">
        <v>3.3000000000000002E-2</v>
      </c>
      <c r="E2473">
        <v>9.2236129669789497E-27</v>
      </c>
      <c r="F2473">
        <v>4</v>
      </c>
      <c r="G2473" t="s">
        <v>5368</v>
      </c>
      <c r="H2473" t="s">
        <v>5369</v>
      </c>
      <c r="I2473" t="str">
        <f>HYPERLINK("https://zfin.org/ZDB-GENE-040721-1")</f>
        <v>https://zfin.org/ZDB-GENE-040721-1</v>
      </c>
      <c r="J2473" t="s">
        <v>5370</v>
      </c>
    </row>
    <row r="2474" spans="1:10" x14ac:dyDescent="0.2">
      <c r="A2474">
        <v>6.7766984706144801E-31</v>
      </c>
      <c r="B2474">
        <v>0.55087762107397298</v>
      </c>
      <c r="C2474">
        <v>0.21299999999999999</v>
      </c>
      <c r="D2474">
        <v>1.7000000000000001E-2</v>
      </c>
      <c r="E2474">
        <v>9.4182555344600093E-27</v>
      </c>
      <c r="F2474">
        <v>4</v>
      </c>
      <c r="G2474" t="s">
        <v>5371</v>
      </c>
      <c r="H2474" t="s">
        <v>5372</v>
      </c>
      <c r="I2474" t="str">
        <f>HYPERLINK("https://zfin.org/ZDB-GENE-091204-387")</f>
        <v>https://zfin.org/ZDB-GENE-091204-387</v>
      </c>
      <c r="J2474" t="s">
        <v>5373</v>
      </c>
    </row>
    <row r="2475" spans="1:10" x14ac:dyDescent="0.2">
      <c r="A2475">
        <v>1.2444427033175E-30</v>
      </c>
      <c r="B2475">
        <v>0.53677857507317805</v>
      </c>
      <c r="C2475">
        <v>0.17299999999999999</v>
      </c>
      <c r="D2475">
        <v>1.0999999999999999E-2</v>
      </c>
      <c r="E2475">
        <v>1.72952646907066E-26</v>
      </c>
      <c r="F2475">
        <v>4</v>
      </c>
      <c r="G2475" t="s">
        <v>5374</v>
      </c>
      <c r="H2475" t="s">
        <v>5375</v>
      </c>
      <c r="I2475" t="str">
        <f>HYPERLINK("https://zfin.org/ZDB-GENE-991019-4")</f>
        <v>https://zfin.org/ZDB-GENE-991019-4</v>
      </c>
      <c r="J2475" t="s">
        <v>5376</v>
      </c>
    </row>
    <row r="2476" spans="1:10" x14ac:dyDescent="0.2">
      <c r="A2476">
        <v>1.28314559087143E-30</v>
      </c>
      <c r="B2476">
        <v>0.97962480131146301</v>
      </c>
      <c r="C2476">
        <v>0.52</v>
      </c>
      <c r="D2476">
        <v>0.106</v>
      </c>
      <c r="E2476">
        <v>1.7833157421931101E-26</v>
      </c>
      <c r="F2476">
        <v>4</v>
      </c>
      <c r="G2476" t="s">
        <v>5377</v>
      </c>
      <c r="H2476" t="s">
        <v>5378</v>
      </c>
      <c r="I2476" t="str">
        <f>HYPERLINK("https://zfin.org/ZDB-GENE-041010-210")</f>
        <v>https://zfin.org/ZDB-GENE-041010-210</v>
      </c>
      <c r="J2476" t="s">
        <v>5379</v>
      </c>
    </row>
    <row r="2477" spans="1:10" x14ac:dyDescent="0.2">
      <c r="A2477">
        <v>1.72526456965623E-30</v>
      </c>
      <c r="B2477">
        <v>0.40534659804185302</v>
      </c>
      <c r="C2477">
        <v>0.13300000000000001</v>
      </c>
      <c r="D2477">
        <v>6.0000000000000001E-3</v>
      </c>
      <c r="E2477">
        <v>2.39777269890823E-26</v>
      </c>
      <c r="F2477">
        <v>4</v>
      </c>
      <c r="G2477" t="s">
        <v>5380</v>
      </c>
      <c r="H2477" t="s">
        <v>5381</v>
      </c>
      <c r="I2477" t="str">
        <f>HYPERLINK("https://zfin.org/ZDB-GENE-030131-3256")</f>
        <v>https://zfin.org/ZDB-GENE-030131-3256</v>
      </c>
      <c r="J2477" t="s">
        <v>5382</v>
      </c>
    </row>
    <row r="2478" spans="1:10" x14ac:dyDescent="0.2">
      <c r="A2478">
        <v>3.6135353244505398E-30</v>
      </c>
      <c r="B2478">
        <v>0.396701078551501</v>
      </c>
      <c r="C2478">
        <v>0.14699999999999999</v>
      </c>
      <c r="D2478">
        <v>8.0000000000000002E-3</v>
      </c>
      <c r="E2478">
        <v>5.02209139392136E-26</v>
      </c>
      <c r="F2478">
        <v>4</v>
      </c>
      <c r="G2478" t="s">
        <v>5383</v>
      </c>
      <c r="H2478" t="s">
        <v>5384</v>
      </c>
      <c r="I2478" t="str">
        <f>HYPERLINK("https://zfin.org/ZDB-GENE-091204-314")</f>
        <v>https://zfin.org/ZDB-GENE-091204-314</v>
      </c>
      <c r="J2478" t="s">
        <v>5385</v>
      </c>
    </row>
    <row r="2479" spans="1:10" x14ac:dyDescent="0.2">
      <c r="A2479">
        <v>3.7993401635230098E-30</v>
      </c>
      <c r="B2479">
        <v>0.477112764073853</v>
      </c>
      <c r="C2479">
        <v>0.14699999999999999</v>
      </c>
      <c r="D2479">
        <v>8.0000000000000002E-3</v>
      </c>
      <c r="E2479">
        <v>5.2803229592642803E-26</v>
      </c>
      <c r="F2479">
        <v>4</v>
      </c>
      <c r="G2479" t="s">
        <v>5386</v>
      </c>
      <c r="H2479" t="s">
        <v>5387</v>
      </c>
      <c r="I2479" t="str">
        <f>HYPERLINK("https://zfin.org/ZDB-GENE-051113-100")</f>
        <v>https://zfin.org/ZDB-GENE-051113-100</v>
      </c>
      <c r="J2479" t="s">
        <v>5388</v>
      </c>
    </row>
    <row r="2480" spans="1:10" x14ac:dyDescent="0.2">
      <c r="A2480">
        <v>2.05485898696305E-29</v>
      </c>
      <c r="B2480">
        <v>0.99131241442238505</v>
      </c>
      <c r="C2480">
        <v>0.98699999999999999</v>
      </c>
      <c r="D2480">
        <v>0.73099999999999998</v>
      </c>
      <c r="E2480">
        <v>2.8558430200812499E-25</v>
      </c>
      <c r="F2480">
        <v>4</v>
      </c>
      <c r="G2480" t="s">
        <v>2786</v>
      </c>
      <c r="H2480" t="s">
        <v>2787</v>
      </c>
      <c r="I2480" t="str">
        <f>HYPERLINK("https://zfin.org/ZDB-GENE-050417-329")</f>
        <v>https://zfin.org/ZDB-GENE-050417-329</v>
      </c>
      <c r="J2480" t="s">
        <v>2788</v>
      </c>
    </row>
    <row r="2481" spans="1:10" x14ac:dyDescent="0.2">
      <c r="A2481">
        <v>2.1951422451703701E-29</v>
      </c>
      <c r="B2481">
        <v>1.39049879163838</v>
      </c>
      <c r="C2481">
        <v>0.49299999999999999</v>
      </c>
      <c r="D2481">
        <v>0.10100000000000001</v>
      </c>
      <c r="E2481">
        <v>3.05080869233777E-25</v>
      </c>
      <c r="F2481">
        <v>4</v>
      </c>
      <c r="G2481" t="s">
        <v>5389</v>
      </c>
      <c r="H2481" t="s">
        <v>5390</v>
      </c>
      <c r="I2481" t="str">
        <f>HYPERLINK("https://zfin.org/")</f>
        <v>https://zfin.org/</v>
      </c>
    </row>
    <row r="2482" spans="1:10" x14ac:dyDescent="0.2">
      <c r="A2482">
        <v>2.1970080372616299E-29</v>
      </c>
      <c r="B2482">
        <v>0.30353642645533502</v>
      </c>
      <c r="C2482">
        <v>0.107</v>
      </c>
      <c r="D2482">
        <v>4.0000000000000001E-3</v>
      </c>
      <c r="E2482">
        <v>3.0534017701862098E-25</v>
      </c>
      <c r="F2482">
        <v>4</v>
      </c>
      <c r="G2482" t="s">
        <v>5391</v>
      </c>
      <c r="H2482" t="s">
        <v>5392</v>
      </c>
      <c r="I2482" t="str">
        <f>HYPERLINK("https://zfin.org/ZDB-GENE-041114-165")</f>
        <v>https://zfin.org/ZDB-GENE-041114-165</v>
      </c>
      <c r="J2482" t="s">
        <v>5393</v>
      </c>
    </row>
    <row r="2483" spans="1:10" x14ac:dyDescent="0.2">
      <c r="A2483">
        <v>2.5222372461377201E-29</v>
      </c>
      <c r="B2483">
        <v>0.27769263391047</v>
      </c>
      <c r="C2483">
        <v>0.13300000000000001</v>
      </c>
      <c r="D2483">
        <v>6.0000000000000001E-3</v>
      </c>
      <c r="E2483">
        <v>3.5054053246822001E-25</v>
      </c>
      <c r="F2483">
        <v>4</v>
      </c>
      <c r="G2483" t="s">
        <v>5394</v>
      </c>
      <c r="H2483" t="s">
        <v>5395</v>
      </c>
      <c r="I2483" t="str">
        <f>HYPERLINK("https://zfin.org/ZDB-GENE-050522-103")</f>
        <v>https://zfin.org/ZDB-GENE-050522-103</v>
      </c>
      <c r="J2483" t="s">
        <v>5396</v>
      </c>
    </row>
    <row r="2484" spans="1:10" x14ac:dyDescent="0.2">
      <c r="A2484">
        <v>4.0760400930665201E-29</v>
      </c>
      <c r="B2484">
        <v>0.76138587766127996</v>
      </c>
      <c r="C2484">
        <v>0.24</v>
      </c>
      <c r="D2484">
        <v>2.3E-2</v>
      </c>
      <c r="E2484">
        <v>5.6648805213438496E-25</v>
      </c>
      <c r="F2484">
        <v>4</v>
      </c>
      <c r="G2484" t="s">
        <v>5397</v>
      </c>
      <c r="H2484" t="s">
        <v>5398</v>
      </c>
      <c r="I2484" t="str">
        <f>HYPERLINK("https://zfin.org/ZDB-GENE-990415-25")</f>
        <v>https://zfin.org/ZDB-GENE-990415-25</v>
      </c>
      <c r="J2484" t="s">
        <v>3926</v>
      </c>
    </row>
    <row r="2485" spans="1:10" x14ac:dyDescent="0.2">
      <c r="A2485">
        <v>4.75403356091833E-29</v>
      </c>
      <c r="B2485">
        <v>0.34981977220619498</v>
      </c>
      <c r="C2485">
        <v>0.12</v>
      </c>
      <c r="D2485">
        <v>5.0000000000000001E-3</v>
      </c>
      <c r="E2485">
        <v>6.6071558429642997E-25</v>
      </c>
      <c r="F2485">
        <v>4</v>
      </c>
      <c r="G2485" t="s">
        <v>5399</v>
      </c>
      <c r="H2485" t="s">
        <v>5400</v>
      </c>
      <c r="I2485" t="str">
        <f>HYPERLINK("https://zfin.org/ZDB-GENE-060929-592")</f>
        <v>https://zfin.org/ZDB-GENE-060929-592</v>
      </c>
      <c r="J2485" t="s">
        <v>5401</v>
      </c>
    </row>
    <row r="2486" spans="1:10" x14ac:dyDescent="0.2">
      <c r="A2486">
        <v>3.6730491103823102E-28</v>
      </c>
      <c r="B2486">
        <v>1.03828162538533</v>
      </c>
      <c r="C2486">
        <v>0.97299999999999998</v>
      </c>
      <c r="D2486">
        <v>0.60499999999999998</v>
      </c>
      <c r="E2486">
        <v>5.1048036536093402E-24</v>
      </c>
      <c r="F2486">
        <v>4</v>
      </c>
      <c r="G2486" t="s">
        <v>2873</v>
      </c>
      <c r="H2486" t="s">
        <v>2874</v>
      </c>
      <c r="I2486" t="str">
        <f>HYPERLINK("https://zfin.org/ZDB-GENE-050506-24")</f>
        <v>https://zfin.org/ZDB-GENE-050506-24</v>
      </c>
      <c r="J2486" t="s">
        <v>2875</v>
      </c>
    </row>
    <row r="2487" spans="1:10" x14ac:dyDescent="0.2">
      <c r="A2487">
        <v>7.3604688796563104E-28</v>
      </c>
      <c r="B2487">
        <v>0.32628665801346102</v>
      </c>
      <c r="C2487">
        <v>0.107</v>
      </c>
      <c r="D2487">
        <v>4.0000000000000001E-3</v>
      </c>
      <c r="E2487">
        <v>1.0229579648946299E-23</v>
      </c>
      <c r="F2487">
        <v>4</v>
      </c>
      <c r="G2487" t="s">
        <v>5402</v>
      </c>
      <c r="H2487" t="s">
        <v>5403</v>
      </c>
      <c r="I2487" t="str">
        <f>HYPERLINK("https://zfin.org/ZDB-GENE-050522-493")</f>
        <v>https://zfin.org/ZDB-GENE-050522-493</v>
      </c>
      <c r="J2487" t="s">
        <v>5404</v>
      </c>
    </row>
    <row r="2488" spans="1:10" x14ac:dyDescent="0.2">
      <c r="A2488">
        <v>1.1627381925019701E-27</v>
      </c>
      <c r="B2488">
        <v>0.32851608638118801</v>
      </c>
      <c r="C2488">
        <v>0.16</v>
      </c>
      <c r="D2488">
        <v>0.01</v>
      </c>
      <c r="E2488">
        <v>1.6159735399392301E-23</v>
      </c>
      <c r="F2488">
        <v>4</v>
      </c>
      <c r="G2488" t="s">
        <v>5405</v>
      </c>
      <c r="H2488" t="s">
        <v>5406</v>
      </c>
      <c r="I2488" t="str">
        <f>HYPERLINK("https://zfin.org/ZDB-GENE-041001-194")</f>
        <v>https://zfin.org/ZDB-GENE-041001-194</v>
      </c>
      <c r="J2488" t="s">
        <v>5407</v>
      </c>
    </row>
    <row r="2489" spans="1:10" x14ac:dyDescent="0.2">
      <c r="A2489">
        <v>1.8459408763690099E-27</v>
      </c>
      <c r="B2489">
        <v>0.39694214178626003</v>
      </c>
      <c r="C2489">
        <v>0.14699999999999999</v>
      </c>
      <c r="D2489">
        <v>8.9999999999999993E-3</v>
      </c>
      <c r="E2489">
        <v>2.5654886299776499E-23</v>
      </c>
      <c r="F2489">
        <v>4</v>
      </c>
      <c r="G2489" t="s">
        <v>5408</v>
      </c>
      <c r="H2489" t="s">
        <v>5409</v>
      </c>
      <c r="I2489" t="str">
        <f>HYPERLINK("https://zfin.org/ZDB-GENE-040426-1947")</f>
        <v>https://zfin.org/ZDB-GENE-040426-1947</v>
      </c>
      <c r="J2489" t="s">
        <v>5410</v>
      </c>
    </row>
    <row r="2490" spans="1:10" x14ac:dyDescent="0.2">
      <c r="A2490">
        <v>1.10508005060697E-26</v>
      </c>
      <c r="B2490">
        <v>0.52003318227584905</v>
      </c>
      <c r="C2490">
        <v>0.2</v>
      </c>
      <c r="D2490">
        <v>1.7000000000000001E-2</v>
      </c>
      <c r="E2490">
        <v>1.5358402543335699E-22</v>
      </c>
      <c r="F2490">
        <v>4</v>
      </c>
      <c r="G2490" t="s">
        <v>5411</v>
      </c>
      <c r="H2490" t="s">
        <v>5412</v>
      </c>
      <c r="I2490" t="str">
        <f>HYPERLINK("https://zfin.org/ZDB-GENE-030131-7003")</f>
        <v>https://zfin.org/ZDB-GENE-030131-7003</v>
      </c>
      <c r="J2490" t="s">
        <v>5413</v>
      </c>
    </row>
    <row r="2491" spans="1:10" x14ac:dyDescent="0.2">
      <c r="A2491">
        <v>1.3781402037044301E-26</v>
      </c>
      <c r="B2491">
        <v>0.32783362149188899</v>
      </c>
      <c r="C2491">
        <v>0.107</v>
      </c>
      <c r="D2491">
        <v>4.0000000000000001E-3</v>
      </c>
      <c r="E2491">
        <v>1.9153392551084101E-22</v>
      </c>
      <c r="F2491">
        <v>4</v>
      </c>
      <c r="G2491" t="s">
        <v>5414</v>
      </c>
      <c r="H2491" t="s">
        <v>5415</v>
      </c>
      <c r="I2491" t="str">
        <f>HYPERLINK("https://zfin.org/ZDB-GENE-030131-9827")</f>
        <v>https://zfin.org/ZDB-GENE-030131-9827</v>
      </c>
      <c r="J2491" t="s">
        <v>5416</v>
      </c>
    </row>
    <row r="2492" spans="1:10" x14ac:dyDescent="0.2">
      <c r="A2492">
        <v>1.6734368438644701E-26</v>
      </c>
      <c r="B2492">
        <v>0.49687670842651899</v>
      </c>
      <c r="C2492">
        <v>0.17299999999999999</v>
      </c>
      <c r="D2492">
        <v>1.2999999999999999E-2</v>
      </c>
      <c r="E2492">
        <v>2.3257425256028399E-22</v>
      </c>
      <c r="F2492">
        <v>4</v>
      </c>
      <c r="G2492" t="s">
        <v>3823</v>
      </c>
      <c r="H2492" t="s">
        <v>3824</v>
      </c>
      <c r="I2492" t="str">
        <f>HYPERLINK("https://zfin.org/ZDB-GENE-071004-17")</f>
        <v>https://zfin.org/ZDB-GENE-071004-17</v>
      </c>
      <c r="J2492" t="s">
        <v>3825</v>
      </c>
    </row>
    <row r="2493" spans="1:10" x14ac:dyDescent="0.2">
      <c r="A2493">
        <v>1.6744522213208701E-26</v>
      </c>
      <c r="B2493">
        <v>0.356678463631246</v>
      </c>
      <c r="C2493">
        <v>0.14699999999999999</v>
      </c>
      <c r="D2493">
        <v>8.9999999999999993E-3</v>
      </c>
      <c r="E2493">
        <v>2.3271536971917401E-22</v>
      </c>
      <c r="F2493">
        <v>4</v>
      </c>
      <c r="G2493" t="s">
        <v>5417</v>
      </c>
      <c r="H2493" t="s">
        <v>5418</v>
      </c>
      <c r="I2493" t="str">
        <f>HYPERLINK("https://zfin.org/ZDB-GENE-050622-16")</f>
        <v>https://zfin.org/ZDB-GENE-050622-16</v>
      </c>
      <c r="J2493" t="s">
        <v>5419</v>
      </c>
    </row>
    <row r="2494" spans="1:10" x14ac:dyDescent="0.2">
      <c r="A2494">
        <v>1.83231230739761E-26</v>
      </c>
      <c r="B2494">
        <v>0.43440527220310199</v>
      </c>
      <c r="C2494">
        <v>0.16</v>
      </c>
      <c r="D2494">
        <v>1.0999999999999999E-2</v>
      </c>
      <c r="E2494">
        <v>2.5465476448211998E-22</v>
      </c>
      <c r="F2494">
        <v>4</v>
      </c>
      <c r="G2494" t="s">
        <v>5420</v>
      </c>
      <c r="H2494" t="s">
        <v>5421</v>
      </c>
      <c r="I2494" t="str">
        <f>HYPERLINK("https://zfin.org/ZDB-GENE-110411-9")</f>
        <v>https://zfin.org/ZDB-GENE-110411-9</v>
      </c>
      <c r="J2494" t="s">
        <v>5422</v>
      </c>
    </row>
    <row r="2495" spans="1:10" x14ac:dyDescent="0.2">
      <c r="A2495">
        <v>2.9689222630270003E-26</v>
      </c>
      <c r="B2495">
        <v>0.79777726965870099</v>
      </c>
      <c r="C2495">
        <v>0.4</v>
      </c>
      <c r="D2495">
        <v>7.0000000000000007E-2</v>
      </c>
      <c r="E2495">
        <v>4.1262081611549299E-22</v>
      </c>
      <c r="F2495">
        <v>4</v>
      </c>
      <c r="G2495" t="s">
        <v>5423</v>
      </c>
      <c r="H2495" t="s">
        <v>5424</v>
      </c>
      <c r="I2495" t="str">
        <f>HYPERLINK("https://zfin.org/ZDB-GENE-030131-5366")</f>
        <v>https://zfin.org/ZDB-GENE-030131-5366</v>
      </c>
      <c r="J2495" t="s">
        <v>5425</v>
      </c>
    </row>
    <row r="2496" spans="1:10" x14ac:dyDescent="0.2">
      <c r="A2496">
        <v>2.5123205575679501E-25</v>
      </c>
      <c r="B2496">
        <v>0.45396511621352098</v>
      </c>
      <c r="C2496">
        <v>0.21299999999999999</v>
      </c>
      <c r="D2496">
        <v>2.1000000000000001E-2</v>
      </c>
      <c r="E2496">
        <v>3.4916231109079399E-21</v>
      </c>
      <c r="F2496">
        <v>4</v>
      </c>
      <c r="G2496" t="s">
        <v>5426</v>
      </c>
      <c r="H2496" t="s">
        <v>5427</v>
      </c>
      <c r="I2496" t="str">
        <f>HYPERLINK("https://zfin.org/ZDB-GENE-020419-21")</f>
        <v>https://zfin.org/ZDB-GENE-020419-21</v>
      </c>
      <c r="J2496" t="s">
        <v>5428</v>
      </c>
    </row>
    <row r="2497" spans="1:10" x14ac:dyDescent="0.2">
      <c r="A2497">
        <v>4.14757075413171E-25</v>
      </c>
      <c r="B2497">
        <v>0.50629802532611801</v>
      </c>
      <c r="C2497">
        <v>0.2</v>
      </c>
      <c r="D2497">
        <v>1.9E-2</v>
      </c>
      <c r="E2497">
        <v>5.7642938340922403E-21</v>
      </c>
      <c r="F2497">
        <v>4</v>
      </c>
      <c r="G2497" t="s">
        <v>5429</v>
      </c>
      <c r="H2497" t="s">
        <v>5430</v>
      </c>
      <c r="I2497" t="str">
        <f>HYPERLINK("https://zfin.org/ZDB-GENE-050913-156")</f>
        <v>https://zfin.org/ZDB-GENE-050913-156</v>
      </c>
      <c r="J2497" t="s">
        <v>5431</v>
      </c>
    </row>
    <row r="2498" spans="1:10" x14ac:dyDescent="0.2">
      <c r="A2498">
        <v>2.6944411023807499E-24</v>
      </c>
      <c r="B2498">
        <v>0.29823345659712902</v>
      </c>
      <c r="C2498">
        <v>0.14699999999999999</v>
      </c>
      <c r="D2498">
        <v>0.01</v>
      </c>
      <c r="E2498">
        <v>3.7447342440887603E-20</v>
      </c>
      <c r="F2498">
        <v>4</v>
      </c>
      <c r="G2498" t="s">
        <v>5432</v>
      </c>
      <c r="H2498" t="s">
        <v>5433</v>
      </c>
      <c r="I2498" t="str">
        <f>HYPERLINK("https://zfin.org/ZDB-GENE-070112-422")</f>
        <v>https://zfin.org/ZDB-GENE-070112-422</v>
      </c>
      <c r="J2498" t="s">
        <v>5434</v>
      </c>
    </row>
    <row r="2499" spans="1:10" x14ac:dyDescent="0.2">
      <c r="A2499">
        <v>2.8366351346094999E-24</v>
      </c>
      <c r="B2499">
        <v>0.59139039370618696</v>
      </c>
      <c r="C2499">
        <v>0.24</v>
      </c>
      <c r="D2499">
        <v>2.8000000000000001E-2</v>
      </c>
      <c r="E2499">
        <v>3.9423555100802897E-20</v>
      </c>
      <c r="F2499">
        <v>4</v>
      </c>
      <c r="G2499" t="s">
        <v>5435</v>
      </c>
      <c r="H2499" t="s">
        <v>5436</v>
      </c>
      <c r="I2499" t="str">
        <f>HYPERLINK("https://zfin.org/ZDB-GENE-041024-3")</f>
        <v>https://zfin.org/ZDB-GENE-041024-3</v>
      </c>
      <c r="J2499" t="s">
        <v>5437</v>
      </c>
    </row>
    <row r="2500" spans="1:10" x14ac:dyDescent="0.2">
      <c r="A2500">
        <v>5.4209276347173599E-24</v>
      </c>
      <c r="B2500">
        <v>0.28220417062900299</v>
      </c>
      <c r="C2500">
        <v>0.107</v>
      </c>
      <c r="D2500">
        <v>5.0000000000000001E-3</v>
      </c>
      <c r="E2500">
        <v>7.53400522673019E-20</v>
      </c>
      <c r="F2500">
        <v>4</v>
      </c>
      <c r="G2500" t="s">
        <v>5438</v>
      </c>
      <c r="H2500" t="s">
        <v>5439</v>
      </c>
      <c r="I2500" t="str">
        <f>HYPERLINK("https://zfin.org/ZDB-GENE-030131-5420")</f>
        <v>https://zfin.org/ZDB-GENE-030131-5420</v>
      </c>
      <c r="J2500" t="s">
        <v>5440</v>
      </c>
    </row>
    <row r="2501" spans="1:10" x14ac:dyDescent="0.2">
      <c r="A2501">
        <v>6.6629792722387196E-24</v>
      </c>
      <c r="B2501">
        <v>0.99258337553188303</v>
      </c>
      <c r="C2501">
        <v>0.94699999999999995</v>
      </c>
      <c r="D2501">
        <v>0.59599999999999997</v>
      </c>
      <c r="E2501">
        <v>9.26020859255737E-20</v>
      </c>
      <c r="F2501">
        <v>4</v>
      </c>
      <c r="G2501" t="s">
        <v>3417</v>
      </c>
      <c r="H2501" t="s">
        <v>3418</v>
      </c>
      <c r="I2501" t="str">
        <f>HYPERLINK("https://zfin.org/ZDB-GENE-040426-860")</f>
        <v>https://zfin.org/ZDB-GENE-040426-860</v>
      </c>
      <c r="J2501" t="s">
        <v>3419</v>
      </c>
    </row>
    <row r="2502" spans="1:10" x14ac:dyDescent="0.2">
      <c r="A2502">
        <v>1.13534302604474E-23</v>
      </c>
      <c r="B2502">
        <v>1.0486679141387001</v>
      </c>
      <c r="C2502">
        <v>0.72</v>
      </c>
      <c r="D2502">
        <v>0.27200000000000002</v>
      </c>
      <c r="E2502">
        <v>1.5778997375969799E-19</v>
      </c>
      <c r="F2502">
        <v>4</v>
      </c>
      <c r="G2502" t="s">
        <v>5441</v>
      </c>
      <c r="H2502" t="s">
        <v>5442</v>
      </c>
      <c r="I2502" t="str">
        <f>HYPERLINK("https://zfin.org/ZDB-GENE-030131-6657")</f>
        <v>https://zfin.org/ZDB-GENE-030131-6657</v>
      </c>
      <c r="J2502" t="s">
        <v>5443</v>
      </c>
    </row>
    <row r="2503" spans="1:10" x14ac:dyDescent="0.2">
      <c r="A2503">
        <v>1.17287067977639E-23</v>
      </c>
      <c r="B2503">
        <v>0.28730586672568298</v>
      </c>
      <c r="C2503">
        <v>0.12</v>
      </c>
      <c r="D2503">
        <v>7.0000000000000001E-3</v>
      </c>
      <c r="E2503">
        <v>1.63005567075323E-19</v>
      </c>
      <c r="F2503">
        <v>4</v>
      </c>
      <c r="G2503" t="s">
        <v>5444</v>
      </c>
      <c r="H2503" t="s">
        <v>5445</v>
      </c>
      <c r="I2503" t="str">
        <f>HYPERLINK("https://zfin.org/ZDB-GENE-030131-5188")</f>
        <v>https://zfin.org/ZDB-GENE-030131-5188</v>
      </c>
      <c r="J2503" t="s">
        <v>5446</v>
      </c>
    </row>
    <row r="2504" spans="1:10" x14ac:dyDescent="0.2">
      <c r="A2504">
        <v>3.5304063557161102E-23</v>
      </c>
      <c r="B2504">
        <v>0.36157433530273703</v>
      </c>
      <c r="C2504">
        <v>0.13300000000000001</v>
      </c>
      <c r="D2504">
        <v>8.9999999999999993E-3</v>
      </c>
      <c r="E2504">
        <v>4.9065587531742502E-19</v>
      </c>
      <c r="F2504">
        <v>4</v>
      </c>
      <c r="G2504" t="s">
        <v>5447</v>
      </c>
      <c r="H2504" t="s">
        <v>5448</v>
      </c>
      <c r="I2504" t="str">
        <f>HYPERLINK("https://zfin.org/ZDB-GENE-110517-1")</f>
        <v>https://zfin.org/ZDB-GENE-110517-1</v>
      </c>
      <c r="J2504" t="s">
        <v>5449</v>
      </c>
    </row>
    <row r="2505" spans="1:10" x14ac:dyDescent="0.2">
      <c r="A2505">
        <v>5.4162999822757005E-23</v>
      </c>
      <c r="B2505">
        <v>0.96143239215893295</v>
      </c>
      <c r="C2505">
        <v>0.72</v>
      </c>
      <c r="D2505">
        <v>0.254</v>
      </c>
      <c r="E2505">
        <v>7.5275737153667699E-19</v>
      </c>
      <c r="F2505">
        <v>4</v>
      </c>
      <c r="G2505" t="s">
        <v>3853</v>
      </c>
      <c r="H2505" t="s">
        <v>3854</v>
      </c>
      <c r="I2505" t="str">
        <f>HYPERLINK("https://zfin.org/ZDB-GENE-030131-461")</f>
        <v>https://zfin.org/ZDB-GENE-030131-461</v>
      </c>
      <c r="J2505" t="s">
        <v>3855</v>
      </c>
    </row>
    <row r="2506" spans="1:10" x14ac:dyDescent="0.2">
      <c r="A2506">
        <v>5.7582564729311202E-23</v>
      </c>
      <c r="B2506">
        <v>0.39531018252662298</v>
      </c>
      <c r="C2506">
        <v>0.12</v>
      </c>
      <c r="D2506">
        <v>7.0000000000000001E-3</v>
      </c>
      <c r="E2506">
        <v>8.0028248460796804E-19</v>
      </c>
      <c r="F2506">
        <v>4</v>
      </c>
      <c r="G2506" t="s">
        <v>5450</v>
      </c>
      <c r="H2506" t="s">
        <v>5451</v>
      </c>
      <c r="I2506" t="str">
        <f>HYPERLINK("https://zfin.org/ZDB-GENE-060531-56")</f>
        <v>https://zfin.org/ZDB-GENE-060531-56</v>
      </c>
      <c r="J2506" t="s">
        <v>5452</v>
      </c>
    </row>
    <row r="2507" spans="1:10" x14ac:dyDescent="0.2">
      <c r="A2507">
        <v>6.5830490808808403E-23</v>
      </c>
      <c r="B2507">
        <v>0.26404578766606901</v>
      </c>
      <c r="C2507">
        <v>0.107</v>
      </c>
      <c r="D2507">
        <v>5.0000000000000001E-3</v>
      </c>
      <c r="E2507">
        <v>9.1491216126081898E-19</v>
      </c>
      <c r="F2507">
        <v>4</v>
      </c>
      <c r="G2507" t="s">
        <v>5453</v>
      </c>
      <c r="H2507" t="s">
        <v>5454</v>
      </c>
      <c r="I2507" t="str">
        <f>HYPERLINK("https://zfin.org/ZDB-GENE-050419-96")</f>
        <v>https://zfin.org/ZDB-GENE-050419-96</v>
      </c>
      <c r="J2507" t="s">
        <v>5455</v>
      </c>
    </row>
    <row r="2508" spans="1:10" x14ac:dyDescent="0.2">
      <c r="A2508">
        <v>1.0262979419824E-22</v>
      </c>
      <c r="B2508">
        <v>0.40191550158672501</v>
      </c>
      <c r="C2508">
        <v>0.14699999999999999</v>
      </c>
      <c r="D2508">
        <v>1.0999999999999999E-2</v>
      </c>
      <c r="E2508">
        <v>1.4263488797671401E-18</v>
      </c>
      <c r="F2508">
        <v>4</v>
      </c>
      <c r="G2508" t="s">
        <v>3847</v>
      </c>
      <c r="H2508" t="s">
        <v>3848</v>
      </c>
      <c r="I2508" t="str">
        <f>HYPERLINK("https://zfin.org/ZDB-GENE-070928-7")</f>
        <v>https://zfin.org/ZDB-GENE-070928-7</v>
      </c>
      <c r="J2508" t="s">
        <v>3849</v>
      </c>
    </row>
    <row r="2509" spans="1:10" x14ac:dyDescent="0.2">
      <c r="A2509">
        <v>1.6866879609060201E-22</v>
      </c>
      <c r="B2509">
        <v>0.29975492380211999</v>
      </c>
      <c r="C2509">
        <v>0.13300000000000001</v>
      </c>
      <c r="D2509">
        <v>8.9999999999999993E-3</v>
      </c>
      <c r="E2509">
        <v>2.3441589280671801E-18</v>
      </c>
      <c r="F2509">
        <v>4</v>
      </c>
      <c r="G2509" t="s">
        <v>5456</v>
      </c>
      <c r="H2509" t="s">
        <v>5457</v>
      </c>
      <c r="I2509" t="str">
        <f>HYPERLINK("https://zfin.org/ZDB-GENE-040801-74")</f>
        <v>https://zfin.org/ZDB-GENE-040801-74</v>
      </c>
      <c r="J2509" t="s">
        <v>5458</v>
      </c>
    </row>
    <row r="2510" spans="1:10" x14ac:dyDescent="0.2">
      <c r="A2510">
        <v>1.7100327493818501E-22</v>
      </c>
      <c r="B2510">
        <v>0.30511372157106198</v>
      </c>
      <c r="C2510">
        <v>0.13300000000000001</v>
      </c>
      <c r="D2510">
        <v>8.9999999999999993E-3</v>
      </c>
      <c r="E2510">
        <v>2.3766035150908898E-18</v>
      </c>
      <c r="F2510">
        <v>4</v>
      </c>
      <c r="G2510" t="s">
        <v>5459</v>
      </c>
      <c r="H2510" t="s">
        <v>5460</v>
      </c>
      <c r="I2510" t="str">
        <f>HYPERLINK("https://zfin.org/ZDB-GENE-040801-30")</f>
        <v>https://zfin.org/ZDB-GENE-040801-30</v>
      </c>
      <c r="J2510" t="s">
        <v>5461</v>
      </c>
    </row>
    <row r="2511" spans="1:10" x14ac:dyDescent="0.2">
      <c r="A2511">
        <v>2.0628741110474001E-22</v>
      </c>
      <c r="B2511">
        <v>0.36514427958076101</v>
      </c>
      <c r="C2511">
        <v>0.16</v>
      </c>
      <c r="D2511">
        <v>1.2999999999999999E-2</v>
      </c>
      <c r="E2511">
        <v>2.8669824395336802E-18</v>
      </c>
      <c r="F2511">
        <v>4</v>
      </c>
      <c r="G2511" t="s">
        <v>5462</v>
      </c>
      <c r="H2511" t="s">
        <v>5463</v>
      </c>
      <c r="I2511" t="str">
        <f>HYPERLINK("https://zfin.org/ZDB-GENE-041210-172")</f>
        <v>https://zfin.org/ZDB-GENE-041210-172</v>
      </c>
      <c r="J2511" t="s">
        <v>5464</v>
      </c>
    </row>
    <row r="2512" spans="1:10" x14ac:dyDescent="0.2">
      <c r="A2512">
        <v>3.14506263780382E-22</v>
      </c>
      <c r="B2512">
        <v>0.39554783524920001</v>
      </c>
      <c r="C2512">
        <v>0.12</v>
      </c>
      <c r="D2512">
        <v>7.0000000000000001E-3</v>
      </c>
      <c r="E2512">
        <v>4.3710080540197504E-18</v>
      </c>
      <c r="F2512">
        <v>4</v>
      </c>
      <c r="G2512" t="s">
        <v>5465</v>
      </c>
      <c r="H2512" t="s">
        <v>5466</v>
      </c>
      <c r="I2512" t="str">
        <f>HYPERLINK("https://zfin.org/ZDB-GENE-041014-120")</f>
        <v>https://zfin.org/ZDB-GENE-041014-120</v>
      </c>
      <c r="J2512" t="s">
        <v>5467</v>
      </c>
    </row>
    <row r="2513" spans="1:10" x14ac:dyDescent="0.2">
      <c r="A2513">
        <v>1.22041261527014E-21</v>
      </c>
      <c r="B2513">
        <v>0.52958301816611897</v>
      </c>
      <c r="C2513">
        <v>0.24</v>
      </c>
      <c r="D2513">
        <v>3.1E-2</v>
      </c>
      <c r="E2513">
        <v>1.6961294527024399E-17</v>
      </c>
      <c r="F2513">
        <v>4</v>
      </c>
      <c r="G2513" t="s">
        <v>5468</v>
      </c>
      <c r="H2513" t="s">
        <v>5469</v>
      </c>
      <c r="I2513" t="str">
        <f>HYPERLINK("https://zfin.org/ZDB-GENE-131121-584")</f>
        <v>https://zfin.org/ZDB-GENE-131121-584</v>
      </c>
      <c r="J2513" t="s">
        <v>5470</v>
      </c>
    </row>
    <row r="2514" spans="1:10" x14ac:dyDescent="0.2">
      <c r="A2514">
        <v>2.38494508497243E-21</v>
      </c>
      <c r="B2514">
        <v>0.762792563340149</v>
      </c>
      <c r="C2514">
        <v>0.29299999999999998</v>
      </c>
      <c r="D2514">
        <v>4.8000000000000001E-2</v>
      </c>
      <c r="E2514">
        <v>3.3145966790946802E-17</v>
      </c>
      <c r="F2514">
        <v>4</v>
      </c>
      <c r="G2514" t="s">
        <v>5471</v>
      </c>
      <c r="H2514" t="s">
        <v>5472</v>
      </c>
      <c r="I2514" t="str">
        <f>HYPERLINK("https://zfin.org/ZDB-GENE-040426-59")</f>
        <v>https://zfin.org/ZDB-GENE-040426-59</v>
      </c>
      <c r="J2514" t="s">
        <v>5473</v>
      </c>
    </row>
    <row r="2515" spans="1:10" x14ac:dyDescent="0.2">
      <c r="A2515">
        <v>3.0600513267946099E-21</v>
      </c>
      <c r="B2515">
        <v>0.33263270409882401</v>
      </c>
      <c r="C2515">
        <v>0.12</v>
      </c>
      <c r="D2515">
        <v>8.0000000000000002E-3</v>
      </c>
      <c r="E2515">
        <v>4.2528593339791502E-17</v>
      </c>
      <c r="F2515">
        <v>4</v>
      </c>
      <c r="G2515" t="s">
        <v>5474</v>
      </c>
      <c r="H2515" t="s">
        <v>5475</v>
      </c>
      <c r="I2515" t="str">
        <f>HYPERLINK("https://zfin.org/ZDB-GENE-040426-737")</f>
        <v>https://zfin.org/ZDB-GENE-040426-737</v>
      </c>
      <c r="J2515" t="s">
        <v>5476</v>
      </c>
    </row>
    <row r="2516" spans="1:10" x14ac:dyDescent="0.2">
      <c r="A2516">
        <v>3.3705578420598E-21</v>
      </c>
      <c r="B2516">
        <v>0.86143195640505199</v>
      </c>
      <c r="C2516">
        <v>0.93300000000000005</v>
      </c>
      <c r="D2516">
        <v>0.50700000000000001</v>
      </c>
      <c r="E2516">
        <v>4.6844012888947098E-17</v>
      </c>
      <c r="F2516">
        <v>4</v>
      </c>
      <c r="G2516" t="s">
        <v>3534</v>
      </c>
      <c r="H2516" t="s">
        <v>3535</v>
      </c>
      <c r="I2516" t="str">
        <f>HYPERLINK("https://zfin.org/ZDB-GENE-030131-247")</f>
        <v>https://zfin.org/ZDB-GENE-030131-247</v>
      </c>
      <c r="J2516" t="s">
        <v>3536</v>
      </c>
    </row>
    <row r="2517" spans="1:10" x14ac:dyDescent="0.2">
      <c r="A2517">
        <v>4.5142234460483797E-21</v>
      </c>
      <c r="B2517">
        <v>0.31187455571393702</v>
      </c>
      <c r="C2517">
        <v>0.107</v>
      </c>
      <c r="D2517">
        <v>6.0000000000000001E-3</v>
      </c>
      <c r="E2517">
        <v>6.2738677453180305E-17</v>
      </c>
      <c r="F2517">
        <v>4</v>
      </c>
      <c r="G2517" t="s">
        <v>5477</v>
      </c>
      <c r="H2517" t="s">
        <v>5478</v>
      </c>
      <c r="I2517" t="str">
        <f>HYPERLINK("https://zfin.org/ZDB-GENE-030131-5437")</f>
        <v>https://zfin.org/ZDB-GENE-030131-5437</v>
      </c>
      <c r="J2517" t="s">
        <v>5479</v>
      </c>
    </row>
    <row r="2518" spans="1:10" x14ac:dyDescent="0.2">
      <c r="A2518">
        <v>5.63700454088095E-21</v>
      </c>
      <c r="B2518">
        <v>0.915323622913229</v>
      </c>
      <c r="C2518">
        <v>0.93300000000000005</v>
      </c>
      <c r="D2518">
        <v>0.64800000000000002</v>
      </c>
      <c r="E2518">
        <v>7.8343089109163494E-17</v>
      </c>
      <c r="F2518">
        <v>4</v>
      </c>
      <c r="G2518" t="s">
        <v>2855</v>
      </c>
      <c r="H2518" t="s">
        <v>2856</v>
      </c>
      <c r="I2518" t="str">
        <f>HYPERLINK("https://zfin.org/ZDB-GENE-061027-176")</f>
        <v>https://zfin.org/ZDB-GENE-061027-176</v>
      </c>
      <c r="J2518" t="s">
        <v>2857</v>
      </c>
    </row>
    <row r="2519" spans="1:10" x14ac:dyDescent="0.2">
      <c r="A2519">
        <v>5.8347264876202999E-21</v>
      </c>
      <c r="B2519">
        <v>0.42288549828727101</v>
      </c>
      <c r="C2519">
        <v>0.2</v>
      </c>
      <c r="D2519">
        <v>2.3E-2</v>
      </c>
      <c r="E2519">
        <v>8.1091028724946901E-17</v>
      </c>
      <c r="F2519">
        <v>4</v>
      </c>
      <c r="G2519" t="s">
        <v>5480</v>
      </c>
      <c r="H2519" t="s">
        <v>5481</v>
      </c>
      <c r="I2519" t="str">
        <f>HYPERLINK("https://zfin.org/ZDB-GENE-990603-11")</f>
        <v>https://zfin.org/ZDB-GENE-990603-11</v>
      </c>
      <c r="J2519" t="s">
        <v>5482</v>
      </c>
    </row>
    <row r="2520" spans="1:10" x14ac:dyDescent="0.2">
      <c r="A2520">
        <v>8.4323334877567393E-21</v>
      </c>
      <c r="B2520">
        <v>0.90883024681527402</v>
      </c>
      <c r="C2520">
        <v>0.97299999999999998</v>
      </c>
      <c r="D2520">
        <v>0.80800000000000005</v>
      </c>
      <c r="E2520">
        <v>1.1719257081284301E-16</v>
      </c>
      <c r="F2520">
        <v>4</v>
      </c>
      <c r="G2520" t="s">
        <v>4002</v>
      </c>
      <c r="H2520" t="s">
        <v>4003</v>
      </c>
      <c r="I2520" t="str">
        <f>HYPERLINK("https://zfin.org/ZDB-GENE-131120-172")</f>
        <v>https://zfin.org/ZDB-GENE-131120-172</v>
      </c>
      <c r="J2520" t="s">
        <v>4004</v>
      </c>
    </row>
    <row r="2521" spans="1:10" x14ac:dyDescent="0.2">
      <c r="A2521">
        <v>9.5697185642539194E-21</v>
      </c>
      <c r="B2521">
        <v>0.867693678380412</v>
      </c>
      <c r="C2521">
        <v>0.57299999999999995</v>
      </c>
      <c r="D2521">
        <v>0.17399999999999999</v>
      </c>
      <c r="E2521">
        <v>1.3299994860600101E-16</v>
      </c>
      <c r="F2521">
        <v>4</v>
      </c>
      <c r="G2521" t="s">
        <v>1872</v>
      </c>
      <c r="H2521" t="s">
        <v>1873</v>
      </c>
      <c r="I2521" t="str">
        <f>HYPERLINK("https://zfin.org/ZDB-GENE-081105-65")</f>
        <v>https://zfin.org/ZDB-GENE-081105-65</v>
      </c>
      <c r="J2521" t="s">
        <v>1874</v>
      </c>
    </row>
    <row r="2522" spans="1:10" x14ac:dyDescent="0.2">
      <c r="A2522">
        <v>1.2477584143136101E-20</v>
      </c>
      <c r="B2522">
        <v>0.45622607648972702</v>
      </c>
      <c r="C2522">
        <v>0.12</v>
      </c>
      <c r="D2522">
        <v>8.0000000000000002E-3</v>
      </c>
      <c r="E2522">
        <v>1.73413464421306E-16</v>
      </c>
      <c r="F2522">
        <v>4</v>
      </c>
      <c r="G2522" t="s">
        <v>5483</v>
      </c>
      <c r="H2522" t="s">
        <v>5484</v>
      </c>
      <c r="I2522" t="str">
        <f>HYPERLINK("https://zfin.org/ZDB-GENE-030131-4513")</f>
        <v>https://zfin.org/ZDB-GENE-030131-4513</v>
      </c>
      <c r="J2522" t="s">
        <v>5485</v>
      </c>
    </row>
    <row r="2523" spans="1:10" x14ac:dyDescent="0.2">
      <c r="A2523">
        <v>2.9350507521924397E-20</v>
      </c>
      <c r="B2523">
        <v>0.35156613130203601</v>
      </c>
      <c r="C2523">
        <v>0.107</v>
      </c>
      <c r="D2523">
        <v>6.0000000000000001E-3</v>
      </c>
      <c r="E2523">
        <v>4.07913353539706E-16</v>
      </c>
      <c r="F2523">
        <v>4</v>
      </c>
      <c r="G2523" t="s">
        <v>5486</v>
      </c>
      <c r="H2523" t="s">
        <v>5487</v>
      </c>
      <c r="I2523" t="str">
        <f>HYPERLINK("https://zfin.org/ZDB-GENE-081104-423")</f>
        <v>https://zfin.org/ZDB-GENE-081104-423</v>
      </c>
      <c r="J2523" t="s">
        <v>5488</v>
      </c>
    </row>
    <row r="2524" spans="1:10" x14ac:dyDescent="0.2">
      <c r="A2524">
        <v>3.8351303507841498E-20</v>
      </c>
      <c r="B2524">
        <v>0.67380994328141297</v>
      </c>
      <c r="C2524">
        <v>0.42699999999999999</v>
      </c>
      <c r="D2524">
        <v>9.5000000000000001E-2</v>
      </c>
      <c r="E2524">
        <v>5.3300641615198099E-16</v>
      </c>
      <c r="F2524">
        <v>4</v>
      </c>
      <c r="G2524" t="s">
        <v>5489</v>
      </c>
      <c r="H2524" t="s">
        <v>5490</v>
      </c>
      <c r="I2524" t="str">
        <f>HYPERLINK("https://zfin.org/ZDB-GENE-030131-5511")</f>
        <v>https://zfin.org/ZDB-GENE-030131-5511</v>
      </c>
      <c r="J2524" t="s">
        <v>5491</v>
      </c>
    </row>
    <row r="2525" spans="1:10" x14ac:dyDescent="0.2">
      <c r="A2525">
        <v>4.1063364155030799E-20</v>
      </c>
      <c r="B2525">
        <v>0.51618978424130801</v>
      </c>
      <c r="C2525">
        <v>0.21299999999999999</v>
      </c>
      <c r="D2525">
        <v>2.7E-2</v>
      </c>
      <c r="E2525">
        <v>5.7069863502661798E-16</v>
      </c>
      <c r="F2525">
        <v>4</v>
      </c>
      <c r="G2525" t="s">
        <v>5492</v>
      </c>
      <c r="H2525" t="s">
        <v>5493</v>
      </c>
      <c r="I2525" t="str">
        <f>HYPERLINK("https://zfin.org/ZDB-GENE-081107-5")</f>
        <v>https://zfin.org/ZDB-GENE-081107-5</v>
      </c>
      <c r="J2525" t="s">
        <v>5494</v>
      </c>
    </row>
    <row r="2526" spans="1:10" x14ac:dyDescent="0.2">
      <c r="A2526">
        <v>8.5220402830122603E-20</v>
      </c>
      <c r="B2526">
        <v>0.60315494992877405</v>
      </c>
      <c r="C2526">
        <v>0.36</v>
      </c>
      <c r="D2526">
        <v>7.2999999999999995E-2</v>
      </c>
      <c r="E2526">
        <v>1.1843931585330399E-15</v>
      </c>
      <c r="F2526">
        <v>4</v>
      </c>
      <c r="G2526" t="s">
        <v>5495</v>
      </c>
      <c r="H2526" t="s">
        <v>5496</v>
      </c>
      <c r="I2526" t="str">
        <f>HYPERLINK("https://zfin.org/")</f>
        <v>https://zfin.org/</v>
      </c>
    </row>
    <row r="2527" spans="1:10" x14ac:dyDescent="0.2">
      <c r="A2527">
        <v>1.26362809956836E-19</v>
      </c>
      <c r="B2527">
        <v>0.361453764113224</v>
      </c>
      <c r="C2527">
        <v>0.13300000000000001</v>
      </c>
      <c r="D2527">
        <v>1.0999999999999999E-2</v>
      </c>
      <c r="E2527">
        <v>1.7561903327801E-15</v>
      </c>
      <c r="F2527">
        <v>4</v>
      </c>
      <c r="G2527" t="s">
        <v>5497</v>
      </c>
      <c r="H2527" t="s">
        <v>5498</v>
      </c>
      <c r="I2527" t="str">
        <f>HYPERLINK("https://zfin.org/ZDB-GENE-041010-225")</f>
        <v>https://zfin.org/ZDB-GENE-041010-225</v>
      </c>
      <c r="J2527" t="s">
        <v>5499</v>
      </c>
    </row>
    <row r="2528" spans="1:10" x14ac:dyDescent="0.2">
      <c r="A2528">
        <v>2.3507691363192901E-19</v>
      </c>
      <c r="B2528">
        <v>0.347215476107123</v>
      </c>
      <c r="C2528">
        <v>0.16</v>
      </c>
      <c r="D2528">
        <v>1.6E-2</v>
      </c>
      <c r="E2528">
        <v>3.2670989456565401E-15</v>
      </c>
      <c r="F2528">
        <v>4</v>
      </c>
      <c r="G2528" t="s">
        <v>5500</v>
      </c>
      <c r="H2528" t="s">
        <v>5501</v>
      </c>
      <c r="I2528" t="str">
        <f>HYPERLINK("https://zfin.org/ZDB-GENE-030131-6557")</f>
        <v>https://zfin.org/ZDB-GENE-030131-6557</v>
      </c>
      <c r="J2528" t="s">
        <v>5502</v>
      </c>
    </row>
    <row r="2529" spans="1:10" x14ac:dyDescent="0.2">
      <c r="A2529">
        <v>2.35423815957759E-19</v>
      </c>
      <c r="B2529">
        <v>0.27584617129464101</v>
      </c>
      <c r="C2529">
        <v>0.12</v>
      </c>
      <c r="D2529">
        <v>8.9999999999999993E-3</v>
      </c>
      <c r="E2529">
        <v>3.2719201941809301E-15</v>
      </c>
      <c r="F2529">
        <v>4</v>
      </c>
      <c r="G2529" t="s">
        <v>5503</v>
      </c>
      <c r="H2529" t="s">
        <v>5504</v>
      </c>
      <c r="I2529" t="str">
        <f>HYPERLINK("https://zfin.org/ZDB-GENE-030131-5201")</f>
        <v>https://zfin.org/ZDB-GENE-030131-5201</v>
      </c>
      <c r="J2529" t="s">
        <v>5505</v>
      </c>
    </row>
    <row r="2530" spans="1:10" x14ac:dyDescent="0.2">
      <c r="A2530">
        <v>4.0419422471620902E-19</v>
      </c>
      <c r="B2530">
        <v>0.58781380158581997</v>
      </c>
      <c r="C2530">
        <v>0.28000000000000003</v>
      </c>
      <c r="D2530">
        <v>4.7E-2</v>
      </c>
      <c r="E2530">
        <v>5.6174913351058804E-15</v>
      </c>
      <c r="F2530">
        <v>4</v>
      </c>
      <c r="G2530" t="s">
        <v>5506</v>
      </c>
      <c r="H2530" t="s">
        <v>5507</v>
      </c>
      <c r="I2530" t="str">
        <f>HYPERLINK("https://zfin.org/ZDB-GENE-030131-9686")</f>
        <v>https://zfin.org/ZDB-GENE-030131-9686</v>
      </c>
      <c r="J2530" t="s">
        <v>5508</v>
      </c>
    </row>
    <row r="2531" spans="1:10" x14ac:dyDescent="0.2">
      <c r="A2531">
        <v>9.0857740008762991E-19</v>
      </c>
      <c r="B2531">
        <v>0.38652723968528002</v>
      </c>
      <c r="C2531">
        <v>0.13300000000000001</v>
      </c>
      <c r="D2531">
        <v>1.0999999999999999E-2</v>
      </c>
      <c r="E2531">
        <v>1.2627408706417899E-14</v>
      </c>
      <c r="F2531">
        <v>4</v>
      </c>
      <c r="G2531" t="s">
        <v>5509</v>
      </c>
      <c r="H2531" t="s">
        <v>5510</v>
      </c>
      <c r="I2531" t="str">
        <f>HYPERLINK("https://zfin.org/ZDB-GENE-131127-260")</f>
        <v>https://zfin.org/ZDB-GENE-131127-260</v>
      </c>
      <c r="J2531" t="s">
        <v>5511</v>
      </c>
    </row>
    <row r="2532" spans="1:10" x14ac:dyDescent="0.2">
      <c r="A2532">
        <v>9.5316108416851002E-19</v>
      </c>
      <c r="B2532">
        <v>0.38493797702225802</v>
      </c>
      <c r="C2532">
        <v>0.16</v>
      </c>
      <c r="D2532">
        <v>1.6E-2</v>
      </c>
      <c r="E2532">
        <v>1.3247032747773901E-14</v>
      </c>
      <c r="F2532">
        <v>4</v>
      </c>
      <c r="G2532" t="s">
        <v>5512</v>
      </c>
      <c r="H2532" t="s">
        <v>5513</v>
      </c>
      <c r="I2532" t="str">
        <f>HYPERLINK("https://zfin.org/ZDB-GENE-141215-72")</f>
        <v>https://zfin.org/ZDB-GENE-141215-72</v>
      </c>
      <c r="J2532" t="s">
        <v>5514</v>
      </c>
    </row>
    <row r="2533" spans="1:10" x14ac:dyDescent="0.2">
      <c r="A2533">
        <v>1.01751837760032E-18</v>
      </c>
      <c r="B2533">
        <v>0.83948080781183998</v>
      </c>
      <c r="C2533">
        <v>0.89300000000000002</v>
      </c>
      <c r="D2533">
        <v>0.56699999999999995</v>
      </c>
      <c r="E2533">
        <v>1.4141470411889199E-14</v>
      </c>
      <c r="F2533">
        <v>4</v>
      </c>
      <c r="G2533" t="s">
        <v>2813</v>
      </c>
      <c r="H2533" t="s">
        <v>2814</v>
      </c>
      <c r="I2533" t="str">
        <f>HYPERLINK("https://zfin.org/ZDB-GENE-040426-1112")</f>
        <v>https://zfin.org/ZDB-GENE-040426-1112</v>
      </c>
      <c r="J2533" t="s">
        <v>2815</v>
      </c>
    </row>
    <row r="2534" spans="1:10" x14ac:dyDescent="0.2">
      <c r="A2534">
        <v>1.64278467680442E-18</v>
      </c>
      <c r="B2534">
        <v>0.77231638785030499</v>
      </c>
      <c r="C2534">
        <v>0.85299999999999998</v>
      </c>
      <c r="D2534">
        <v>0.47</v>
      </c>
      <c r="E2534">
        <v>2.2831421438227902E-14</v>
      </c>
      <c r="F2534">
        <v>4</v>
      </c>
      <c r="G2534" t="s">
        <v>3204</v>
      </c>
      <c r="H2534" t="s">
        <v>3205</v>
      </c>
      <c r="I2534" t="str">
        <f>HYPERLINK("https://zfin.org/ZDB-GENE-020419-14")</f>
        <v>https://zfin.org/ZDB-GENE-020419-14</v>
      </c>
      <c r="J2534" t="s">
        <v>3206</v>
      </c>
    </row>
    <row r="2535" spans="1:10" x14ac:dyDescent="0.2">
      <c r="A2535">
        <v>1.79102724058222E-18</v>
      </c>
      <c r="B2535">
        <v>0.735974420884695</v>
      </c>
      <c r="C2535">
        <v>0.4</v>
      </c>
      <c r="D2535">
        <v>9.4E-2</v>
      </c>
      <c r="E2535">
        <v>2.4891696589611701E-14</v>
      </c>
      <c r="F2535">
        <v>4</v>
      </c>
      <c r="G2535" t="s">
        <v>5515</v>
      </c>
      <c r="H2535" t="s">
        <v>5516</v>
      </c>
      <c r="I2535" t="str">
        <f>HYPERLINK("https://zfin.org/ZDB-GENE-040824-3")</f>
        <v>https://zfin.org/ZDB-GENE-040824-3</v>
      </c>
      <c r="J2535" t="s">
        <v>5517</v>
      </c>
    </row>
    <row r="2536" spans="1:10" x14ac:dyDescent="0.2">
      <c r="A2536">
        <v>2.2206950380127201E-18</v>
      </c>
      <c r="B2536">
        <v>0.82030304146877897</v>
      </c>
      <c r="C2536">
        <v>0.96</v>
      </c>
      <c r="D2536">
        <v>0.81299999999999994</v>
      </c>
      <c r="E2536">
        <v>3.0863219638300801E-14</v>
      </c>
      <c r="F2536">
        <v>4</v>
      </c>
      <c r="G2536" t="s">
        <v>2583</v>
      </c>
      <c r="H2536" t="s">
        <v>2584</v>
      </c>
      <c r="I2536" t="str">
        <f>HYPERLINK("https://zfin.org/ZDB-GENE-030131-8625")</f>
        <v>https://zfin.org/ZDB-GENE-030131-8625</v>
      </c>
      <c r="J2536" t="s">
        <v>2585</v>
      </c>
    </row>
    <row r="2537" spans="1:10" x14ac:dyDescent="0.2">
      <c r="A2537">
        <v>2.6199722104889001E-18</v>
      </c>
      <c r="B2537">
        <v>0.75742756869191197</v>
      </c>
      <c r="C2537">
        <v>0.72</v>
      </c>
      <c r="D2537">
        <v>0.26700000000000002</v>
      </c>
      <c r="E2537">
        <v>3.64123737813748E-14</v>
      </c>
      <c r="F2537">
        <v>4</v>
      </c>
      <c r="G2537" t="s">
        <v>2864</v>
      </c>
      <c r="H2537" t="s">
        <v>2865</v>
      </c>
      <c r="I2537" t="str">
        <f>HYPERLINK("https://zfin.org/ZDB-GENE-110411-139")</f>
        <v>https://zfin.org/ZDB-GENE-110411-139</v>
      </c>
      <c r="J2537" t="s">
        <v>2866</v>
      </c>
    </row>
    <row r="2538" spans="1:10" x14ac:dyDescent="0.2">
      <c r="A2538">
        <v>3.4783845469447802E-18</v>
      </c>
      <c r="B2538">
        <v>0.39837286216376699</v>
      </c>
      <c r="C2538">
        <v>0.17299999999999999</v>
      </c>
      <c r="D2538">
        <v>0.02</v>
      </c>
      <c r="E2538">
        <v>4.8342588433438602E-14</v>
      </c>
      <c r="F2538">
        <v>4</v>
      </c>
      <c r="G2538" t="s">
        <v>5518</v>
      </c>
      <c r="H2538" t="s">
        <v>5519</v>
      </c>
      <c r="I2538" t="str">
        <f>HYPERLINK("https://zfin.org/ZDB-GENE-131122-30")</f>
        <v>https://zfin.org/ZDB-GENE-131122-30</v>
      </c>
      <c r="J2538" t="s">
        <v>5520</v>
      </c>
    </row>
    <row r="2539" spans="1:10" x14ac:dyDescent="0.2">
      <c r="A2539">
        <v>3.6042397933356901E-18</v>
      </c>
      <c r="B2539">
        <v>0.98048054694561304</v>
      </c>
      <c r="C2539">
        <v>0.58699999999999997</v>
      </c>
      <c r="D2539">
        <v>0.20300000000000001</v>
      </c>
      <c r="E2539">
        <v>5.0091724647779503E-14</v>
      </c>
      <c r="F2539">
        <v>4</v>
      </c>
      <c r="G2539" t="s">
        <v>3136</v>
      </c>
      <c r="H2539" t="s">
        <v>3137</v>
      </c>
      <c r="I2539" t="str">
        <f>HYPERLINK("https://zfin.org/ZDB-GENE-020416-1")</f>
        <v>https://zfin.org/ZDB-GENE-020416-1</v>
      </c>
      <c r="J2539" t="s">
        <v>3138</v>
      </c>
    </row>
    <row r="2540" spans="1:10" x14ac:dyDescent="0.2">
      <c r="A2540">
        <v>4.8725844387017803E-18</v>
      </c>
      <c r="B2540">
        <v>0.26214643448035102</v>
      </c>
      <c r="C2540">
        <v>0.13300000000000001</v>
      </c>
      <c r="D2540">
        <v>1.2E-2</v>
      </c>
      <c r="E2540">
        <v>6.7719178529077394E-14</v>
      </c>
      <c r="F2540">
        <v>4</v>
      </c>
      <c r="G2540" t="s">
        <v>5521</v>
      </c>
      <c r="H2540" t="s">
        <v>5522</v>
      </c>
      <c r="I2540" t="str">
        <f>HYPERLINK("https://zfin.org/ZDB-GENE-090313-182")</f>
        <v>https://zfin.org/ZDB-GENE-090313-182</v>
      </c>
      <c r="J2540" t="s">
        <v>5523</v>
      </c>
    </row>
    <row r="2541" spans="1:10" x14ac:dyDescent="0.2">
      <c r="A2541">
        <v>1.26263280368304E-17</v>
      </c>
      <c r="B2541">
        <v>0.45742227258997098</v>
      </c>
      <c r="C2541">
        <v>0.22700000000000001</v>
      </c>
      <c r="D2541">
        <v>3.4000000000000002E-2</v>
      </c>
      <c r="E2541">
        <v>1.7548070705586799E-13</v>
      </c>
      <c r="F2541">
        <v>4</v>
      </c>
      <c r="G2541" t="s">
        <v>5524</v>
      </c>
      <c r="H2541" t="s">
        <v>5525</v>
      </c>
      <c r="I2541" t="str">
        <f>HYPERLINK("https://zfin.org/ZDB-GENE-030616-462")</f>
        <v>https://zfin.org/ZDB-GENE-030616-462</v>
      </c>
      <c r="J2541" t="s">
        <v>5526</v>
      </c>
    </row>
    <row r="2542" spans="1:10" x14ac:dyDescent="0.2">
      <c r="A2542">
        <v>1.35505757043769E-17</v>
      </c>
      <c r="B2542">
        <v>0.82762216796414401</v>
      </c>
      <c r="C2542">
        <v>0.58699999999999997</v>
      </c>
      <c r="D2542">
        <v>0.20699999999999999</v>
      </c>
      <c r="E2542">
        <v>1.8832590113943001E-13</v>
      </c>
      <c r="F2542">
        <v>4</v>
      </c>
      <c r="G2542" t="s">
        <v>3270</v>
      </c>
      <c r="H2542" t="s">
        <v>3271</v>
      </c>
      <c r="I2542" t="str">
        <f>HYPERLINK("https://zfin.org/ZDB-GENE-040718-209")</f>
        <v>https://zfin.org/ZDB-GENE-040718-209</v>
      </c>
      <c r="J2542" t="s">
        <v>3272</v>
      </c>
    </row>
    <row r="2543" spans="1:10" x14ac:dyDescent="0.2">
      <c r="A2543">
        <v>1.3750410610453699E-17</v>
      </c>
      <c r="B2543">
        <v>0.32309109206236902</v>
      </c>
      <c r="C2543">
        <v>0.14699999999999999</v>
      </c>
      <c r="D2543">
        <v>1.4999999999999999E-2</v>
      </c>
      <c r="E2543">
        <v>1.91103206664085E-13</v>
      </c>
      <c r="F2543">
        <v>4</v>
      </c>
      <c r="G2543" t="s">
        <v>5527</v>
      </c>
      <c r="H2543" t="s">
        <v>5528</v>
      </c>
      <c r="I2543" t="str">
        <f>HYPERLINK("https://zfin.org/ZDB-GENE-041008-119")</f>
        <v>https://zfin.org/ZDB-GENE-041008-119</v>
      </c>
      <c r="J2543" t="s">
        <v>5529</v>
      </c>
    </row>
    <row r="2544" spans="1:10" x14ac:dyDescent="0.2">
      <c r="A2544">
        <v>1.4170367837354199E-17</v>
      </c>
      <c r="B2544">
        <v>0.62909205654025102</v>
      </c>
      <c r="C2544">
        <v>0.38700000000000001</v>
      </c>
      <c r="D2544">
        <v>8.8999999999999996E-2</v>
      </c>
      <c r="E2544">
        <v>1.9693977220354899E-13</v>
      </c>
      <c r="F2544">
        <v>4</v>
      </c>
      <c r="G2544" t="s">
        <v>4062</v>
      </c>
      <c r="H2544" t="s">
        <v>4063</v>
      </c>
      <c r="I2544" t="str">
        <f>HYPERLINK("https://zfin.org/ZDB-GENE-031114-2")</f>
        <v>https://zfin.org/ZDB-GENE-031114-2</v>
      </c>
      <c r="J2544" t="s">
        <v>4064</v>
      </c>
    </row>
    <row r="2545" spans="1:10" x14ac:dyDescent="0.2">
      <c r="A2545">
        <v>1.8803910592470701E-17</v>
      </c>
      <c r="B2545">
        <v>0.47133234700570498</v>
      </c>
      <c r="C2545">
        <v>0.253</v>
      </c>
      <c r="D2545">
        <v>4.2999999999999997E-2</v>
      </c>
      <c r="E2545">
        <v>2.6133674941415798E-13</v>
      </c>
      <c r="F2545">
        <v>4</v>
      </c>
      <c r="G2545" t="s">
        <v>5530</v>
      </c>
      <c r="H2545" t="s">
        <v>5531</v>
      </c>
      <c r="I2545" t="str">
        <f>HYPERLINK("https://zfin.org/ZDB-GENE-990415-247")</f>
        <v>https://zfin.org/ZDB-GENE-990415-247</v>
      </c>
      <c r="J2545" t="s">
        <v>5532</v>
      </c>
    </row>
    <row r="2546" spans="1:10" x14ac:dyDescent="0.2">
      <c r="A2546">
        <v>2.11241723715852E-17</v>
      </c>
      <c r="B2546">
        <v>0.41136775747598697</v>
      </c>
      <c r="C2546">
        <v>0.21299999999999999</v>
      </c>
      <c r="D2546">
        <v>0.03</v>
      </c>
      <c r="E2546">
        <v>2.9358374762029098E-13</v>
      </c>
      <c r="F2546">
        <v>4</v>
      </c>
      <c r="G2546" t="s">
        <v>5533</v>
      </c>
      <c r="H2546" t="s">
        <v>5534</v>
      </c>
      <c r="I2546" t="str">
        <f>HYPERLINK("https://zfin.org/ZDB-GENE-021030-2")</f>
        <v>https://zfin.org/ZDB-GENE-021030-2</v>
      </c>
      <c r="J2546" t="s">
        <v>5535</v>
      </c>
    </row>
    <row r="2547" spans="1:10" x14ac:dyDescent="0.2">
      <c r="A2547">
        <v>2.4975665827347801E-17</v>
      </c>
      <c r="B2547">
        <v>0.49490347394032103</v>
      </c>
      <c r="C2547">
        <v>0.24</v>
      </c>
      <c r="D2547">
        <v>3.7999999999999999E-2</v>
      </c>
      <c r="E2547">
        <v>3.4711180366847902E-13</v>
      </c>
      <c r="F2547">
        <v>4</v>
      </c>
      <c r="G2547" t="s">
        <v>5536</v>
      </c>
      <c r="H2547" t="s">
        <v>5537</v>
      </c>
      <c r="I2547" t="str">
        <f>HYPERLINK("https://zfin.org/ZDB-GENE-081104-255")</f>
        <v>https://zfin.org/ZDB-GENE-081104-255</v>
      </c>
      <c r="J2547" t="s">
        <v>5538</v>
      </c>
    </row>
    <row r="2548" spans="1:10" x14ac:dyDescent="0.2">
      <c r="A2548">
        <v>4.3359008035064998E-17</v>
      </c>
      <c r="B2548">
        <v>0.42150653055624698</v>
      </c>
      <c r="C2548">
        <v>0.16</v>
      </c>
      <c r="D2548">
        <v>1.7999999999999999E-2</v>
      </c>
      <c r="E2548">
        <v>6.02603493671333E-13</v>
      </c>
      <c r="F2548">
        <v>4</v>
      </c>
      <c r="G2548" t="s">
        <v>5539</v>
      </c>
      <c r="H2548" t="s">
        <v>5540</v>
      </c>
      <c r="I2548" t="str">
        <f>HYPERLINK("https://zfin.org/ZDB-GENE-091118-108")</f>
        <v>https://zfin.org/ZDB-GENE-091118-108</v>
      </c>
      <c r="J2548" t="s">
        <v>5541</v>
      </c>
    </row>
    <row r="2549" spans="1:10" x14ac:dyDescent="0.2">
      <c r="A2549">
        <v>4.5342979248770398E-17</v>
      </c>
      <c r="B2549">
        <v>0.58560549367514003</v>
      </c>
      <c r="C2549">
        <v>0.29299999999999998</v>
      </c>
      <c r="D2549">
        <v>5.6000000000000001E-2</v>
      </c>
      <c r="E2549">
        <v>6.3017672559941097E-13</v>
      </c>
      <c r="F2549">
        <v>4</v>
      </c>
      <c r="G2549" t="s">
        <v>5542</v>
      </c>
      <c r="H2549" t="s">
        <v>5543</v>
      </c>
      <c r="I2549" t="str">
        <f>HYPERLINK("https://zfin.org/ZDB-GENE-010406-5")</f>
        <v>https://zfin.org/ZDB-GENE-010406-5</v>
      </c>
      <c r="J2549" t="s">
        <v>5544</v>
      </c>
    </row>
    <row r="2550" spans="1:10" x14ac:dyDescent="0.2">
      <c r="A2550">
        <v>4.5715935159641201E-17</v>
      </c>
      <c r="B2550">
        <v>0.27178563267320199</v>
      </c>
      <c r="C2550">
        <v>0.14699999999999999</v>
      </c>
      <c r="D2550">
        <v>1.4999999999999999E-2</v>
      </c>
      <c r="E2550">
        <v>6.3536006684869403E-13</v>
      </c>
      <c r="F2550">
        <v>4</v>
      </c>
      <c r="G2550" t="s">
        <v>5545</v>
      </c>
      <c r="H2550" t="s">
        <v>5546</v>
      </c>
      <c r="I2550" t="str">
        <f>HYPERLINK("https://zfin.org/ZDB-GENE-030131-5517")</f>
        <v>https://zfin.org/ZDB-GENE-030131-5517</v>
      </c>
      <c r="J2550" t="s">
        <v>5547</v>
      </c>
    </row>
    <row r="2551" spans="1:10" x14ac:dyDescent="0.2">
      <c r="A2551">
        <v>4.93328607566661E-17</v>
      </c>
      <c r="B2551">
        <v>0.50882642838598402</v>
      </c>
      <c r="C2551">
        <v>0.14699999999999999</v>
      </c>
      <c r="D2551">
        <v>1.4999999999999999E-2</v>
      </c>
      <c r="E2551">
        <v>6.8562809879614605E-13</v>
      </c>
      <c r="F2551">
        <v>4</v>
      </c>
      <c r="G2551" t="s">
        <v>5548</v>
      </c>
      <c r="H2551" t="s">
        <v>5549</v>
      </c>
      <c r="I2551" t="str">
        <f>HYPERLINK("https://zfin.org/ZDB-GENE-081104-340")</f>
        <v>https://zfin.org/ZDB-GENE-081104-340</v>
      </c>
      <c r="J2551" t="s">
        <v>5550</v>
      </c>
    </row>
    <row r="2552" spans="1:10" x14ac:dyDescent="0.2">
      <c r="A2552">
        <v>5.2407696279081702E-17</v>
      </c>
      <c r="B2552">
        <v>0.43405519609128601</v>
      </c>
      <c r="C2552">
        <v>0.16</v>
      </c>
      <c r="D2552">
        <v>1.7999999999999999E-2</v>
      </c>
      <c r="E2552">
        <v>7.2836216288667803E-13</v>
      </c>
      <c r="F2552">
        <v>4</v>
      </c>
      <c r="G2552" t="s">
        <v>5551</v>
      </c>
      <c r="H2552" t="s">
        <v>5552</v>
      </c>
      <c r="I2552" t="str">
        <f>HYPERLINK("https://zfin.org/ZDB-GENE-090313-204")</f>
        <v>https://zfin.org/ZDB-GENE-090313-204</v>
      </c>
      <c r="J2552" t="s">
        <v>5553</v>
      </c>
    </row>
    <row r="2553" spans="1:10" x14ac:dyDescent="0.2">
      <c r="A2553">
        <v>6.4330781116487705E-17</v>
      </c>
      <c r="B2553">
        <v>0.57480691111583504</v>
      </c>
      <c r="C2553">
        <v>0.21299999999999999</v>
      </c>
      <c r="D2553">
        <v>3.2000000000000001E-2</v>
      </c>
      <c r="E2553">
        <v>8.9406919595694603E-13</v>
      </c>
      <c r="F2553">
        <v>4</v>
      </c>
      <c r="G2553" t="s">
        <v>5554</v>
      </c>
      <c r="H2553" t="s">
        <v>5555</v>
      </c>
      <c r="I2553" t="str">
        <f>HYPERLINK("https://zfin.org/ZDB-GENE-131127-321")</f>
        <v>https://zfin.org/ZDB-GENE-131127-321</v>
      </c>
      <c r="J2553" t="s">
        <v>5556</v>
      </c>
    </row>
    <row r="2554" spans="1:10" x14ac:dyDescent="0.2">
      <c r="A2554">
        <v>7.2949518235483194E-17</v>
      </c>
      <c r="B2554">
        <v>0.82213237764520297</v>
      </c>
      <c r="C2554">
        <v>0.373</v>
      </c>
      <c r="D2554">
        <v>9.1999999999999998E-2</v>
      </c>
      <c r="E2554">
        <v>1.01385240443675E-12</v>
      </c>
      <c r="F2554">
        <v>4</v>
      </c>
      <c r="G2554" t="s">
        <v>4991</v>
      </c>
      <c r="H2554" t="s">
        <v>4992</v>
      </c>
      <c r="I2554" t="str">
        <f>HYPERLINK("https://zfin.org/ZDB-GENE-990630-13")</f>
        <v>https://zfin.org/ZDB-GENE-990630-13</v>
      </c>
      <c r="J2554" t="s">
        <v>4993</v>
      </c>
    </row>
    <row r="2555" spans="1:10" x14ac:dyDescent="0.2">
      <c r="A2555">
        <v>9.6082894981690794E-17</v>
      </c>
      <c r="B2555">
        <v>0.41697853427290299</v>
      </c>
      <c r="C2555">
        <v>0.187</v>
      </c>
      <c r="D2555">
        <v>2.5000000000000001E-2</v>
      </c>
      <c r="E2555">
        <v>1.33536007445554E-12</v>
      </c>
      <c r="F2555">
        <v>4</v>
      </c>
      <c r="G2555" t="s">
        <v>5557</v>
      </c>
      <c r="H2555" t="s">
        <v>5558</v>
      </c>
      <c r="I2555" t="str">
        <f>HYPERLINK("https://zfin.org/ZDB-GENE-040625-125")</f>
        <v>https://zfin.org/ZDB-GENE-040625-125</v>
      </c>
      <c r="J2555" t="s">
        <v>5559</v>
      </c>
    </row>
    <row r="2556" spans="1:10" x14ac:dyDescent="0.2">
      <c r="A2556">
        <v>1.9451190026313499E-16</v>
      </c>
      <c r="B2556">
        <v>0.53843918361996101</v>
      </c>
      <c r="C2556">
        <v>0.26700000000000002</v>
      </c>
      <c r="D2556">
        <v>0.05</v>
      </c>
      <c r="E2556">
        <v>2.7033263898570498E-12</v>
      </c>
      <c r="F2556">
        <v>4</v>
      </c>
      <c r="G2556" t="s">
        <v>5560</v>
      </c>
      <c r="H2556" t="s">
        <v>5561</v>
      </c>
      <c r="I2556" t="str">
        <f>HYPERLINK("https://zfin.org/ZDB-GENE-040426-1746")</f>
        <v>https://zfin.org/ZDB-GENE-040426-1746</v>
      </c>
      <c r="J2556" t="s">
        <v>5562</v>
      </c>
    </row>
    <row r="2557" spans="1:10" x14ac:dyDescent="0.2">
      <c r="A2557">
        <v>8.7198767516653398E-16</v>
      </c>
      <c r="B2557">
        <v>0.35155556732372101</v>
      </c>
      <c r="C2557">
        <v>0.17299999999999999</v>
      </c>
      <c r="D2557">
        <v>2.3E-2</v>
      </c>
      <c r="E2557">
        <v>1.21188847094645E-11</v>
      </c>
      <c r="F2557">
        <v>4</v>
      </c>
      <c r="G2557" t="s">
        <v>5563</v>
      </c>
      <c r="H2557" t="s">
        <v>5564</v>
      </c>
      <c r="I2557" t="str">
        <f>HYPERLINK("https://zfin.org/ZDB-GENE-040426-1873")</f>
        <v>https://zfin.org/ZDB-GENE-040426-1873</v>
      </c>
      <c r="J2557" t="s">
        <v>5565</v>
      </c>
    </row>
    <row r="2558" spans="1:10" x14ac:dyDescent="0.2">
      <c r="A2558">
        <v>1.0450313016129199E-15</v>
      </c>
      <c r="B2558">
        <v>0.25851181193436001</v>
      </c>
      <c r="C2558">
        <v>0.107</v>
      </c>
      <c r="D2558">
        <v>8.9999999999999993E-3</v>
      </c>
      <c r="E2558">
        <v>1.4523845029816401E-11</v>
      </c>
      <c r="F2558">
        <v>4</v>
      </c>
      <c r="G2558" t="s">
        <v>5566</v>
      </c>
      <c r="H2558" t="s">
        <v>5567</v>
      </c>
      <c r="I2558" t="str">
        <f>HYPERLINK("https://zfin.org/ZDB-GENE-030619-14")</f>
        <v>https://zfin.org/ZDB-GENE-030619-14</v>
      </c>
      <c r="J2558" t="s">
        <v>5568</v>
      </c>
    </row>
    <row r="2559" spans="1:10" x14ac:dyDescent="0.2">
      <c r="A2559">
        <v>1.9652632431439599E-15</v>
      </c>
      <c r="B2559">
        <v>0.37181170326993501</v>
      </c>
      <c r="C2559">
        <v>0.16</v>
      </c>
      <c r="D2559">
        <v>0.02</v>
      </c>
      <c r="E2559">
        <v>2.73132285532147E-11</v>
      </c>
      <c r="F2559">
        <v>4</v>
      </c>
      <c r="G2559" t="s">
        <v>5569</v>
      </c>
      <c r="H2559" t="s">
        <v>5570</v>
      </c>
      <c r="I2559" t="str">
        <f>HYPERLINK("https://zfin.org/ZDB-GENE-020419-16")</f>
        <v>https://zfin.org/ZDB-GENE-020419-16</v>
      </c>
      <c r="J2559" t="s">
        <v>5571</v>
      </c>
    </row>
    <row r="2560" spans="1:10" x14ac:dyDescent="0.2">
      <c r="A2560">
        <v>5.22000585403302E-15</v>
      </c>
      <c r="B2560">
        <v>0.30218491659681501</v>
      </c>
      <c r="C2560">
        <v>0.12</v>
      </c>
      <c r="D2560">
        <v>1.2E-2</v>
      </c>
      <c r="E2560">
        <v>7.2547641359350806E-11</v>
      </c>
      <c r="F2560">
        <v>4</v>
      </c>
      <c r="G2560" t="s">
        <v>5572</v>
      </c>
      <c r="H2560" t="s">
        <v>5573</v>
      </c>
      <c r="I2560" t="str">
        <f>HYPERLINK("https://zfin.org/ZDB-GENE-040426-2710")</f>
        <v>https://zfin.org/ZDB-GENE-040426-2710</v>
      </c>
      <c r="J2560" t="s">
        <v>5574</v>
      </c>
    </row>
    <row r="2561" spans="1:10" x14ac:dyDescent="0.2">
      <c r="A2561">
        <v>7.8871173895385005E-15</v>
      </c>
      <c r="B2561">
        <v>0.66320275233826598</v>
      </c>
      <c r="C2561">
        <v>0.86699999999999999</v>
      </c>
      <c r="D2561">
        <v>0.54200000000000004</v>
      </c>
      <c r="E2561">
        <v>1.0961515747980601E-10</v>
      </c>
      <c r="F2561">
        <v>4</v>
      </c>
      <c r="G2561" t="s">
        <v>3712</v>
      </c>
      <c r="H2561" t="s">
        <v>3713</v>
      </c>
      <c r="I2561" t="str">
        <f>HYPERLINK("https://zfin.org/ZDB-GENE-071005-2")</f>
        <v>https://zfin.org/ZDB-GENE-071005-2</v>
      </c>
      <c r="J2561" t="s">
        <v>3714</v>
      </c>
    </row>
    <row r="2562" spans="1:10" x14ac:dyDescent="0.2">
      <c r="A2562">
        <v>8.6170335515770099E-15</v>
      </c>
      <c r="B2562">
        <v>0.27125343078598002</v>
      </c>
      <c r="C2562">
        <v>0.16</v>
      </c>
      <c r="D2562">
        <v>2.1000000000000001E-2</v>
      </c>
      <c r="E2562">
        <v>1.1975953229981701E-10</v>
      </c>
      <c r="F2562">
        <v>4</v>
      </c>
      <c r="G2562" t="s">
        <v>5575</v>
      </c>
      <c r="H2562" t="s">
        <v>5576</v>
      </c>
      <c r="I2562" t="str">
        <f>HYPERLINK("https://zfin.org/ZDB-GENE-040426-1755")</f>
        <v>https://zfin.org/ZDB-GENE-040426-1755</v>
      </c>
      <c r="J2562" t="s">
        <v>5577</v>
      </c>
    </row>
    <row r="2563" spans="1:10" x14ac:dyDescent="0.2">
      <c r="A2563">
        <v>1.0186615205463901E-14</v>
      </c>
      <c r="B2563">
        <v>0.42140646361594902</v>
      </c>
      <c r="C2563">
        <v>0.17299999999999999</v>
      </c>
      <c r="D2563">
        <v>2.4E-2</v>
      </c>
      <c r="E2563">
        <v>1.4157357812553799E-10</v>
      </c>
      <c r="F2563">
        <v>4</v>
      </c>
      <c r="G2563" t="s">
        <v>5578</v>
      </c>
      <c r="H2563" t="s">
        <v>5579</v>
      </c>
      <c r="I2563" t="str">
        <f>HYPERLINK("https://zfin.org/ZDB-GENE-990714-15")</f>
        <v>https://zfin.org/ZDB-GENE-990714-15</v>
      </c>
      <c r="J2563" t="s">
        <v>5580</v>
      </c>
    </row>
    <row r="2564" spans="1:10" x14ac:dyDescent="0.2">
      <c r="A2564">
        <v>1.0578683117003201E-14</v>
      </c>
      <c r="B2564">
        <v>0.88911908524070105</v>
      </c>
      <c r="C2564">
        <v>0.78700000000000003</v>
      </c>
      <c r="D2564">
        <v>0.51500000000000001</v>
      </c>
      <c r="E2564">
        <v>1.47022537960111E-10</v>
      </c>
      <c r="F2564">
        <v>4</v>
      </c>
      <c r="G2564" t="s">
        <v>4479</v>
      </c>
      <c r="H2564" t="s">
        <v>4480</v>
      </c>
      <c r="I2564" t="str">
        <f>HYPERLINK("https://zfin.org/ZDB-GENE-030131-8480")</f>
        <v>https://zfin.org/ZDB-GENE-030131-8480</v>
      </c>
      <c r="J2564" t="s">
        <v>4481</v>
      </c>
    </row>
    <row r="2565" spans="1:10" x14ac:dyDescent="0.2">
      <c r="A2565">
        <v>1.96153740083367E-14</v>
      </c>
      <c r="B2565">
        <v>0.548401866175662</v>
      </c>
      <c r="C2565">
        <v>0.97299999999999998</v>
      </c>
      <c r="D2565">
        <v>0.85399999999999998</v>
      </c>
      <c r="E2565">
        <v>2.7261446796786302E-10</v>
      </c>
      <c r="F2565">
        <v>4</v>
      </c>
      <c r="G2565" t="s">
        <v>882</v>
      </c>
      <c r="H2565" t="s">
        <v>883</v>
      </c>
      <c r="I2565" t="str">
        <f>HYPERLINK("https://zfin.org/ZDB-GENE-030131-5590")</f>
        <v>https://zfin.org/ZDB-GENE-030131-5590</v>
      </c>
      <c r="J2565" t="s">
        <v>884</v>
      </c>
    </row>
    <row r="2566" spans="1:10" x14ac:dyDescent="0.2">
      <c r="A2566">
        <v>5.4958074493978899E-14</v>
      </c>
      <c r="B2566">
        <v>0.335327479515444</v>
      </c>
      <c r="C2566">
        <v>0.14699999999999999</v>
      </c>
      <c r="D2566">
        <v>1.9E-2</v>
      </c>
      <c r="E2566">
        <v>7.6380731931731897E-10</v>
      </c>
      <c r="F2566">
        <v>4</v>
      </c>
      <c r="G2566" t="s">
        <v>5581</v>
      </c>
      <c r="H2566" t="s">
        <v>5582</v>
      </c>
      <c r="I2566" t="str">
        <f>HYPERLINK("https://zfin.org/ZDB-GENE-050506-15")</f>
        <v>https://zfin.org/ZDB-GENE-050506-15</v>
      </c>
      <c r="J2566" t="s">
        <v>5583</v>
      </c>
    </row>
    <row r="2567" spans="1:10" x14ac:dyDescent="0.2">
      <c r="A2567">
        <v>8.2074529808535395E-14</v>
      </c>
      <c r="B2567">
        <v>0.31082671280691199</v>
      </c>
      <c r="C2567">
        <v>0.13300000000000001</v>
      </c>
      <c r="D2567">
        <v>1.6E-2</v>
      </c>
      <c r="E2567">
        <v>1.1406718152790201E-9</v>
      </c>
      <c r="F2567">
        <v>4</v>
      </c>
      <c r="G2567" t="s">
        <v>5584</v>
      </c>
      <c r="H2567" t="s">
        <v>5585</v>
      </c>
      <c r="I2567" t="str">
        <f>HYPERLINK("https://zfin.org/ZDB-GENE-030131-5105")</f>
        <v>https://zfin.org/ZDB-GENE-030131-5105</v>
      </c>
      <c r="J2567" t="s">
        <v>5586</v>
      </c>
    </row>
    <row r="2568" spans="1:10" x14ac:dyDescent="0.2">
      <c r="A2568">
        <v>1.10405900315958E-13</v>
      </c>
      <c r="B2568">
        <v>0.42003055349141299</v>
      </c>
      <c r="C2568">
        <v>0.13300000000000001</v>
      </c>
      <c r="D2568">
        <v>1.6E-2</v>
      </c>
      <c r="E2568">
        <v>1.53442120259118E-9</v>
      </c>
      <c r="F2568">
        <v>4</v>
      </c>
      <c r="G2568" t="s">
        <v>4205</v>
      </c>
      <c r="H2568" t="s">
        <v>4206</v>
      </c>
      <c r="I2568" t="str">
        <f>HYPERLINK("https://zfin.org/ZDB-GENE-030822-1")</f>
        <v>https://zfin.org/ZDB-GENE-030822-1</v>
      </c>
      <c r="J2568" t="s">
        <v>4207</v>
      </c>
    </row>
    <row r="2569" spans="1:10" x14ac:dyDescent="0.2">
      <c r="A2569">
        <v>1.2745749775800901E-13</v>
      </c>
      <c r="B2569">
        <v>0.34056192426428</v>
      </c>
      <c r="C2569">
        <v>0.12</v>
      </c>
      <c r="D2569">
        <v>1.2999999999999999E-2</v>
      </c>
      <c r="E2569">
        <v>1.7714043038408201E-9</v>
      </c>
      <c r="F2569">
        <v>4</v>
      </c>
      <c r="G2569" t="s">
        <v>5587</v>
      </c>
      <c r="H2569" t="s">
        <v>5588</v>
      </c>
      <c r="I2569" t="str">
        <f>HYPERLINK("https://zfin.org/ZDB-GENE-081104-194")</f>
        <v>https://zfin.org/ZDB-GENE-081104-194</v>
      </c>
      <c r="J2569" t="s">
        <v>5589</v>
      </c>
    </row>
    <row r="2570" spans="1:10" x14ac:dyDescent="0.2">
      <c r="A2570">
        <v>1.35448193993053E-13</v>
      </c>
      <c r="B2570">
        <v>0.795465021998782</v>
      </c>
      <c r="C2570">
        <v>0.64</v>
      </c>
      <c r="D2570">
        <v>0.30099999999999999</v>
      </c>
      <c r="E2570">
        <v>1.8824590001154498E-9</v>
      </c>
      <c r="F2570">
        <v>4</v>
      </c>
      <c r="G2570" t="s">
        <v>3109</v>
      </c>
      <c r="H2570" t="s">
        <v>3110</v>
      </c>
      <c r="I2570" t="str">
        <f>HYPERLINK("https://zfin.org/ZDB-GENE-030131-719")</f>
        <v>https://zfin.org/ZDB-GENE-030131-719</v>
      </c>
      <c r="J2570" t="s">
        <v>3111</v>
      </c>
    </row>
    <row r="2571" spans="1:10" x14ac:dyDescent="0.2">
      <c r="A2571">
        <v>1.5203817761590801E-13</v>
      </c>
      <c r="B2571">
        <v>0.31155126965810098</v>
      </c>
      <c r="C2571">
        <v>0.107</v>
      </c>
      <c r="D2571">
        <v>0.01</v>
      </c>
      <c r="E2571">
        <v>2.1130265925058899E-9</v>
      </c>
      <c r="F2571">
        <v>4</v>
      </c>
      <c r="G2571" t="s">
        <v>5590</v>
      </c>
      <c r="H2571" t="s">
        <v>5591</v>
      </c>
      <c r="I2571" t="str">
        <f>HYPERLINK("https://zfin.org/ZDB-GENE-040426-968")</f>
        <v>https://zfin.org/ZDB-GENE-040426-968</v>
      </c>
      <c r="J2571" t="s">
        <v>5592</v>
      </c>
    </row>
    <row r="2572" spans="1:10" x14ac:dyDescent="0.2">
      <c r="A2572">
        <v>1.6466905368000399E-13</v>
      </c>
      <c r="B2572">
        <v>0.269264089376968</v>
      </c>
      <c r="C2572">
        <v>0.13300000000000001</v>
      </c>
      <c r="D2572">
        <v>1.6E-2</v>
      </c>
      <c r="E2572">
        <v>2.2885705080446998E-9</v>
      </c>
      <c r="F2572">
        <v>4</v>
      </c>
      <c r="G2572" t="s">
        <v>5593</v>
      </c>
      <c r="H2572" t="s">
        <v>5594</v>
      </c>
      <c r="I2572" t="str">
        <f>HYPERLINK("https://zfin.org/ZDB-GENE-060825-232")</f>
        <v>https://zfin.org/ZDB-GENE-060825-232</v>
      </c>
      <c r="J2572" t="s">
        <v>5595</v>
      </c>
    </row>
    <row r="2573" spans="1:10" x14ac:dyDescent="0.2">
      <c r="A2573">
        <v>1.8730128234981001E-13</v>
      </c>
      <c r="B2573">
        <v>0.329281770585165</v>
      </c>
      <c r="C2573">
        <v>0.14699999999999999</v>
      </c>
      <c r="D2573">
        <v>1.9E-2</v>
      </c>
      <c r="E2573">
        <v>2.6031132220976502E-9</v>
      </c>
      <c r="F2573">
        <v>4</v>
      </c>
      <c r="G2573" t="s">
        <v>5596</v>
      </c>
      <c r="H2573" t="s">
        <v>5597</v>
      </c>
      <c r="I2573" t="str">
        <f>HYPERLINK("https://zfin.org/ZDB-GENE-091020-13")</f>
        <v>https://zfin.org/ZDB-GENE-091020-13</v>
      </c>
      <c r="J2573" t="s">
        <v>5598</v>
      </c>
    </row>
    <row r="2574" spans="1:10" x14ac:dyDescent="0.2">
      <c r="A2574">
        <v>1.91449429809831E-13</v>
      </c>
      <c r="B2574">
        <v>0.42303771520101602</v>
      </c>
      <c r="C2574">
        <v>0.12</v>
      </c>
      <c r="D2574">
        <v>1.2999999999999999E-2</v>
      </c>
      <c r="E2574">
        <v>2.66076417549703E-9</v>
      </c>
      <c r="F2574">
        <v>4</v>
      </c>
      <c r="G2574" t="s">
        <v>5599</v>
      </c>
      <c r="H2574" t="s">
        <v>5600</v>
      </c>
      <c r="I2574" t="str">
        <f>HYPERLINK("https://zfin.org/ZDB-GENE-040801-59")</f>
        <v>https://zfin.org/ZDB-GENE-040801-59</v>
      </c>
      <c r="J2574" t="s">
        <v>5601</v>
      </c>
    </row>
    <row r="2575" spans="1:10" x14ac:dyDescent="0.2">
      <c r="A2575">
        <v>1.93518890955509E-13</v>
      </c>
      <c r="B2575">
        <v>0.33948659129381298</v>
      </c>
      <c r="C2575">
        <v>0.14699999999999999</v>
      </c>
      <c r="D2575">
        <v>1.9E-2</v>
      </c>
      <c r="E2575">
        <v>2.68952554649967E-9</v>
      </c>
      <c r="F2575">
        <v>4</v>
      </c>
      <c r="G2575" t="s">
        <v>5602</v>
      </c>
      <c r="H2575" t="s">
        <v>5603</v>
      </c>
      <c r="I2575" t="str">
        <f>HYPERLINK("https://zfin.org/ZDB-GENE-030131-5268")</f>
        <v>https://zfin.org/ZDB-GENE-030131-5268</v>
      </c>
      <c r="J2575" t="s">
        <v>5604</v>
      </c>
    </row>
    <row r="2576" spans="1:10" x14ac:dyDescent="0.2">
      <c r="A2576">
        <v>1.9731253965560801E-13</v>
      </c>
      <c r="B2576">
        <v>0.53192928960601804</v>
      </c>
      <c r="C2576">
        <v>0.29299999999999998</v>
      </c>
      <c r="D2576">
        <v>6.9000000000000006E-2</v>
      </c>
      <c r="E2576">
        <v>2.7422496761336399E-9</v>
      </c>
      <c r="F2576">
        <v>4</v>
      </c>
      <c r="G2576" t="s">
        <v>5605</v>
      </c>
      <c r="H2576" t="s">
        <v>5606</v>
      </c>
      <c r="I2576" t="str">
        <f>HYPERLINK("https://zfin.org/ZDB-GENE-050506-57")</f>
        <v>https://zfin.org/ZDB-GENE-050506-57</v>
      </c>
      <c r="J2576" t="s">
        <v>5607</v>
      </c>
    </row>
    <row r="2577" spans="1:10" x14ac:dyDescent="0.2">
      <c r="A2577">
        <v>2.4026474714057899E-13</v>
      </c>
      <c r="B2577">
        <v>0.26840170701093702</v>
      </c>
      <c r="C2577">
        <v>0.16</v>
      </c>
      <c r="D2577">
        <v>2.3E-2</v>
      </c>
      <c r="E2577">
        <v>3.3391994557597699E-9</v>
      </c>
      <c r="F2577">
        <v>4</v>
      </c>
      <c r="G2577" t="s">
        <v>5608</v>
      </c>
      <c r="H2577" t="s">
        <v>5609</v>
      </c>
      <c r="I2577" t="str">
        <f>HYPERLINK("https://zfin.org/ZDB-GENE-110411-279")</f>
        <v>https://zfin.org/ZDB-GENE-110411-279</v>
      </c>
      <c r="J2577" t="s">
        <v>5610</v>
      </c>
    </row>
    <row r="2578" spans="1:10" x14ac:dyDescent="0.2">
      <c r="A2578">
        <v>2.6409728398539899E-13</v>
      </c>
      <c r="B2578">
        <v>0.28440174350873298</v>
      </c>
      <c r="C2578">
        <v>0.12</v>
      </c>
      <c r="D2578">
        <v>1.2999999999999999E-2</v>
      </c>
      <c r="E2578">
        <v>3.67042405282908E-9</v>
      </c>
      <c r="F2578">
        <v>4</v>
      </c>
      <c r="G2578" t="s">
        <v>5611</v>
      </c>
      <c r="H2578" t="s">
        <v>5612</v>
      </c>
      <c r="I2578" t="str">
        <f>HYPERLINK("https://zfin.org/ZDB-GENE-030123-1")</f>
        <v>https://zfin.org/ZDB-GENE-030123-1</v>
      </c>
      <c r="J2578" t="s">
        <v>5613</v>
      </c>
    </row>
    <row r="2579" spans="1:10" x14ac:dyDescent="0.2">
      <c r="A2579">
        <v>2.7784403384164699E-13</v>
      </c>
      <c r="B2579">
        <v>0.36263926913370098</v>
      </c>
      <c r="C2579">
        <v>0.107</v>
      </c>
      <c r="D2579">
        <v>1.0999999999999999E-2</v>
      </c>
      <c r="E2579">
        <v>3.8614763823312098E-9</v>
      </c>
      <c r="F2579">
        <v>4</v>
      </c>
      <c r="G2579" t="s">
        <v>3582</v>
      </c>
      <c r="H2579" t="s">
        <v>3583</v>
      </c>
      <c r="I2579" t="str">
        <f>HYPERLINK("https://zfin.org/")</f>
        <v>https://zfin.org/</v>
      </c>
    </row>
    <row r="2580" spans="1:10" x14ac:dyDescent="0.2">
      <c r="A2580">
        <v>3.4163213727215501E-13</v>
      </c>
      <c r="B2580">
        <v>0.27097989472244699</v>
      </c>
      <c r="C2580">
        <v>0.13300000000000001</v>
      </c>
      <c r="D2580">
        <v>1.6E-2</v>
      </c>
      <c r="E2580">
        <v>4.74800344380841E-9</v>
      </c>
      <c r="F2580">
        <v>4</v>
      </c>
      <c r="G2580" t="s">
        <v>5614</v>
      </c>
      <c r="H2580" t="s">
        <v>5615</v>
      </c>
      <c r="I2580" t="str">
        <f>HYPERLINK("https://zfin.org/")</f>
        <v>https://zfin.org/</v>
      </c>
    </row>
    <row r="2581" spans="1:10" x14ac:dyDescent="0.2">
      <c r="A2581">
        <v>3.4661317566370398E-13</v>
      </c>
      <c r="B2581">
        <v>0.64496039827101403</v>
      </c>
      <c r="C2581">
        <v>0.4</v>
      </c>
      <c r="D2581">
        <v>0.123</v>
      </c>
      <c r="E2581">
        <v>4.81722991537415E-9</v>
      </c>
      <c r="F2581">
        <v>4</v>
      </c>
      <c r="G2581" t="s">
        <v>5616</v>
      </c>
      <c r="H2581" t="s">
        <v>5617</v>
      </c>
      <c r="I2581" t="str">
        <f>HYPERLINK("https://zfin.org/ZDB-GENE-040426-930")</f>
        <v>https://zfin.org/ZDB-GENE-040426-930</v>
      </c>
      <c r="J2581" t="s">
        <v>5618</v>
      </c>
    </row>
    <row r="2582" spans="1:10" x14ac:dyDescent="0.2">
      <c r="A2582">
        <v>6.8579580361207404E-13</v>
      </c>
      <c r="B2582">
        <v>0.57474379526524899</v>
      </c>
      <c r="C2582">
        <v>0.93300000000000005</v>
      </c>
      <c r="D2582">
        <v>0.754</v>
      </c>
      <c r="E2582">
        <v>9.5311900786006097E-9</v>
      </c>
      <c r="F2582">
        <v>4</v>
      </c>
      <c r="G2582" t="s">
        <v>1976</v>
      </c>
      <c r="H2582" t="s">
        <v>1977</v>
      </c>
      <c r="I2582" t="str">
        <f>HYPERLINK("https://zfin.org/ZDB-GENE-040426-1961")</f>
        <v>https://zfin.org/ZDB-GENE-040426-1961</v>
      </c>
      <c r="J2582" t="s">
        <v>1978</v>
      </c>
    </row>
    <row r="2583" spans="1:10" x14ac:dyDescent="0.2">
      <c r="A2583">
        <v>1.9296718380733501E-12</v>
      </c>
      <c r="B2583">
        <v>0.55241789560944399</v>
      </c>
      <c r="C2583">
        <v>0.97299999999999998</v>
      </c>
      <c r="D2583">
        <v>0.71899999999999997</v>
      </c>
      <c r="E2583">
        <v>2.6818579205543399E-8</v>
      </c>
      <c r="F2583">
        <v>4</v>
      </c>
      <c r="G2583" t="s">
        <v>3085</v>
      </c>
      <c r="H2583" t="s">
        <v>3086</v>
      </c>
      <c r="I2583" t="str">
        <f>HYPERLINK("https://zfin.org/ZDB-GENE-000329-1")</f>
        <v>https://zfin.org/ZDB-GENE-000329-1</v>
      </c>
      <c r="J2583" t="s">
        <v>3087</v>
      </c>
    </row>
    <row r="2584" spans="1:10" x14ac:dyDescent="0.2">
      <c r="A2584">
        <v>2.2435650627980898E-12</v>
      </c>
      <c r="B2584">
        <v>0.70363566933572297</v>
      </c>
      <c r="C2584">
        <v>0.96</v>
      </c>
      <c r="D2584">
        <v>0.79100000000000004</v>
      </c>
      <c r="E2584">
        <v>3.1181067242767899E-8</v>
      </c>
      <c r="F2584">
        <v>4</v>
      </c>
      <c r="G2584" t="s">
        <v>2161</v>
      </c>
      <c r="H2584" t="s">
        <v>2162</v>
      </c>
      <c r="I2584" t="str">
        <f>HYPERLINK("https://zfin.org/ZDB-GENE-141216-84")</f>
        <v>https://zfin.org/ZDB-GENE-141216-84</v>
      </c>
      <c r="J2584" t="s">
        <v>2163</v>
      </c>
    </row>
    <row r="2585" spans="1:10" x14ac:dyDescent="0.2">
      <c r="A2585">
        <v>2.3041116503657E-12</v>
      </c>
      <c r="B2585">
        <v>0.570003542651631</v>
      </c>
      <c r="C2585">
        <v>0.24</v>
      </c>
      <c r="D2585">
        <v>5.1999999999999998E-2</v>
      </c>
      <c r="E2585">
        <v>3.2022543716782598E-8</v>
      </c>
      <c r="F2585">
        <v>4</v>
      </c>
      <c r="G2585" t="s">
        <v>5619</v>
      </c>
      <c r="H2585" t="s">
        <v>5620</v>
      </c>
      <c r="I2585" t="str">
        <f>HYPERLINK("https://zfin.org/ZDB-GENE-050309-201")</f>
        <v>https://zfin.org/ZDB-GENE-050309-201</v>
      </c>
      <c r="J2585" t="s">
        <v>5621</v>
      </c>
    </row>
    <row r="2586" spans="1:10" x14ac:dyDescent="0.2">
      <c r="A2586">
        <v>3.0167602555730198E-12</v>
      </c>
      <c r="B2586">
        <v>0.32651950380801398</v>
      </c>
      <c r="C2586">
        <v>0.13300000000000001</v>
      </c>
      <c r="D2586">
        <v>1.7999999999999999E-2</v>
      </c>
      <c r="E2586">
        <v>4.1926934031953803E-8</v>
      </c>
      <c r="F2586">
        <v>4</v>
      </c>
      <c r="G2586" t="s">
        <v>5622</v>
      </c>
      <c r="H2586" t="s">
        <v>5623</v>
      </c>
      <c r="I2586" t="str">
        <f>HYPERLINK("https://zfin.org/ZDB-GENE-070410-99")</f>
        <v>https://zfin.org/ZDB-GENE-070410-99</v>
      </c>
      <c r="J2586" t="s">
        <v>5624</v>
      </c>
    </row>
    <row r="2587" spans="1:10" x14ac:dyDescent="0.2">
      <c r="A2587">
        <v>3.13748262927871E-12</v>
      </c>
      <c r="B2587">
        <v>0.50439176779657402</v>
      </c>
      <c r="C2587">
        <v>0.36</v>
      </c>
      <c r="D2587">
        <v>0.104</v>
      </c>
      <c r="E2587">
        <v>4.3604733581715497E-8</v>
      </c>
      <c r="F2587">
        <v>4</v>
      </c>
      <c r="G2587" t="s">
        <v>4112</v>
      </c>
      <c r="H2587" t="s">
        <v>4113</v>
      </c>
      <c r="I2587" t="str">
        <f>HYPERLINK("https://zfin.org/ZDB-GENE-061110-82")</f>
        <v>https://zfin.org/ZDB-GENE-061110-82</v>
      </c>
      <c r="J2587" t="s">
        <v>4114</v>
      </c>
    </row>
    <row r="2588" spans="1:10" x14ac:dyDescent="0.2">
      <c r="A2588">
        <v>3.5364411049465599E-12</v>
      </c>
      <c r="B2588">
        <v>0.341045742143889</v>
      </c>
      <c r="C2588">
        <v>0.107</v>
      </c>
      <c r="D2588">
        <v>1.2E-2</v>
      </c>
      <c r="E2588">
        <v>4.91494584765473E-8</v>
      </c>
      <c r="F2588">
        <v>4</v>
      </c>
      <c r="G2588" t="s">
        <v>5625</v>
      </c>
      <c r="H2588" t="s">
        <v>5626</v>
      </c>
      <c r="I2588" t="str">
        <f>HYPERLINK("https://zfin.org/ZDB-GENE-060503-826")</f>
        <v>https://zfin.org/ZDB-GENE-060503-826</v>
      </c>
      <c r="J2588" t="s">
        <v>5627</v>
      </c>
    </row>
    <row r="2589" spans="1:10" x14ac:dyDescent="0.2">
      <c r="A2589">
        <v>3.5769853402236798E-12</v>
      </c>
      <c r="B2589">
        <v>0.395632077573906</v>
      </c>
      <c r="C2589">
        <v>0.14699999999999999</v>
      </c>
      <c r="D2589">
        <v>2.1000000000000001E-2</v>
      </c>
      <c r="E2589">
        <v>4.9712942258428698E-8</v>
      </c>
      <c r="F2589">
        <v>4</v>
      </c>
      <c r="G2589" t="s">
        <v>5628</v>
      </c>
      <c r="H2589" t="s">
        <v>5629</v>
      </c>
      <c r="I2589" t="str">
        <f>HYPERLINK("https://zfin.org/ZDB-GENE-070206-11")</f>
        <v>https://zfin.org/ZDB-GENE-070206-11</v>
      </c>
      <c r="J2589" t="s">
        <v>5630</v>
      </c>
    </row>
    <row r="2590" spans="1:10" x14ac:dyDescent="0.2">
      <c r="A2590">
        <v>4.1140511071671501E-12</v>
      </c>
      <c r="B2590">
        <v>0.29572068968377502</v>
      </c>
      <c r="C2590">
        <v>0.107</v>
      </c>
      <c r="D2590">
        <v>1.2E-2</v>
      </c>
      <c r="E2590">
        <v>5.7177082287409002E-8</v>
      </c>
      <c r="F2590">
        <v>4</v>
      </c>
      <c r="G2590" t="s">
        <v>5631</v>
      </c>
      <c r="H2590" t="s">
        <v>5632</v>
      </c>
      <c r="I2590" t="str">
        <f>HYPERLINK("https://zfin.org/ZDB-GENE-030131-5865")</f>
        <v>https://zfin.org/ZDB-GENE-030131-5865</v>
      </c>
      <c r="J2590" t="s">
        <v>5633</v>
      </c>
    </row>
    <row r="2591" spans="1:10" x14ac:dyDescent="0.2">
      <c r="A2591">
        <v>4.1751979325615203E-12</v>
      </c>
      <c r="B2591">
        <v>0.56218963807578903</v>
      </c>
      <c r="C2591">
        <v>0.44</v>
      </c>
      <c r="D2591">
        <v>0.14599999999999999</v>
      </c>
      <c r="E2591">
        <v>5.8026900866739998E-8</v>
      </c>
      <c r="F2591">
        <v>4</v>
      </c>
      <c r="G2591" t="s">
        <v>534</v>
      </c>
      <c r="H2591" t="s">
        <v>535</v>
      </c>
      <c r="I2591" t="str">
        <f>HYPERLINK("https://zfin.org/ZDB-GENE-050320-35")</f>
        <v>https://zfin.org/ZDB-GENE-050320-35</v>
      </c>
      <c r="J2591" t="s">
        <v>536</v>
      </c>
    </row>
    <row r="2592" spans="1:10" x14ac:dyDescent="0.2">
      <c r="A2592">
        <v>4.2111086606237797E-12</v>
      </c>
      <c r="B2592">
        <v>0.459279685848895</v>
      </c>
      <c r="C2592">
        <v>0.21299999999999999</v>
      </c>
      <c r="D2592">
        <v>4.2999999999999997E-2</v>
      </c>
      <c r="E2592">
        <v>5.8525988165349302E-8</v>
      </c>
      <c r="F2592">
        <v>4</v>
      </c>
      <c r="G2592" t="s">
        <v>5634</v>
      </c>
      <c r="H2592" t="s">
        <v>5635</v>
      </c>
      <c r="I2592" t="str">
        <f>HYPERLINK("https://zfin.org/ZDB-GENE-040426-900")</f>
        <v>https://zfin.org/ZDB-GENE-040426-900</v>
      </c>
      <c r="J2592" t="s">
        <v>5636</v>
      </c>
    </row>
    <row r="2593" spans="1:10" x14ac:dyDescent="0.2">
      <c r="A2593">
        <v>4.6407615657929303E-12</v>
      </c>
      <c r="B2593">
        <v>0.68785837416870899</v>
      </c>
      <c r="C2593">
        <v>0.76</v>
      </c>
      <c r="D2593">
        <v>0.43</v>
      </c>
      <c r="E2593">
        <v>6.4497304241390099E-8</v>
      </c>
      <c r="F2593">
        <v>4</v>
      </c>
      <c r="G2593" t="s">
        <v>4133</v>
      </c>
      <c r="H2593" t="s">
        <v>4134</v>
      </c>
      <c r="I2593" t="str">
        <f>HYPERLINK("https://zfin.org/ZDB-GENE-030131-7850")</f>
        <v>https://zfin.org/ZDB-GENE-030131-7850</v>
      </c>
      <c r="J2593" t="s">
        <v>4135</v>
      </c>
    </row>
    <row r="2594" spans="1:10" x14ac:dyDescent="0.2">
      <c r="A2594">
        <v>4.6923760491153897E-12</v>
      </c>
      <c r="B2594">
        <v>0.53748469273902599</v>
      </c>
      <c r="C2594">
        <v>0.26700000000000002</v>
      </c>
      <c r="D2594">
        <v>6.4000000000000001E-2</v>
      </c>
      <c r="E2594">
        <v>6.5214642330605698E-8</v>
      </c>
      <c r="F2594">
        <v>4</v>
      </c>
      <c r="G2594" t="s">
        <v>5637</v>
      </c>
      <c r="H2594" t="s">
        <v>5638</v>
      </c>
      <c r="I2594" t="str">
        <f>HYPERLINK("https://zfin.org/ZDB-GENE-041010-28")</f>
        <v>https://zfin.org/ZDB-GENE-041010-28</v>
      </c>
      <c r="J2594" t="s">
        <v>5639</v>
      </c>
    </row>
    <row r="2595" spans="1:10" x14ac:dyDescent="0.2">
      <c r="A2595">
        <v>4.7460906295091796E-12</v>
      </c>
      <c r="B2595">
        <v>0.27450611914585599</v>
      </c>
      <c r="C2595">
        <v>0.13300000000000001</v>
      </c>
      <c r="D2595">
        <v>1.7999999999999999E-2</v>
      </c>
      <c r="E2595">
        <v>6.59611675689186E-8</v>
      </c>
      <c r="F2595">
        <v>4</v>
      </c>
      <c r="G2595" t="s">
        <v>5640</v>
      </c>
      <c r="H2595" t="s">
        <v>5641</v>
      </c>
      <c r="I2595" t="str">
        <f>HYPERLINK("https://zfin.org/ZDB-GENE-030131-305")</f>
        <v>https://zfin.org/ZDB-GENE-030131-305</v>
      </c>
      <c r="J2595" t="s">
        <v>5642</v>
      </c>
    </row>
    <row r="2596" spans="1:10" x14ac:dyDescent="0.2">
      <c r="A2596">
        <v>7.8918299779103497E-12</v>
      </c>
      <c r="B2596">
        <v>-1.17127712457055</v>
      </c>
      <c r="C2596">
        <v>0.96</v>
      </c>
      <c r="D2596">
        <v>0.94099999999999995</v>
      </c>
      <c r="E2596">
        <v>1.0968065303299799E-7</v>
      </c>
      <c r="F2596">
        <v>4</v>
      </c>
      <c r="G2596" t="s">
        <v>1221</v>
      </c>
      <c r="H2596" t="s">
        <v>1222</v>
      </c>
      <c r="I2596" t="str">
        <f>HYPERLINK("https://zfin.org/ZDB-GENE-040426-1508")</f>
        <v>https://zfin.org/ZDB-GENE-040426-1508</v>
      </c>
      <c r="J2596" t="s">
        <v>1223</v>
      </c>
    </row>
    <row r="2597" spans="1:10" x14ac:dyDescent="0.2">
      <c r="A2597">
        <v>1.07131067851748E-11</v>
      </c>
      <c r="B2597">
        <v>0.37487440771853298</v>
      </c>
      <c r="C2597">
        <v>0.24</v>
      </c>
      <c r="D2597">
        <v>5.2999999999999999E-2</v>
      </c>
      <c r="E2597">
        <v>1.4889075810035901E-7</v>
      </c>
      <c r="F2597">
        <v>4</v>
      </c>
      <c r="G2597" t="s">
        <v>5643</v>
      </c>
      <c r="H2597" t="s">
        <v>5644</v>
      </c>
      <c r="I2597" t="str">
        <f>HYPERLINK("https://zfin.org/ZDB-GENE-040426-2681")</f>
        <v>https://zfin.org/ZDB-GENE-040426-2681</v>
      </c>
      <c r="J2597" t="s">
        <v>5645</v>
      </c>
    </row>
    <row r="2598" spans="1:10" x14ac:dyDescent="0.2">
      <c r="A2598">
        <v>1.7348767969664598E-11</v>
      </c>
      <c r="B2598">
        <v>0.42211643806587601</v>
      </c>
      <c r="C2598">
        <v>0.187</v>
      </c>
      <c r="D2598">
        <v>3.5000000000000003E-2</v>
      </c>
      <c r="E2598">
        <v>2.4111317724239902E-7</v>
      </c>
      <c r="F2598">
        <v>4</v>
      </c>
      <c r="G2598" t="s">
        <v>5646</v>
      </c>
      <c r="H2598" t="s">
        <v>5647</v>
      </c>
      <c r="I2598" t="str">
        <f>HYPERLINK("https://zfin.org/ZDB-GENE-050522-471")</f>
        <v>https://zfin.org/ZDB-GENE-050522-471</v>
      </c>
      <c r="J2598" t="s">
        <v>5648</v>
      </c>
    </row>
    <row r="2599" spans="1:10" x14ac:dyDescent="0.2">
      <c r="A2599">
        <v>2.0009653180707199E-11</v>
      </c>
      <c r="B2599">
        <v>-0.55673692453516299</v>
      </c>
      <c r="C2599">
        <v>0.56000000000000005</v>
      </c>
      <c r="D2599">
        <v>0.79600000000000004</v>
      </c>
      <c r="E2599">
        <v>2.7809415990546898E-7</v>
      </c>
      <c r="F2599">
        <v>4</v>
      </c>
      <c r="G2599" t="s">
        <v>5649</v>
      </c>
      <c r="H2599" t="s">
        <v>5650</v>
      </c>
      <c r="I2599" t="str">
        <f>HYPERLINK("https://zfin.org/ZDB-GENE-000607-83")</f>
        <v>https://zfin.org/ZDB-GENE-000607-83</v>
      </c>
      <c r="J2599" t="s">
        <v>5651</v>
      </c>
    </row>
    <row r="2600" spans="1:10" x14ac:dyDescent="0.2">
      <c r="A2600">
        <v>2.1273466023186301E-11</v>
      </c>
      <c r="B2600">
        <v>0.396635659254224</v>
      </c>
      <c r="C2600">
        <v>0.13300000000000001</v>
      </c>
      <c r="D2600">
        <v>1.9E-2</v>
      </c>
      <c r="E2600">
        <v>2.9565863079024298E-7</v>
      </c>
      <c r="F2600">
        <v>4</v>
      </c>
      <c r="G2600" t="s">
        <v>5652</v>
      </c>
      <c r="H2600" t="s">
        <v>5653</v>
      </c>
      <c r="I2600" t="str">
        <f>HYPERLINK("https://zfin.org/ZDB-GENE-090612-2")</f>
        <v>https://zfin.org/ZDB-GENE-090612-2</v>
      </c>
      <c r="J2600" t="s">
        <v>5654</v>
      </c>
    </row>
    <row r="2601" spans="1:10" x14ac:dyDescent="0.2">
      <c r="A2601">
        <v>2.4836982278048499E-11</v>
      </c>
      <c r="B2601">
        <v>0.76662435943448104</v>
      </c>
      <c r="C2601">
        <v>0.33300000000000002</v>
      </c>
      <c r="D2601">
        <v>0.10199999999999999</v>
      </c>
      <c r="E2601">
        <v>3.4518437970031797E-7</v>
      </c>
      <c r="F2601">
        <v>4</v>
      </c>
      <c r="G2601" t="s">
        <v>5655</v>
      </c>
      <c r="H2601" t="s">
        <v>5656</v>
      </c>
      <c r="I2601" t="str">
        <f>HYPERLINK("https://zfin.org/ZDB-GENE-030131-5753")</f>
        <v>https://zfin.org/ZDB-GENE-030131-5753</v>
      </c>
      <c r="J2601" t="s">
        <v>5657</v>
      </c>
    </row>
    <row r="2602" spans="1:10" x14ac:dyDescent="0.2">
      <c r="A2602">
        <v>3.1336759104804703E-11</v>
      </c>
      <c r="B2602">
        <v>-0.64492923040517203</v>
      </c>
      <c r="C2602">
        <v>0.82699999999999996</v>
      </c>
      <c r="D2602">
        <v>0.90200000000000002</v>
      </c>
      <c r="E2602">
        <v>4.3551827803857602E-7</v>
      </c>
      <c r="F2602">
        <v>4</v>
      </c>
      <c r="G2602" t="s">
        <v>2096</v>
      </c>
      <c r="H2602" t="s">
        <v>2097</v>
      </c>
      <c r="I2602" t="str">
        <f>HYPERLINK("https://zfin.org/ZDB-GENE-030131-8417")</f>
        <v>https://zfin.org/ZDB-GENE-030131-8417</v>
      </c>
      <c r="J2602" t="s">
        <v>2098</v>
      </c>
    </row>
    <row r="2603" spans="1:10" x14ac:dyDescent="0.2">
      <c r="A2603">
        <v>3.8724236040075801E-11</v>
      </c>
      <c r="B2603">
        <v>0.50422349507112096</v>
      </c>
      <c r="C2603">
        <v>0.26700000000000002</v>
      </c>
      <c r="D2603">
        <v>6.8000000000000005E-2</v>
      </c>
      <c r="E2603">
        <v>5.3818943248497399E-7</v>
      </c>
      <c r="F2603">
        <v>4</v>
      </c>
      <c r="G2603" t="s">
        <v>3838</v>
      </c>
      <c r="H2603" t="s">
        <v>3839</v>
      </c>
      <c r="I2603" t="str">
        <f>HYPERLINK("https://zfin.org/ZDB-GENE-040625-21")</f>
        <v>https://zfin.org/ZDB-GENE-040625-21</v>
      </c>
      <c r="J2603" t="s">
        <v>3840</v>
      </c>
    </row>
    <row r="2604" spans="1:10" x14ac:dyDescent="0.2">
      <c r="A2604">
        <v>4.3383233039151998E-11</v>
      </c>
      <c r="B2604">
        <v>0.335763239191396</v>
      </c>
      <c r="C2604">
        <v>0.2</v>
      </c>
      <c r="D2604">
        <v>0.04</v>
      </c>
      <c r="E2604">
        <v>6.0294017277813498E-7</v>
      </c>
      <c r="F2604">
        <v>4</v>
      </c>
      <c r="G2604" t="s">
        <v>5658</v>
      </c>
      <c r="H2604" t="s">
        <v>5659</v>
      </c>
      <c r="I2604" t="str">
        <f>HYPERLINK("https://zfin.org/ZDB-GENE-081022-128")</f>
        <v>https://zfin.org/ZDB-GENE-081022-128</v>
      </c>
      <c r="J2604" t="s">
        <v>5660</v>
      </c>
    </row>
    <row r="2605" spans="1:10" x14ac:dyDescent="0.2">
      <c r="A2605">
        <v>5.1135683624359099E-11</v>
      </c>
      <c r="B2605">
        <v>0.62002578093314198</v>
      </c>
      <c r="C2605">
        <v>0.82699999999999996</v>
      </c>
      <c r="D2605">
        <v>0.54200000000000004</v>
      </c>
      <c r="E2605">
        <v>7.1068373101134303E-7</v>
      </c>
      <c r="F2605">
        <v>4</v>
      </c>
      <c r="G2605" t="s">
        <v>3297</v>
      </c>
      <c r="H2605" t="s">
        <v>3298</v>
      </c>
      <c r="I2605" t="str">
        <f>HYPERLINK("https://zfin.org/ZDB-GENE-030131-2221")</f>
        <v>https://zfin.org/ZDB-GENE-030131-2221</v>
      </c>
      <c r="J2605" t="s">
        <v>3299</v>
      </c>
    </row>
    <row r="2606" spans="1:10" x14ac:dyDescent="0.2">
      <c r="A2606">
        <v>6.7980413160784996E-11</v>
      </c>
      <c r="B2606">
        <v>0.56063036588799897</v>
      </c>
      <c r="C2606">
        <v>0.32</v>
      </c>
      <c r="D2606">
        <v>9.4E-2</v>
      </c>
      <c r="E2606">
        <v>9.4479178210859003E-7</v>
      </c>
      <c r="F2606">
        <v>4</v>
      </c>
      <c r="G2606" t="s">
        <v>5661</v>
      </c>
      <c r="H2606" t="s">
        <v>5662</v>
      </c>
      <c r="I2606" t="str">
        <f>HYPERLINK("https://zfin.org/ZDB-GENE-031001-13")</f>
        <v>https://zfin.org/ZDB-GENE-031001-13</v>
      </c>
      <c r="J2606" t="s">
        <v>5663</v>
      </c>
    </row>
    <row r="2607" spans="1:10" x14ac:dyDescent="0.2">
      <c r="A2607">
        <v>7.0594669420044602E-11</v>
      </c>
      <c r="B2607">
        <v>0.47357826097559103</v>
      </c>
      <c r="C2607">
        <v>0.26700000000000002</v>
      </c>
      <c r="D2607">
        <v>6.9000000000000006E-2</v>
      </c>
      <c r="E2607">
        <v>9.8112471559978E-7</v>
      </c>
      <c r="F2607">
        <v>4</v>
      </c>
      <c r="G2607" t="s">
        <v>5664</v>
      </c>
      <c r="H2607" t="s">
        <v>5665</v>
      </c>
      <c r="I2607" t="str">
        <f>HYPERLINK("https://zfin.org/ZDB-GENE-050417-446")</f>
        <v>https://zfin.org/ZDB-GENE-050417-446</v>
      </c>
      <c r="J2607" t="s">
        <v>5666</v>
      </c>
    </row>
    <row r="2608" spans="1:10" x14ac:dyDescent="0.2">
      <c r="A2608">
        <v>7.1009532297336001E-11</v>
      </c>
      <c r="B2608">
        <v>0.31238764565306498</v>
      </c>
      <c r="C2608">
        <v>0.12</v>
      </c>
      <c r="D2608">
        <v>1.6E-2</v>
      </c>
      <c r="E2608">
        <v>9.868904798683749E-7</v>
      </c>
      <c r="F2608">
        <v>4</v>
      </c>
      <c r="G2608" t="s">
        <v>5667</v>
      </c>
      <c r="H2608" t="s">
        <v>5668</v>
      </c>
      <c r="I2608" t="str">
        <f>HYPERLINK("https://zfin.org/ZDB-GENE-141222-86")</f>
        <v>https://zfin.org/ZDB-GENE-141222-86</v>
      </c>
      <c r="J2608" t="s">
        <v>5669</v>
      </c>
    </row>
    <row r="2609" spans="1:10" x14ac:dyDescent="0.2">
      <c r="A2609">
        <v>7.26046837496385E-11</v>
      </c>
      <c r="B2609">
        <v>0.36741249638350298</v>
      </c>
      <c r="C2609">
        <v>1</v>
      </c>
      <c r="D2609">
        <v>0.98</v>
      </c>
      <c r="E2609">
        <v>1.0090598947524799E-6</v>
      </c>
      <c r="F2609">
        <v>4</v>
      </c>
      <c r="G2609" t="s">
        <v>1883</v>
      </c>
      <c r="H2609" t="s">
        <v>1884</v>
      </c>
      <c r="I2609" t="str">
        <f>HYPERLINK("https://zfin.org/ZDB-GENE-070327-2")</f>
        <v>https://zfin.org/ZDB-GENE-070327-2</v>
      </c>
      <c r="J2609" t="s">
        <v>1885</v>
      </c>
    </row>
    <row r="2610" spans="1:10" x14ac:dyDescent="0.2">
      <c r="A2610">
        <v>9.0682566234701098E-11</v>
      </c>
      <c r="B2610">
        <v>0.39178655362759801</v>
      </c>
      <c r="C2610">
        <v>0.14699999999999999</v>
      </c>
      <c r="D2610">
        <v>2.4E-2</v>
      </c>
      <c r="E2610">
        <v>1.26030630552988E-6</v>
      </c>
      <c r="F2610">
        <v>4</v>
      </c>
      <c r="G2610" t="s">
        <v>5670</v>
      </c>
      <c r="H2610" t="s">
        <v>5671</v>
      </c>
      <c r="I2610" t="str">
        <f>HYPERLINK("https://zfin.org/ZDB-GENE-030131-2581")</f>
        <v>https://zfin.org/ZDB-GENE-030131-2581</v>
      </c>
      <c r="J2610" t="s">
        <v>5672</v>
      </c>
    </row>
    <row r="2611" spans="1:10" x14ac:dyDescent="0.2">
      <c r="A2611">
        <v>1.08297920981143E-10</v>
      </c>
      <c r="B2611">
        <v>0.59438113484181698</v>
      </c>
      <c r="C2611">
        <v>0.24</v>
      </c>
      <c r="D2611">
        <v>5.8999999999999997E-2</v>
      </c>
      <c r="E2611">
        <v>1.5051245057959201E-6</v>
      </c>
      <c r="F2611">
        <v>4</v>
      </c>
      <c r="G2611" t="s">
        <v>5673</v>
      </c>
      <c r="H2611" t="s">
        <v>5674</v>
      </c>
      <c r="I2611" t="str">
        <f>HYPERLINK("https://zfin.org/ZDB-GENE-020419-13")</f>
        <v>https://zfin.org/ZDB-GENE-020419-13</v>
      </c>
      <c r="J2611" t="s">
        <v>5675</v>
      </c>
    </row>
    <row r="2612" spans="1:10" x14ac:dyDescent="0.2">
      <c r="A2612">
        <v>1.1744412526959399E-10</v>
      </c>
      <c r="B2612">
        <v>0.60650342441072003</v>
      </c>
      <c r="C2612">
        <v>0.76</v>
      </c>
      <c r="D2612">
        <v>0.434</v>
      </c>
      <c r="E2612">
        <v>1.6322384529968099E-6</v>
      </c>
      <c r="F2612">
        <v>4</v>
      </c>
      <c r="G2612" t="s">
        <v>3059</v>
      </c>
      <c r="H2612" t="s">
        <v>3060</v>
      </c>
      <c r="I2612" t="str">
        <f>HYPERLINK("https://zfin.org/ZDB-GENE-040930-9")</f>
        <v>https://zfin.org/ZDB-GENE-040930-9</v>
      </c>
      <c r="J2612" t="s">
        <v>3061</v>
      </c>
    </row>
    <row r="2613" spans="1:10" x14ac:dyDescent="0.2">
      <c r="A2613">
        <v>1.26020785720321E-10</v>
      </c>
      <c r="B2613">
        <v>0.51819637933181095</v>
      </c>
      <c r="C2613">
        <v>0.26700000000000002</v>
      </c>
      <c r="D2613">
        <v>6.9000000000000006E-2</v>
      </c>
      <c r="E2613">
        <v>1.7514368799410201E-6</v>
      </c>
      <c r="F2613">
        <v>4</v>
      </c>
      <c r="G2613" t="s">
        <v>5676</v>
      </c>
      <c r="H2613" t="s">
        <v>5677</v>
      </c>
      <c r="I2613" t="str">
        <f>HYPERLINK("https://zfin.org/ZDB-GENE-070501-2")</f>
        <v>https://zfin.org/ZDB-GENE-070501-2</v>
      </c>
      <c r="J2613" t="s">
        <v>5678</v>
      </c>
    </row>
    <row r="2614" spans="1:10" x14ac:dyDescent="0.2">
      <c r="A2614">
        <v>1.35742839105135E-10</v>
      </c>
      <c r="B2614">
        <v>-0.75150210212103796</v>
      </c>
      <c r="C2614">
        <v>0.52</v>
      </c>
      <c r="D2614">
        <v>0.73799999999999999</v>
      </c>
      <c r="E2614">
        <v>1.88655397788317E-6</v>
      </c>
      <c r="F2614">
        <v>4</v>
      </c>
      <c r="G2614" t="s">
        <v>5679</v>
      </c>
      <c r="H2614" t="s">
        <v>5680</v>
      </c>
      <c r="I2614" t="str">
        <f>HYPERLINK("https://zfin.org/ZDB-GENE-101102-9")</f>
        <v>https://zfin.org/ZDB-GENE-101102-9</v>
      </c>
      <c r="J2614" t="s">
        <v>5681</v>
      </c>
    </row>
    <row r="2615" spans="1:10" x14ac:dyDescent="0.2">
      <c r="A2615">
        <v>1.6778262945297101E-10</v>
      </c>
      <c r="B2615">
        <v>0.52396902789162603</v>
      </c>
      <c r="C2615">
        <v>0.307</v>
      </c>
      <c r="D2615">
        <v>8.8999999999999996E-2</v>
      </c>
      <c r="E2615">
        <v>2.3318429841373899E-6</v>
      </c>
      <c r="F2615">
        <v>4</v>
      </c>
      <c r="G2615" t="s">
        <v>3697</v>
      </c>
      <c r="H2615" t="s">
        <v>3698</v>
      </c>
      <c r="I2615" t="str">
        <f>HYPERLINK("https://zfin.org/ZDB-GENE-020424-2")</f>
        <v>https://zfin.org/ZDB-GENE-020424-2</v>
      </c>
      <c r="J2615" t="s">
        <v>3699</v>
      </c>
    </row>
    <row r="2616" spans="1:10" x14ac:dyDescent="0.2">
      <c r="A2616">
        <v>2.13115325428535E-10</v>
      </c>
      <c r="B2616">
        <v>0.60558906548873903</v>
      </c>
      <c r="C2616">
        <v>0.81299999999999994</v>
      </c>
      <c r="D2616">
        <v>0.60199999999999998</v>
      </c>
      <c r="E2616">
        <v>2.96187679280578E-6</v>
      </c>
      <c r="F2616">
        <v>4</v>
      </c>
      <c r="G2616" t="s">
        <v>2942</v>
      </c>
      <c r="H2616" t="s">
        <v>2943</v>
      </c>
      <c r="I2616" t="str">
        <f>HYPERLINK("https://zfin.org/ZDB-GENE-030131-6154")</f>
        <v>https://zfin.org/ZDB-GENE-030131-6154</v>
      </c>
      <c r="J2616" t="s">
        <v>2944</v>
      </c>
    </row>
    <row r="2617" spans="1:10" x14ac:dyDescent="0.2">
      <c r="A2617">
        <v>2.1713082535546901E-10</v>
      </c>
      <c r="B2617">
        <v>0.37402279381488501</v>
      </c>
      <c r="C2617">
        <v>0.17299999999999999</v>
      </c>
      <c r="D2617">
        <v>3.4000000000000002E-2</v>
      </c>
      <c r="E2617">
        <v>3.0176842107903101E-6</v>
      </c>
      <c r="F2617">
        <v>4</v>
      </c>
      <c r="G2617" t="s">
        <v>5682</v>
      </c>
      <c r="H2617" t="s">
        <v>5683</v>
      </c>
      <c r="I2617" t="str">
        <f>HYPERLINK("https://zfin.org/ZDB-GENE-050809-132")</f>
        <v>https://zfin.org/ZDB-GENE-050809-132</v>
      </c>
      <c r="J2617" t="s">
        <v>5684</v>
      </c>
    </row>
    <row r="2618" spans="1:10" x14ac:dyDescent="0.2">
      <c r="A2618">
        <v>2.89423110836985E-10</v>
      </c>
      <c r="B2618">
        <v>0.59113407518285899</v>
      </c>
      <c r="C2618">
        <v>0.69299999999999995</v>
      </c>
      <c r="D2618">
        <v>0.37</v>
      </c>
      <c r="E2618">
        <v>4.02240239441241E-6</v>
      </c>
      <c r="F2618">
        <v>4</v>
      </c>
      <c r="G2618" t="s">
        <v>3736</v>
      </c>
      <c r="H2618" t="s">
        <v>3737</v>
      </c>
      <c r="I2618" t="str">
        <f>HYPERLINK("https://zfin.org/ZDB-GENE-040426-2902")</f>
        <v>https://zfin.org/ZDB-GENE-040426-2902</v>
      </c>
      <c r="J2618" t="s">
        <v>3738</v>
      </c>
    </row>
    <row r="2619" spans="1:10" x14ac:dyDescent="0.2">
      <c r="A2619">
        <v>3.1949712790324399E-10</v>
      </c>
      <c r="B2619">
        <v>0.42423133887431602</v>
      </c>
      <c r="C2619">
        <v>0.307</v>
      </c>
      <c r="D2619">
        <v>8.8999999999999996E-2</v>
      </c>
      <c r="E2619">
        <v>4.4403710835992903E-6</v>
      </c>
      <c r="F2619">
        <v>4</v>
      </c>
      <c r="G2619" t="s">
        <v>5685</v>
      </c>
      <c r="H2619" t="s">
        <v>5686</v>
      </c>
      <c r="I2619" t="str">
        <f>HYPERLINK("https://zfin.org/ZDB-GENE-040426-1756")</f>
        <v>https://zfin.org/ZDB-GENE-040426-1756</v>
      </c>
      <c r="J2619" t="s">
        <v>5687</v>
      </c>
    </row>
    <row r="2620" spans="1:10" x14ac:dyDescent="0.2">
      <c r="A2620">
        <v>3.4423889154308001E-10</v>
      </c>
      <c r="B2620">
        <v>0.511239107563352</v>
      </c>
      <c r="C2620">
        <v>0.4</v>
      </c>
      <c r="D2620">
        <v>0.14000000000000001</v>
      </c>
      <c r="E2620">
        <v>4.7842321146657299E-6</v>
      </c>
      <c r="F2620">
        <v>4</v>
      </c>
      <c r="G2620" t="s">
        <v>5688</v>
      </c>
      <c r="H2620" t="s">
        <v>5689</v>
      </c>
      <c r="I2620" t="str">
        <f>HYPERLINK("https://zfin.org/ZDB-GENE-030131-6955")</f>
        <v>https://zfin.org/ZDB-GENE-030131-6955</v>
      </c>
      <c r="J2620" t="s">
        <v>5690</v>
      </c>
    </row>
    <row r="2621" spans="1:10" x14ac:dyDescent="0.2">
      <c r="A2621">
        <v>3.5709796249536599E-10</v>
      </c>
      <c r="B2621">
        <v>0.65318126459103698</v>
      </c>
      <c r="C2621">
        <v>0.50700000000000001</v>
      </c>
      <c r="D2621">
        <v>0.217</v>
      </c>
      <c r="E2621">
        <v>4.9629474827605996E-6</v>
      </c>
      <c r="F2621">
        <v>4</v>
      </c>
      <c r="G2621" t="s">
        <v>3898</v>
      </c>
      <c r="H2621" t="s">
        <v>3899</v>
      </c>
      <c r="I2621" t="str">
        <f>HYPERLINK("https://zfin.org/ZDB-GENE-070928-29")</f>
        <v>https://zfin.org/ZDB-GENE-070928-29</v>
      </c>
      <c r="J2621" t="s">
        <v>3900</v>
      </c>
    </row>
    <row r="2622" spans="1:10" x14ac:dyDescent="0.2">
      <c r="A2622">
        <v>5.8970727120024802E-10</v>
      </c>
      <c r="B2622">
        <v>0.46130274022410001</v>
      </c>
      <c r="C2622">
        <v>0.253</v>
      </c>
      <c r="D2622">
        <v>6.7000000000000004E-2</v>
      </c>
      <c r="E2622">
        <v>8.1957516551410496E-6</v>
      </c>
      <c r="F2622">
        <v>4</v>
      </c>
      <c r="G2622" t="s">
        <v>5691</v>
      </c>
      <c r="H2622" t="s">
        <v>5692</v>
      </c>
      <c r="I2622" t="str">
        <f>HYPERLINK("https://zfin.org/ZDB-GENE-040912-99")</f>
        <v>https://zfin.org/ZDB-GENE-040912-99</v>
      </c>
      <c r="J2622" t="s">
        <v>5693</v>
      </c>
    </row>
    <row r="2623" spans="1:10" x14ac:dyDescent="0.2">
      <c r="A2623">
        <v>6.6935450102680603E-10</v>
      </c>
      <c r="B2623">
        <v>0.41568554442447397</v>
      </c>
      <c r="C2623">
        <v>0.28000000000000003</v>
      </c>
      <c r="D2623">
        <v>7.8E-2</v>
      </c>
      <c r="E2623">
        <v>9.3026888552705497E-6</v>
      </c>
      <c r="F2623">
        <v>4</v>
      </c>
      <c r="G2623" t="s">
        <v>5694</v>
      </c>
      <c r="H2623" t="s">
        <v>5695</v>
      </c>
      <c r="I2623" t="str">
        <f>HYPERLINK("https://zfin.org/ZDB-GENE-041212-80")</f>
        <v>https://zfin.org/ZDB-GENE-041212-80</v>
      </c>
      <c r="J2623" t="s">
        <v>5696</v>
      </c>
    </row>
    <row r="2624" spans="1:10" x14ac:dyDescent="0.2">
      <c r="A2624">
        <v>7.0880994062419504E-10</v>
      </c>
      <c r="B2624">
        <v>0.27593480174894403</v>
      </c>
      <c r="C2624">
        <v>0.12</v>
      </c>
      <c r="D2624">
        <v>1.7999999999999999E-2</v>
      </c>
      <c r="E2624">
        <v>9.8510405547950596E-6</v>
      </c>
      <c r="F2624">
        <v>4</v>
      </c>
      <c r="G2624" t="s">
        <v>3877</v>
      </c>
      <c r="H2624" t="s">
        <v>3878</v>
      </c>
      <c r="I2624" t="str">
        <f>HYPERLINK("https://zfin.org/ZDB-GENE-050522-222")</f>
        <v>https://zfin.org/ZDB-GENE-050522-222</v>
      </c>
      <c r="J2624" t="s">
        <v>3879</v>
      </c>
    </row>
    <row r="2625" spans="1:10" x14ac:dyDescent="0.2">
      <c r="A2625">
        <v>7.6652932239609399E-10</v>
      </c>
      <c r="B2625">
        <v>0.59407849918977895</v>
      </c>
      <c r="C2625">
        <v>0.85299999999999998</v>
      </c>
      <c r="D2625">
        <v>0.6</v>
      </c>
      <c r="E2625">
        <v>1.06532245226609E-5</v>
      </c>
      <c r="F2625">
        <v>4</v>
      </c>
      <c r="G2625" t="s">
        <v>3065</v>
      </c>
      <c r="H2625" t="s">
        <v>3066</v>
      </c>
      <c r="I2625" t="str">
        <f>HYPERLINK("https://zfin.org/ZDB-GENE-030131-215")</f>
        <v>https://zfin.org/ZDB-GENE-030131-215</v>
      </c>
      <c r="J2625" t="s">
        <v>3067</v>
      </c>
    </row>
    <row r="2626" spans="1:10" x14ac:dyDescent="0.2">
      <c r="A2626">
        <v>8.3883085986655198E-10</v>
      </c>
      <c r="B2626">
        <v>0.32448664811787897</v>
      </c>
      <c r="C2626">
        <v>0.16</v>
      </c>
      <c r="D2626">
        <v>0.03</v>
      </c>
      <c r="E2626">
        <v>1.16580712904253E-5</v>
      </c>
      <c r="F2626">
        <v>4</v>
      </c>
      <c r="G2626" t="s">
        <v>5697</v>
      </c>
      <c r="H2626" t="s">
        <v>5698</v>
      </c>
      <c r="I2626" t="str">
        <f>HYPERLINK("https://zfin.org/ZDB-GENE-040426-994")</f>
        <v>https://zfin.org/ZDB-GENE-040426-994</v>
      </c>
      <c r="J2626" t="s">
        <v>5699</v>
      </c>
    </row>
    <row r="2627" spans="1:10" x14ac:dyDescent="0.2">
      <c r="A2627">
        <v>8.9064037464579697E-10</v>
      </c>
      <c r="B2627">
        <v>0.63906235163046099</v>
      </c>
      <c r="C2627">
        <v>0.307</v>
      </c>
      <c r="D2627">
        <v>9.6000000000000002E-2</v>
      </c>
      <c r="E2627">
        <v>1.2378119926827299E-5</v>
      </c>
      <c r="F2627">
        <v>4</v>
      </c>
      <c r="G2627" t="s">
        <v>5700</v>
      </c>
      <c r="H2627" t="s">
        <v>5701</v>
      </c>
      <c r="I2627" t="str">
        <f>HYPERLINK("https://zfin.org/ZDB-GENE-040426-1878")</f>
        <v>https://zfin.org/ZDB-GENE-040426-1878</v>
      </c>
      <c r="J2627" t="s">
        <v>5702</v>
      </c>
    </row>
    <row r="2628" spans="1:10" x14ac:dyDescent="0.2">
      <c r="A2628">
        <v>9.0607299391364205E-10</v>
      </c>
      <c r="B2628">
        <v>0.53172770109793999</v>
      </c>
      <c r="C2628">
        <v>0.373</v>
      </c>
      <c r="D2628">
        <v>0.127</v>
      </c>
      <c r="E2628">
        <v>1.2592602469411799E-5</v>
      </c>
      <c r="F2628">
        <v>4</v>
      </c>
      <c r="G2628" t="s">
        <v>4300</v>
      </c>
      <c r="H2628" t="s">
        <v>4301</v>
      </c>
      <c r="I2628" t="str">
        <f>HYPERLINK("https://zfin.org/ZDB-GENE-031219-6")</f>
        <v>https://zfin.org/ZDB-GENE-031219-6</v>
      </c>
      <c r="J2628" t="s">
        <v>4302</v>
      </c>
    </row>
    <row r="2629" spans="1:10" x14ac:dyDescent="0.2">
      <c r="A2629">
        <v>9.3154218527714395E-10</v>
      </c>
      <c r="B2629">
        <v>0.578815856781003</v>
      </c>
      <c r="C2629">
        <v>0.747</v>
      </c>
      <c r="D2629">
        <v>0.46500000000000002</v>
      </c>
      <c r="E2629">
        <v>1.2946573290981699E-5</v>
      </c>
      <c r="F2629">
        <v>4</v>
      </c>
      <c r="G2629" t="s">
        <v>2385</v>
      </c>
      <c r="H2629" t="s">
        <v>2386</v>
      </c>
      <c r="I2629" t="str">
        <f>HYPERLINK("https://zfin.org/ZDB-GENE-040718-136")</f>
        <v>https://zfin.org/ZDB-GENE-040718-136</v>
      </c>
      <c r="J2629" t="s">
        <v>2387</v>
      </c>
    </row>
    <row r="2630" spans="1:10" x14ac:dyDescent="0.2">
      <c r="A2630">
        <v>1.3185095103545401E-9</v>
      </c>
      <c r="B2630">
        <v>0.51543596626959898</v>
      </c>
      <c r="C2630">
        <v>0.53300000000000003</v>
      </c>
      <c r="D2630">
        <v>0.22600000000000001</v>
      </c>
      <c r="E2630">
        <v>1.83246451749075E-5</v>
      </c>
      <c r="F2630">
        <v>4</v>
      </c>
      <c r="G2630" t="s">
        <v>3157</v>
      </c>
      <c r="H2630" t="s">
        <v>3158</v>
      </c>
      <c r="I2630" t="str">
        <f>HYPERLINK("https://zfin.org/ZDB-GENE-031030-2")</f>
        <v>https://zfin.org/ZDB-GENE-031030-2</v>
      </c>
      <c r="J2630" t="s">
        <v>3159</v>
      </c>
    </row>
    <row r="2631" spans="1:10" x14ac:dyDescent="0.2">
      <c r="A2631">
        <v>1.3214009663374701E-9</v>
      </c>
      <c r="B2631">
        <v>0.30960840867848399</v>
      </c>
      <c r="C2631">
        <v>0.17299999999999999</v>
      </c>
      <c r="D2631">
        <v>3.5999999999999997E-2</v>
      </c>
      <c r="E2631">
        <v>1.8364830630158201E-5</v>
      </c>
      <c r="F2631">
        <v>4</v>
      </c>
      <c r="G2631" t="s">
        <v>5703</v>
      </c>
      <c r="H2631" t="s">
        <v>5704</v>
      </c>
      <c r="I2631" t="str">
        <f>HYPERLINK("https://zfin.org/ZDB-GENE-041111-259")</f>
        <v>https://zfin.org/ZDB-GENE-041111-259</v>
      </c>
      <c r="J2631" t="s">
        <v>5705</v>
      </c>
    </row>
    <row r="2632" spans="1:10" x14ac:dyDescent="0.2">
      <c r="A2632">
        <v>1.4301353012117201E-9</v>
      </c>
      <c r="B2632">
        <v>0.45789790961502003</v>
      </c>
      <c r="C2632">
        <v>1</v>
      </c>
      <c r="D2632">
        <v>0.94599999999999995</v>
      </c>
      <c r="E2632">
        <v>1.9876020416240598E-5</v>
      </c>
      <c r="F2632">
        <v>4</v>
      </c>
      <c r="G2632" t="s">
        <v>2057</v>
      </c>
      <c r="H2632" t="s">
        <v>2058</v>
      </c>
      <c r="I2632" t="str">
        <f>HYPERLINK("https://zfin.org/ZDB-GENE-011205-18")</f>
        <v>https://zfin.org/ZDB-GENE-011205-18</v>
      </c>
      <c r="J2632" t="s">
        <v>2059</v>
      </c>
    </row>
    <row r="2633" spans="1:10" x14ac:dyDescent="0.2">
      <c r="A2633">
        <v>1.5015702342417799E-9</v>
      </c>
      <c r="B2633">
        <v>0.549515964522447</v>
      </c>
      <c r="C2633">
        <v>0.22700000000000001</v>
      </c>
      <c r="D2633">
        <v>5.8000000000000003E-2</v>
      </c>
      <c r="E2633">
        <v>2.0868823115492199E-5</v>
      </c>
      <c r="F2633">
        <v>4</v>
      </c>
      <c r="G2633" t="s">
        <v>5706</v>
      </c>
      <c r="H2633" t="s">
        <v>5707</v>
      </c>
      <c r="I2633" t="str">
        <f>HYPERLINK("https://zfin.org/ZDB-GENE-040426-976")</f>
        <v>https://zfin.org/ZDB-GENE-040426-976</v>
      </c>
      <c r="J2633" t="s">
        <v>5708</v>
      </c>
    </row>
    <row r="2634" spans="1:10" x14ac:dyDescent="0.2">
      <c r="A2634">
        <v>1.8630260041980999E-9</v>
      </c>
      <c r="B2634">
        <v>0.49399911844709399</v>
      </c>
      <c r="C2634">
        <v>0.50700000000000001</v>
      </c>
      <c r="D2634">
        <v>0.20899999999999999</v>
      </c>
      <c r="E2634">
        <v>2.58923354063452E-5</v>
      </c>
      <c r="F2634">
        <v>4</v>
      </c>
      <c r="G2634" t="s">
        <v>4860</v>
      </c>
      <c r="H2634" t="s">
        <v>4861</v>
      </c>
      <c r="I2634" t="str">
        <f>HYPERLINK("https://zfin.org/ZDB-GENE-030131-1158")</f>
        <v>https://zfin.org/ZDB-GENE-030131-1158</v>
      </c>
      <c r="J2634" t="s">
        <v>4862</v>
      </c>
    </row>
    <row r="2635" spans="1:10" x14ac:dyDescent="0.2">
      <c r="A2635">
        <v>2.1515708468980199E-9</v>
      </c>
      <c r="B2635">
        <v>0.38103001266958397</v>
      </c>
      <c r="C2635">
        <v>0.107</v>
      </c>
      <c r="D2635">
        <v>1.4999999999999999E-2</v>
      </c>
      <c r="E2635">
        <v>2.9902531630188601E-5</v>
      </c>
      <c r="F2635">
        <v>4</v>
      </c>
      <c r="G2635" t="s">
        <v>5709</v>
      </c>
      <c r="H2635" t="s">
        <v>5710</v>
      </c>
      <c r="I2635" t="str">
        <f>HYPERLINK("https://zfin.org/ZDB-GENE-030616-157")</f>
        <v>https://zfin.org/ZDB-GENE-030616-157</v>
      </c>
      <c r="J2635" t="s">
        <v>5711</v>
      </c>
    </row>
    <row r="2636" spans="1:10" x14ac:dyDescent="0.2">
      <c r="A2636">
        <v>2.5290488884594E-9</v>
      </c>
      <c r="B2636">
        <v>0.58184012261317597</v>
      </c>
      <c r="C2636">
        <v>0.50700000000000001</v>
      </c>
      <c r="D2636">
        <v>0.22900000000000001</v>
      </c>
      <c r="E2636">
        <v>3.5148721451808799E-5</v>
      </c>
      <c r="F2636">
        <v>4</v>
      </c>
      <c r="G2636" t="s">
        <v>3432</v>
      </c>
      <c r="H2636" t="s">
        <v>3433</v>
      </c>
      <c r="I2636" t="str">
        <f>HYPERLINK("https://zfin.org/ZDB-GENE-030131-8279")</f>
        <v>https://zfin.org/ZDB-GENE-030131-8279</v>
      </c>
      <c r="J2636" t="s">
        <v>3434</v>
      </c>
    </row>
    <row r="2637" spans="1:10" x14ac:dyDescent="0.2">
      <c r="A2637">
        <v>2.58977844621044E-9</v>
      </c>
      <c r="B2637">
        <v>0.55184610311113602</v>
      </c>
      <c r="C2637">
        <v>0.627</v>
      </c>
      <c r="D2637">
        <v>0.314</v>
      </c>
      <c r="E2637">
        <v>3.59927408454327E-5</v>
      </c>
      <c r="F2637">
        <v>4</v>
      </c>
      <c r="G2637" t="s">
        <v>5712</v>
      </c>
      <c r="H2637" t="s">
        <v>5713</v>
      </c>
      <c r="I2637" t="str">
        <f>HYPERLINK("https://zfin.org/ZDB-GENE-030411-2")</f>
        <v>https://zfin.org/ZDB-GENE-030411-2</v>
      </c>
      <c r="J2637" t="s">
        <v>5714</v>
      </c>
    </row>
    <row r="2638" spans="1:10" x14ac:dyDescent="0.2">
      <c r="A2638">
        <v>2.6447935041067299E-9</v>
      </c>
      <c r="B2638">
        <v>0.40914937926071698</v>
      </c>
      <c r="C2638">
        <v>0.16</v>
      </c>
      <c r="D2638">
        <v>3.2000000000000001E-2</v>
      </c>
      <c r="E2638">
        <v>3.67573401200753E-5</v>
      </c>
      <c r="F2638">
        <v>4</v>
      </c>
      <c r="G2638" t="s">
        <v>5715</v>
      </c>
      <c r="H2638" t="s">
        <v>5716</v>
      </c>
      <c r="I2638" t="str">
        <f>HYPERLINK("https://zfin.org/ZDB-GENE-030429-30")</f>
        <v>https://zfin.org/ZDB-GENE-030429-30</v>
      </c>
      <c r="J2638" t="s">
        <v>5717</v>
      </c>
    </row>
    <row r="2639" spans="1:10" x14ac:dyDescent="0.2">
      <c r="A2639">
        <v>2.7215378147194199E-9</v>
      </c>
      <c r="B2639">
        <v>0.58023390762017302</v>
      </c>
      <c r="C2639">
        <v>0.81299999999999994</v>
      </c>
      <c r="D2639">
        <v>0.66900000000000004</v>
      </c>
      <c r="E2639">
        <v>3.7823932548970499E-5</v>
      </c>
      <c r="F2639">
        <v>4</v>
      </c>
      <c r="G2639" t="s">
        <v>2081</v>
      </c>
      <c r="H2639" t="s">
        <v>2082</v>
      </c>
      <c r="I2639" t="str">
        <f>HYPERLINK("https://zfin.org/ZDB-GENE-030131-5177")</f>
        <v>https://zfin.org/ZDB-GENE-030131-5177</v>
      </c>
      <c r="J2639" t="s">
        <v>2083</v>
      </c>
    </row>
    <row r="2640" spans="1:10" x14ac:dyDescent="0.2">
      <c r="A2640">
        <v>3.1813625439694599E-9</v>
      </c>
      <c r="B2640">
        <v>0.58063554392751304</v>
      </c>
      <c r="C2640">
        <v>0.21299999999999999</v>
      </c>
      <c r="D2640">
        <v>5.5E-2</v>
      </c>
      <c r="E2640">
        <v>4.4214576636087499E-5</v>
      </c>
      <c r="F2640">
        <v>4</v>
      </c>
      <c r="G2640" t="s">
        <v>5718</v>
      </c>
      <c r="H2640" t="s">
        <v>5719</v>
      </c>
      <c r="I2640" t="str">
        <f>HYPERLINK("https://zfin.org/ZDB-GENE-030131-2411")</f>
        <v>https://zfin.org/ZDB-GENE-030131-2411</v>
      </c>
      <c r="J2640" t="s">
        <v>5720</v>
      </c>
    </row>
    <row r="2641" spans="1:10" x14ac:dyDescent="0.2">
      <c r="A2641">
        <v>3.5176718083926201E-9</v>
      </c>
      <c r="B2641">
        <v>0.43550048707286798</v>
      </c>
      <c r="C2641">
        <v>0.28000000000000003</v>
      </c>
      <c r="D2641">
        <v>8.4000000000000005E-2</v>
      </c>
      <c r="E2641">
        <v>4.8888602793040598E-5</v>
      </c>
      <c r="F2641">
        <v>4</v>
      </c>
      <c r="G2641" t="s">
        <v>5721</v>
      </c>
      <c r="H2641" t="s">
        <v>5722</v>
      </c>
      <c r="I2641" t="str">
        <f>HYPERLINK("https://zfin.org/ZDB-GENE-020809-3")</f>
        <v>https://zfin.org/ZDB-GENE-020809-3</v>
      </c>
      <c r="J2641" t="s">
        <v>5723</v>
      </c>
    </row>
    <row r="2642" spans="1:10" x14ac:dyDescent="0.2">
      <c r="A2642">
        <v>3.56716765192899E-9</v>
      </c>
      <c r="B2642">
        <v>0.55754469096625803</v>
      </c>
      <c r="C2642">
        <v>0.50700000000000001</v>
      </c>
      <c r="D2642">
        <v>0.23699999999999999</v>
      </c>
      <c r="E2642">
        <v>4.9576496026509202E-5</v>
      </c>
      <c r="F2642">
        <v>4</v>
      </c>
      <c r="G2642" t="s">
        <v>5724</v>
      </c>
      <c r="H2642" t="s">
        <v>5725</v>
      </c>
      <c r="I2642" t="str">
        <f>HYPERLINK("https://zfin.org/ZDB-GENE-040426-1714")</f>
        <v>https://zfin.org/ZDB-GENE-040426-1714</v>
      </c>
      <c r="J2642" t="s">
        <v>5726</v>
      </c>
    </row>
    <row r="2643" spans="1:10" x14ac:dyDescent="0.2">
      <c r="A2643">
        <v>3.5770896285413798E-9</v>
      </c>
      <c r="B2643">
        <v>0.366798267946356</v>
      </c>
      <c r="C2643">
        <v>0.13300000000000001</v>
      </c>
      <c r="D2643">
        <v>2.4E-2</v>
      </c>
      <c r="E2643">
        <v>4.97143916574681E-5</v>
      </c>
      <c r="F2643">
        <v>4</v>
      </c>
      <c r="G2643" t="s">
        <v>5727</v>
      </c>
      <c r="H2643" t="s">
        <v>5728</v>
      </c>
      <c r="I2643" t="str">
        <f>HYPERLINK("https://zfin.org/ZDB-GENE-060429-1")</f>
        <v>https://zfin.org/ZDB-GENE-060429-1</v>
      </c>
      <c r="J2643" t="s">
        <v>5729</v>
      </c>
    </row>
    <row r="2644" spans="1:10" x14ac:dyDescent="0.2">
      <c r="A2644">
        <v>3.9792699506653299E-9</v>
      </c>
      <c r="B2644">
        <v>0.52056913616324196</v>
      </c>
      <c r="C2644">
        <v>0.61299999999999999</v>
      </c>
      <c r="D2644">
        <v>0.315</v>
      </c>
      <c r="E2644">
        <v>5.5303893774346697E-5</v>
      </c>
      <c r="F2644">
        <v>4</v>
      </c>
      <c r="G2644" t="s">
        <v>4011</v>
      </c>
      <c r="H2644" t="s">
        <v>4012</v>
      </c>
      <c r="I2644" t="str">
        <f>HYPERLINK("https://zfin.org/ZDB-GENE-030131-994")</f>
        <v>https://zfin.org/ZDB-GENE-030131-994</v>
      </c>
      <c r="J2644" t="s">
        <v>4013</v>
      </c>
    </row>
    <row r="2645" spans="1:10" x14ac:dyDescent="0.2">
      <c r="A2645">
        <v>4.8339568747651001E-9</v>
      </c>
      <c r="B2645">
        <v>0.48882891948221802</v>
      </c>
      <c r="C2645">
        <v>0.92</v>
      </c>
      <c r="D2645">
        <v>0.66500000000000004</v>
      </c>
      <c r="E2645">
        <v>6.7182332645485303E-5</v>
      </c>
      <c r="F2645">
        <v>4</v>
      </c>
      <c r="G2645" t="s">
        <v>2514</v>
      </c>
      <c r="H2645" t="s">
        <v>2515</v>
      </c>
      <c r="I2645" t="str">
        <f>HYPERLINK("https://zfin.org/ZDB-GENE-000210-25")</f>
        <v>https://zfin.org/ZDB-GENE-000210-25</v>
      </c>
      <c r="J2645" t="s">
        <v>2516</v>
      </c>
    </row>
    <row r="2646" spans="1:10" x14ac:dyDescent="0.2">
      <c r="A2646">
        <v>5.0785778459388697E-9</v>
      </c>
      <c r="B2646">
        <v>0.49852489350413798</v>
      </c>
      <c r="C2646">
        <v>0.29299999999999998</v>
      </c>
      <c r="D2646">
        <v>9.2999999999999999E-2</v>
      </c>
      <c r="E2646">
        <v>7.0582074902858394E-5</v>
      </c>
      <c r="F2646">
        <v>4</v>
      </c>
      <c r="G2646" t="s">
        <v>5730</v>
      </c>
      <c r="H2646" t="s">
        <v>5731</v>
      </c>
      <c r="I2646" t="str">
        <f>HYPERLINK("https://zfin.org/ZDB-GENE-031107-3")</f>
        <v>https://zfin.org/ZDB-GENE-031107-3</v>
      </c>
      <c r="J2646" t="s">
        <v>5732</v>
      </c>
    </row>
    <row r="2647" spans="1:10" x14ac:dyDescent="0.2">
      <c r="A2647">
        <v>5.6486050402453697E-9</v>
      </c>
      <c r="B2647">
        <v>0.57119398672189003</v>
      </c>
      <c r="C2647">
        <v>0.373</v>
      </c>
      <c r="D2647">
        <v>0.13900000000000001</v>
      </c>
      <c r="E2647">
        <v>7.8504312849330107E-5</v>
      </c>
      <c r="F2647">
        <v>4</v>
      </c>
      <c r="G2647" t="s">
        <v>5733</v>
      </c>
      <c r="H2647" t="s">
        <v>5734</v>
      </c>
      <c r="I2647" t="str">
        <f>HYPERLINK("https://zfin.org/ZDB-GENE-031118-9")</f>
        <v>https://zfin.org/ZDB-GENE-031118-9</v>
      </c>
      <c r="J2647" t="s">
        <v>5735</v>
      </c>
    </row>
    <row r="2648" spans="1:10" x14ac:dyDescent="0.2">
      <c r="A2648">
        <v>5.9544886165152203E-9</v>
      </c>
      <c r="B2648">
        <v>-1.0773947624433899</v>
      </c>
      <c r="C2648">
        <v>0.24</v>
      </c>
      <c r="D2648">
        <v>0.53500000000000003</v>
      </c>
      <c r="E2648">
        <v>8.2755482792328498E-5</v>
      </c>
      <c r="F2648">
        <v>4</v>
      </c>
      <c r="G2648" t="s">
        <v>2090</v>
      </c>
      <c r="H2648" t="s">
        <v>2091</v>
      </c>
      <c r="I2648" t="str">
        <f>HYPERLINK("https://zfin.org/ZDB-GENE-141212-380")</f>
        <v>https://zfin.org/ZDB-GENE-141212-380</v>
      </c>
      <c r="J2648" t="s">
        <v>2092</v>
      </c>
    </row>
    <row r="2649" spans="1:10" x14ac:dyDescent="0.2">
      <c r="A2649">
        <v>7.9807943708785501E-9</v>
      </c>
      <c r="B2649">
        <v>-0.36386754843624303</v>
      </c>
      <c r="C2649">
        <v>0.97299999999999998</v>
      </c>
      <c r="D2649">
        <v>0.99199999999999999</v>
      </c>
      <c r="E2649">
        <v>1.1091708016647E-4</v>
      </c>
      <c r="F2649">
        <v>4</v>
      </c>
      <c r="G2649" t="s">
        <v>5736</v>
      </c>
      <c r="H2649" t="s">
        <v>5737</v>
      </c>
      <c r="I2649" t="str">
        <f>HYPERLINK("https://zfin.org/ZDB-GENE-020419-9")</f>
        <v>https://zfin.org/ZDB-GENE-020419-9</v>
      </c>
      <c r="J2649" t="s">
        <v>5738</v>
      </c>
    </row>
    <row r="2650" spans="1:10" x14ac:dyDescent="0.2">
      <c r="A2650">
        <v>8.4347371613780502E-9</v>
      </c>
      <c r="B2650">
        <v>0.57162080392330294</v>
      </c>
      <c r="C2650">
        <v>0.41299999999999998</v>
      </c>
      <c r="D2650">
        <v>0.16700000000000001</v>
      </c>
      <c r="E2650">
        <v>1.17225977068832E-4</v>
      </c>
      <c r="F2650">
        <v>4</v>
      </c>
      <c r="G2650" t="s">
        <v>5739</v>
      </c>
      <c r="H2650" t="s">
        <v>5740</v>
      </c>
      <c r="I2650" t="str">
        <f>HYPERLINK("https://zfin.org/ZDB-GENE-030131-8007")</f>
        <v>https://zfin.org/ZDB-GENE-030131-8007</v>
      </c>
      <c r="J2650" t="s">
        <v>5741</v>
      </c>
    </row>
    <row r="2651" spans="1:10" x14ac:dyDescent="0.2">
      <c r="A2651">
        <v>8.6769710171223702E-9</v>
      </c>
      <c r="B2651">
        <v>0.34204556922538798</v>
      </c>
      <c r="C2651">
        <v>0.2</v>
      </c>
      <c r="D2651">
        <v>4.9000000000000002E-2</v>
      </c>
      <c r="E2651">
        <v>1.2059254319596699E-4</v>
      </c>
      <c r="F2651">
        <v>4</v>
      </c>
      <c r="G2651" t="s">
        <v>5742</v>
      </c>
      <c r="H2651" t="s">
        <v>5743</v>
      </c>
      <c r="I2651" t="str">
        <f>HYPERLINK("https://zfin.org/ZDB-GENE-990603-1")</f>
        <v>https://zfin.org/ZDB-GENE-990603-1</v>
      </c>
      <c r="J2651" t="s">
        <v>5744</v>
      </c>
    </row>
    <row r="2652" spans="1:10" x14ac:dyDescent="0.2">
      <c r="A2652">
        <v>9.1297272772820408E-9</v>
      </c>
      <c r="B2652">
        <v>0.28783770068521403</v>
      </c>
      <c r="C2652">
        <v>0.14699999999999999</v>
      </c>
      <c r="D2652">
        <v>2.9000000000000001E-2</v>
      </c>
      <c r="E2652">
        <v>1.2688494969966601E-4</v>
      </c>
      <c r="F2652">
        <v>4</v>
      </c>
      <c r="G2652" t="s">
        <v>5745</v>
      </c>
      <c r="H2652" t="s">
        <v>5746</v>
      </c>
      <c r="I2652" t="str">
        <f>HYPERLINK("https://zfin.org/ZDB-GENE-030131-6283")</f>
        <v>https://zfin.org/ZDB-GENE-030131-6283</v>
      </c>
      <c r="J2652" t="s">
        <v>5747</v>
      </c>
    </row>
    <row r="2653" spans="1:10" x14ac:dyDescent="0.2">
      <c r="A2653">
        <v>1.2944340464340099E-8</v>
      </c>
      <c r="B2653">
        <v>-0.96048459553376797</v>
      </c>
      <c r="C2653">
        <v>0.44</v>
      </c>
      <c r="D2653">
        <v>0.67700000000000005</v>
      </c>
      <c r="E2653">
        <v>1.79900443773398E-4</v>
      </c>
      <c r="F2653">
        <v>4</v>
      </c>
      <c r="G2653" t="s">
        <v>4701</v>
      </c>
      <c r="H2653" t="s">
        <v>4702</v>
      </c>
      <c r="I2653" t="str">
        <f>HYPERLINK("https://zfin.org/ZDB-GENE-030411-5")</f>
        <v>https://zfin.org/ZDB-GENE-030411-5</v>
      </c>
      <c r="J2653" t="s">
        <v>4703</v>
      </c>
    </row>
    <row r="2654" spans="1:10" x14ac:dyDescent="0.2">
      <c r="A2654">
        <v>1.39827389755099E-8</v>
      </c>
      <c r="B2654">
        <v>0.46888786196746501</v>
      </c>
      <c r="C2654">
        <v>0.373</v>
      </c>
      <c r="D2654">
        <v>0.14000000000000001</v>
      </c>
      <c r="E2654">
        <v>1.9433210628163599E-4</v>
      </c>
      <c r="F2654">
        <v>4</v>
      </c>
      <c r="G2654" t="s">
        <v>4142</v>
      </c>
      <c r="H2654" t="s">
        <v>4143</v>
      </c>
      <c r="I2654" t="str">
        <f>HYPERLINK("https://zfin.org/ZDB-GENE-030131-6422")</f>
        <v>https://zfin.org/ZDB-GENE-030131-6422</v>
      </c>
      <c r="J2654" t="s">
        <v>4144</v>
      </c>
    </row>
    <row r="2655" spans="1:10" x14ac:dyDescent="0.2">
      <c r="A2655">
        <v>1.7084923202311899E-8</v>
      </c>
      <c r="B2655">
        <v>0.49711902649006401</v>
      </c>
      <c r="C2655">
        <v>0.373</v>
      </c>
      <c r="D2655">
        <v>0.14000000000000001</v>
      </c>
      <c r="E2655">
        <v>2.3744626266573101E-4</v>
      </c>
      <c r="F2655">
        <v>4</v>
      </c>
      <c r="G2655" t="s">
        <v>5748</v>
      </c>
      <c r="H2655" t="s">
        <v>5749</v>
      </c>
      <c r="I2655" t="str">
        <f>HYPERLINK("https://zfin.org/ZDB-GENE-030131-4357")</f>
        <v>https://zfin.org/ZDB-GENE-030131-4357</v>
      </c>
      <c r="J2655" t="s">
        <v>5750</v>
      </c>
    </row>
    <row r="2656" spans="1:10" x14ac:dyDescent="0.2">
      <c r="A2656">
        <v>2.0669972229185401E-8</v>
      </c>
      <c r="B2656">
        <v>-1.9674169397802099</v>
      </c>
      <c r="C2656">
        <v>0.82699999999999996</v>
      </c>
      <c r="D2656">
        <v>0.84699999999999998</v>
      </c>
      <c r="E2656">
        <v>2.8727127404121899E-4</v>
      </c>
      <c r="F2656">
        <v>4</v>
      </c>
      <c r="G2656" t="s">
        <v>1967</v>
      </c>
      <c r="H2656" t="s">
        <v>1968</v>
      </c>
      <c r="I2656" t="str">
        <f>HYPERLINK("https://zfin.org/ZDB-GENE-070705-532")</f>
        <v>https://zfin.org/ZDB-GENE-070705-532</v>
      </c>
      <c r="J2656" t="s">
        <v>1969</v>
      </c>
    </row>
    <row r="2657" spans="1:10" x14ac:dyDescent="0.2">
      <c r="A2657">
        <v>2.1433246738292399E-8</v>
      </c>
      <c r="B2657">
        <v>0.49027596954241098</v>
      </c>
      <c r="C2657">
        <v>0.22700000000000001</v>
      </c>
      <c r="D2657">
        <v>6.5000000000000002E-2</v>
      </c>
      <c r="E2657">
        <v>2.9787926316878703E-4</v>
      </c>
      <c r="F2657">
        <v>4</v>
      </c>
      <c r="G2657" t="s">
        <v>5751</v>
      </c>
      <c r="H2657" t="s">
        <v>5752</v>
      </c>
      <c r="I2657" t="str">
        <f>HYPERLINK("https://zfin.org/ZDB-GENE-031112-11")</f>
        <v>https://zfin.org/ZDB-GENE-031112-11</v>
      </c>
      <c r="J2657" t="s">
        <v>5753</v>
      </c>
    </row>
    <row r="2658" spans="1:10" x14ac:dyDescent="0.2">
      <c r="A2658">
        <v>2.19420652861975E-8</v>
      </c>
      <c r="B2658">
        <v>0.56508053762625399</v>
      </c>
      <c r="C2658">
        <v>0.6</v>
      </c>
      <c r="D2658">
        <v>0.30399999999999999</v>
      </c>
      <c r="E2658">
        <v>3.0495082334757302E-4</v>
      </c>
      <c r="F2658">
        <v>4</v>
      </c>
      <c r="G2658" t="s">
        <v>2562</v>
      </c>
      <c r="H2658" t="s">
        <v>2563</v>
      </c>
      <c r="I2658" t="str">
        <f>HYPERLINK("https://zfin.org/ZDB-GENE-030131-9435")</f>
        <v>https://zfin.org/ZDB-GENE-030131-9435</v>
      </c>
      <c r="J2658" t="s">
        <v>2564</v>
      </c>
    </row>
    <row r="2659" spans="1:10" x14ac:dyDescent="0.2">
      <c r="A2659">
        <v>2.25544140962114E-8</v>
      </c>
      <c r="B2659">
        <v>0.61073375816391096</v>
      </c>
      <c r="C2659">
        <v>0.33300000000000002</v>
      </c>
      <c r="D2659">
        <v>0.125</v>
      </c>
      <c r="E2659">
        <v>3.1346124710914598E-4</v>
      </c>
      <c r="F2659">
        <v>4</v>
      </c>
      <c r="G2659" t="s">
        <v>5754</v>
      </c>
      <c r="H2659" t="s">
        <v>5755</v>
      </c>
      <c r="I2659" t="str">
        <f>HYPERLINK("https://zfin.org/ZDB-GENE-040426-2594")</f>
        <v>https://zfin.org/ZDB-GENE-040426-2594</v>
      </c>
      <c r="J2659" t="s">
        <v>5756</v>
      </c>
    </row>
    <row r="2660" spans="1:10" x14ac:dyDescent="0.2">
      <c r="A2660">
        <v>2.3199503168669101E-8</v>
      </c>
      <c r="B2660">
        <v>0.66584425803068903</v>
      </c>
      <c r="C2660">
        <v>0.2</v>
      </c>
      <c r="D2660">
        <v>5.1999999999999998E-2</v>
      </c>
      <c r="E2660">
        <v>3.2242669503816299E-4</v>
      </c>
      <c r="F2660">
        <v>4</v>
      </c>
      <c r="G2660" t="s">
        <v>5757</v>
      </c>
      <c r="H2660" t="s">
        <v>5758</v>
      </c>
      <c r="I2660" t="str">
        <f>HYPERLINK("https://zfin.org/ZDB-GENE-120215-41")</f>
        <v>https://zfin.org/ZDB-GENE-120215-41</v>
      </c>
      <c r="J2660" t="s">
        <v>5759</v>
      </c>
    </row>
    <row r="2661" spans="1:10" x14ac:dyDescent="0.2">
      <c r="A2661">
        <v>2.4676596001887501E-8</v>
      </c>
      <c r="B2661">
        <v>0.501501069007672</v>
      </c>
      <c r="C2661">
        <v>0.26700000000000002</v>
      </c>
      <c r="D2661">
        <v>8.4000000000000005E-2</v>
      </c>
      <c r="E2661">
        <v>3.4295533123423198E-4</v>
      </c>
      <c r="F2661">
        <v>4</v>
      </c>
      <c r="G2661" t="s">
        <v>5760</v>
      </c>
      <c r="H2661" t="s">
        <v>5761</v>
      </c>
      <c r="I2661" t="str">
        <f>HYPERLINK("https://zfin.org/ZDB-GENE-030131-2579")</f>
        <v>https://zfin.org/ZDB-GENE-030131-2579</v>
      </c>
      <c r="J2661" t="s">
        <v>5762</v>
      </c>
    </row>
    <row r="2662" spans="1:10" x14ac:dyDescent="0.2">
      <c r="A2662">
        <v>2.5662847961657999E-8</v>
      </c>
      <c r="B2662">
        <v>0.50190607660025099</v>
      </c>
      <c r="C2662">
        <v>0.78700000000000003</v>
      </c>
      <c r="D2662">
        <v>0.53300000000000003</v>
      </c>
      <c r="E2662">
        <v>3.5666226097112302E-4</v>
      </c>
      <c r="F2662">
        <v>4</v>
      </c>
      <c r="G2662" t="s">
        <v>3076</v>
      </c>
      <c r="H2662" t="s">
        <v>3077</v>
      </c>
      <c r="I2662" t="str">
        <f>HYPERLINK("https://zfin.org/ZDB-GENE-030131-8284")</f>
        <v>https://zfin.org/ZDB-GENE-030131-8284</v>
      </c>
      <c r="J2662" t="s">
        <v>3078</v>
      </c>
    </row>
    <row r="2663" spans="1:10" x14ac:dyDescent="0.2">
      <c r="A2663">
        <v>3.2687143093648402E-8</v>
      </c>
      <c r="B2663">
        <v>0.36580595074765698</v>
      </c>
      <c r="C2663">
        <v>0.253</v>
      </c>
      <c r="D2663">
        <v>7.5999999999999998E-2</v>
      </c>
      <c r="E2663">
        <v>4.5428591471552502E-4</v>
      </c>
      <c r="F2663">
        <v>4</v>
      </c>
      <c r="G2663" t="s">
        <v>5763</v>
      </c>
      <c r="H2663" t="s">
        <v>5764</v>
      </c>
      <c r="I2663" t="str">
        <f>HYPERLINK("https://zfin.org/ZDB-GENE-030131-726")</f>
        <v>https://zfin.org/ZDB-GENE-030131-726</v>
      </c>
      <c r="J2663" t="s">
        <v>5765</v>
      </c>
    </row>
    <row r="2664" spans="1:10" x14ac:dyDescent="0.2">
      <c r="A2664">
        <v>3.4191247796804702E-8</v>
      </c>
      <c r="B2664">
        <v>0.53106389362797302</v>
      </c>
      <c r="C2664">
        <v>0.53300000000000003</v>
      </c>
      <c r="D2664">
        <v>0.255</v>
      </c>
      <c r="E2664">
        <v>4.7518996187999102E-4</v>
      </c>
      <c r="F2664">
        <v>4</v>
      </c>
      <c r="G2664" t="s">
        <v>5766</v>
      </c>
      <c r="H2664" t="s">
        <v>5767</v>
      </c>
      <c r="I2664" t="str">
        <f>HYPERLINK("https://zfin.org/ZDB-GENE-030516-2")</f>
        <v>https://zfin.org/ZDB-GENE-030516-2</v>
      </c>
      <c r="J2664" t="s">
        <v>5768</v>
      </c>
    </row>
    <row r="2665" spans="1:10" x14ac:dyDescent="0.2">
      <c r="A2665">
        <v>3.4517725751150399E-8</v>
      </c>
      <c r="B2665">
        <v>0.44710060796096202</v>
      </c>
      <c r="C2665">
        <v>0.82699999999999996</v>
      </c>
      <c r="D2665">
        <v>0.51500000000000001</v>
      </c>
      <c r="E2665">
        <v>4.7972735248948801E-4</v>
      </c>
      <c r="F2665">
        <v>4</v>
      </c>
      <c r="G2665" t="s">
        <v>2334</v>
      </c>
      <c r="H2665" t="s">
        <v>2335</v>
      </c>
      <c r="I2665" t="str">
        <f>HYPERLINK("https://zfin.org/ZDB-GENE-030131-6757")</f>
        <v>https://zfin.org/ZDB-GENE-030131-6757</v>
      </c>
      <c r="J2665" t="s">
        <v>2336</v>
      </c>
    </row>
    <row r="2666" spans="1:10" x14ac:dyDescent="0.2">
      <c r="A2666">
        <v>3.7451021980067901E-8</v>
      </c>
      <c r="B2666">
        <v>0.29827008774267999</v>
      </c>
      <c r="C2666">
        <v>0.13300000000000001</v>
      </c>
      <c r="D2666">
        <v>2.5999999999999999E-2</v>
      </c>
      <c r="E2666">
        <v>5.2049430347898297E-4</v>
      </c>
      <c r="F2666">
        <v>4</v>
      </c>
      <c r="G2666" t="s">
        <v>5769</v>
      </c>
      <c r="H2666" t="s">
        <v>5770</v>
      </c>
      <c r="I2666" t="str">
        <f>HYPERLINK("https://zfin.org/ZDB-GENE-990706-2")</f>
        <v>https://zfin.org/ZDB-GENE-990706-2</v>
      </c>
      <c r="J2666" t="s">
        <v>5771</v>
      </c>
    </row>
    <row r="2667" spans="1:10" x14ac:dyDescent="0.2">
      <c r="A2667">
        <v>4.0875394701730302E-8</v>
      </c>
      <c r="B2667">
        <v>0.41256485777980201</v>
      </c>
      <c r="C2667">
        <v>0.16</v>
      </c>
      <c r="D2667">
        <v>3.5999999999999997E-2</v>
      </c>
      <c r="E2667">
        <v>5.6808623556464698E-4</v>
      </c>
      <c r="F2667">
        <v>4</v>
      </c>
      <c r="G2667" t="s">
        <v>5772</v>
      </c>
      <c r="H2667" t="s">
        <v>5773</v>
      </c>
      <c r="I2667" t="str">
        <f>HYPERLINK("https://zfin.org/ZDB-GENE-040801-145")</f>
        <v>https://zfin.org/ZDB-GENE-040801-145</v>
      </c>
      <c r="J2667" t="s">
        <v>5774</v>
      </c>
    </row>
    <row r="2668" spans="1:10" x14ac:dyDescent="0.2">
      <c r="A2668">
        <v>4.1038694517902403E-8</v>
      </c>
      <c r="B2668">
        <v>0.29576122566167601</v>
      </c>
      <c r="C2668">
        <v>0.14699999999999999</v>
      </c>
      <c r="D2668">
        <v>3.1E-2</v>
      </c>
      <c r="E2668">
        <v>5.7035577640980703E-4</v>
      </c>
      <c r="F2668">
        <v>4</v>
      </c>
      <c r="G2668" t="s">
        <v>5775</v>
      </c>
      <c r="H2668" t="s">
        <v>5776</v>
      </c>
      <c r="I2668" t="str">
        <f>HYPERLINK("https://zfin.org/ZDB-GENE-030131-6313")</f>
        <v>https://zfin.org/ZDB-GENE-030131-6313</v>
      </c>
      <c r="J2668" t="s">
        <v>5777</v>
      </c>
    </row>
    <row r="2669" spans="1:10" x14ac:dyDescent="0.2">
      <c r="A2669">
        <v>4.15551180257529E-8</v>
      </c>
      <c r="B2669">
        <v>0.34169439399790702</v>
      </c>
      <c r="C2669">
        <v>0.14699999999999999</v>
      </c>
      <c r="D2669">
        <v>3.1E-2</v>
      </c>
      <c r="E2669">
        <v>5.7753303032191401E-4</v>
      </c>
      <c r="F2669">
        <v>4</v>
      </c>
      <c r="G2669" t="s">
        <v>5778</v>
      </c>
      <c r="H2669" t="s">
        <v>5779</v>
      </c>
      <c r="I2669" t="str">
        <f>HYPERLINK("https://zfin.org/ZDB-GENE-040426-2039")</f>
        <v>https://zfin.org/ZDB-GENE-040426-2039</v>
      </c>
      <c r="J2669" t="s">
        <v>5780</v>
      </c>
    </row>
    <row r="2670" spans="1:10" x14ac:dyDescent="0.2">
      <c r="A2670">
        <v>4.4251901881661398E-8</v>
      </c>
      <c r="B2670">
        <v>0.41078694526194098</v>
      </c>
      <c r="C2670">
        <v>0.32</v>
      </c>
      <c r="D2670">
        <v>0.113</v>
      </c>
      <c r="E2670">
        <v>6.1501293235133E-4</v>
      </c>
      <c r="F2670">
        <v>4</v>
      </c>
      <c r="G2670" t="s">
        <v>5781</v>
      </c>
      <c r="H2670" t="s">
        <v>5782</v>
      </c>
      <c r="I2670" t="str">
        <f>HYPERLINK("https://zfin.org/ZDB-GENE-040426-1773")</f>
        <v>https://zfin.org/ZDB-GENE-040426-1773</v>
      </c>
      <c r="J2670" t="s">
        <v>5783</v>
      </c>
    </row>
    <row r="2671" spans="1:10" x14ac:dyDescent="0.2">
      <c r="A2671">
        <v>5.2967102500132503E-8</v>
      </c>
      <c r="B2671">
        <v>0.50327118135789795</v>
      </c>
      <c r="C2671">
        <v>0.58699999999999997</v>
      </c>
      <c r="D2671">
        <v>0.314</v>
      </c>
      <c r="E2671">
        <v>7.3613679054684096E-4</v>
      </c>
      <c r="F2671">
        <v>4</v>
      </c>
      <c r="G2671" t="s">
        <v>4342</v>
      </c>
      <c r="H2671" t="s">
        <v>4343</v>
      </c>
      <c r="I2671" t="str">
        <f>HYPERLINK("https://zfin.org/ZDB-GENE-040625-55")</f>
        <v>https://zfin.org/ZDB-GENE-040625-55</v>
      </c>
      <c r="J2671" t="s">
        <v>4344</v>
      </c>
    </row>
    <row r="2672" spans="1:10" x14ac:dyDescent="0.2">
      <c r="A2672">
        <v>5.7964297231227303E-8</v>
      </c>
      <c r="B2672">
        <v>0.50196807011782596</v>
      </c>
      <c r="C2672">
        <v>0.88</v>
      </c>
      <c r="D2672">
        <v>0.74199999999999999</v>
      </c>
      <c r="E2672">
        <v>8.0558780291959699E-4</v>
      </c>
      <c r="F2672">
        <v>4</v>
      </c>
      <c r="G2672" t="s">
        <v>4893</v>
      </c>
      <c r="H2672" t="s">
        <v>4894</v>
      </c>
      <c r="I2672" t="str">
        <f>HYPERLINK("https://zfin.org/ZDB-GENE-061215-23")</f>
        <v>https://zfin.org/ZDB-GENE-061215-23</v>
      </c>
      <c r="J2672" t="s">
        <v>4895</v>
      </c>
    </row>
    <row r="2673" spans="1:10" x14ac:dyDescent="0.2">
      <c r="A2673">
        <v>6.3468868574884896E-8</v>
      </c>
      <c r="B2673">
        <v>0.58801694125488502</v>
      </c>
      <c r="C2673">
        <v>0.253</v>
      </c>
      <c r="D2673">
        <v>8.1000000000000003E-2</v>
      </c>
      <c r="E2673">
        <v>8.8209033545375004E-4</v>
      </c>
      <c r="F2673">
        <v>4</v>
      </c>
      <c r="G2673" t="s">
        <v>5784</v>
      </c>
      <c r="H2673" t="s">
        <v>5785</v>
      </c>
      <c r="I2673" t="str">
        <f>HYPERLINK("https://zfin.org/ZDB-GENE-040718-130")</f>
        <v>https://zfin.org/ZDB-GENE-040718-130</v>
      </c>
      <c r="J2673" t="s">
        <v>5786</v>
      </c>
    </row>
    <row r="2674" spans="1:10" x14ac:dyDescent="0.2">
      <c r="A2674">
        <v>7.3368290101347001E-150</v>
      </c>
      <c r="B2674">
        <v>1.75948540659452</v>
      </c>
      <c r="C2674">
        <v>0.76400000000000001</v>
      </c>
      <c r="D2674">
        <v>8.3000000000000004E-2</v>
      </c>
      <c r="E2674">
        <v>1.01967249582852E-145</v>
      </c>
      <c r="F2674">
        <v>5</v>
      </c>
      <c r="G2674" t="s">
        <v>3186</v>
      </c>
      <c r="H2674" t="s">
        <v>3187</v>
      </c>
      <c r="I2674" t="str">
        <f>HYPERLINK("https://zfin.org/ZDB-GENE-040426-2321")</f>
        <v>https://zfin.org/ZDB-GENE-040426-2321</v>
      </c>
      <c r="J2674" t="s">
        <v>3188</v>
      </c>
    </row>
    <row r="2675" spans="1:10" x14ac:dyDescent="0.2">
      <c r="A2675">
        <v>2.2579957973920002E-115</v>
      </c>
      <c r="B2675">
        <v>1.5292275688228401</v>
      </c>
      <c r="C2675">
        <v>0.69599999999999995</v>
      </c>
      <c r="D2675">
        <v>9.4E-2</v>
      </c>
      <c r="E2675">
        <v>3.1381625592154E-111</v>
      </c>
      <c r="F2675">
        <v>5</v>
      </c>
      <c r="G2675" t="s">
        <v>3543</v>
      </c>
      <c r="H2675" t="s">
        <v>3544</v>
      </c>
      <c r="I2675" t="str">
        <f>HYPERLINK("https://zfin.org/ZDB-GENE-030131-8290")</f>
        <v>https://zfin.org/ZDB-GENE-030131-8290</v>
      </c>
      <c r="J2675" t="s">
        <v>3545</v>
      </c>
    </row>
    <row r="2676" spans="1:10" x14ac:dyDescent="0.2">
      <c r="A2676">
        <v>9.2161809635818602E-89</v>
      </c>
      <c r="B2676">
        <v>1.07133675748595</v>
      </c>
      <c r="C2676">
        <v>0.65500000000000003</v>
      </c>
      <c r="D2676">
        <v>9.9000000000000005E-2</v>
      </c>
      <c r="E2676">
        <v>1.2808648303186101E-84</v>
      </c>
      <c r="F2676">
        <v>5</v>
      </c>
      <c r="G2676" t="s">
        <v>3468</v>
      </c>
      <c r="H2676" t="s">
        <v>3469</v>
      </c>
      <c r="I2676" t="str">
        <f>HYPERLINK("https://zfin.org/ZDB-GENE-081105-161")</f>
        <v>https://zfin.org/ZDB-GENE-081105-161</v>
      </c>
      <c r="J2676" t="s">
        <v>3470</v>
      </c>
    </row>
    <row r="2677" spans="1:10" x14ac:dyDescent="0.2">
      <c r="A2677">
        <v>5.1087736718542703E-86</v>
      </c>
      <c r="B2677">
        <v>1.0417520153358399</v>
      </c>
      <c r="C2677">
        <v>0.54700000000000004</v>
      </c>
      <c r="D2677">
        <v>6.9000000000000006E-2</v>
      </c>
      <c r="E2677">
        <v>7.1001736491430698E-82</v>
      </c>
      <c r="F2677">
        <v>5</v>
      </c>
      <c r="G2677" t="s">
        <v>3489</v>
      </c>
      <c r="H2677" t="s">
        <v>3490</v>
      </c>
      <c r="I2677" t="str">
        <f>HYPERLINK("https://zfin.org/ZDB-GENE-980526-114")</f>
        <v>https://zfin.org/ZDB-GENE-980526-114</v>
      </c>
      <c r="J2677" t="s">
        <v>3491</v>
      </c>
    </row>
    <row r="2678" spans="1:10" x14ac:dyDescent="0.2">
      <c r="A2678">
        <v>7.6135862869580106E-86</v>
      </c>
      <c r="B2678">
        <v>1.26966738647761</v>
      </c>
      <c r="C2678">
        <v>0.432</v>
      </c>
      <c r="D2678">
        <v>4.2000000000000003E-2</v>
      </c>
      <c r="E2678">
        <v>1.0581362221614199E-81</v>
      </c>
      <c r="F2678">
        <v>5</v>
      </c>
      <c r="G2678" t="s">
        <v>3444</v>
      </c>
      <c r="H2678" t="s">
        <v>3445</v>
      </c>
      <c r="I2678" t="str">
        <f>HYPERLINK("https://zfin.org/ZDB-GENE-990415-47")</f>
        <v>https://zfin.org/ZDB-GENE-990415-47</v>
      </c>
      <c r="J2678" t="s">
        <v>3446</v>
      </c>
    </row>
    <row r="2679" spans="1:10" x14ac:dyDescent="0.2">
      <c r="A2679">
        <v>6.1154844928785294E-82</v>
      </c>
      <c r="B2679">
        <v>1.45376424296406</v>
      </c>
      <c r="C2679">
        <v>0.83099999999999996</v>
      </c>
      <c r="D2679">
        <v>0.19900000000000001</v>
      </c>
      <c r="E2679">
        <v>8.4993003482025804E-78</v>
      </c>
      <c r="F2679">
        <v>5</v>
      </c>
      <c r="G2679" t="s">
        <v>1011</v>
      </c>
      <c r="H2679" t="s">
        <v>1012</v>
      </c>
      <c r="I2679" t="str">
        <f>HYPERLINK("https://zfin.org/ZDB-GENE-990415-17")</f>
        <v>https://zfin.org/ZDB-GENE-990415-17</v>
      </c>
      <c r="J2679" t="s">
        <v>1013</v>
      </c>
    </row>
    <row r="2680" spans="1:10" x14ac:dyDescent="0.2">
      <c r="A2680">
        <v>2.5165648342038901E-77</v>
      </c>
      <c r="B2680">
        <v>1.19793709951814</v>
      </c>
      <c r="C2680">
        <v>0.73599999999999999</v>
      </c>
      <c r="D2680">
        <v>0.159</v>
      </c>
      <c r="E2680">
        <v>3.4975218065765603E-73</v>
      </c>
      <c r="F2680">
        <v>5</v>
      </c>
      <c r="G2680" t="s">
        <v>3501</v>
      </c>
      <c r="H2680" t="s">
        <v>3502</v>
      </c>
      <c r="I2680" t="str">
        <f>HYPERLINK("https://zfin.org/ZDB-GENE-030131-5561")</f>
        <v>https://zfin.org/ZDB-GENE-030131-5561</v>
      </c>
      <c r="J2680" t="s">
        <v>3503</v>
      </c>
    </row>
    <row r="2681" spans="1:10" x14ac:dyDescent="0.2">
      <c r="A2681">
        <v>7.9300383709542096E-75</v>
      </c>
      <c r="B2681">
        <v>1.1782725633764199</v>
      </c>
      <c r="C2681">
        <v>0.73</v>
      </c>
      <c r="D2681">
        <v>0.152</v>
      </c>
      <c r="E2681">
        <v>1.1021167327952201E-70</v>
      </c>
      <c r="F2681">
        <v>5</v>
      </c>
      <c r="G2681" t="s">
        <v>2972</v>
      </c>
      <c r="H2681" t="s">
        <v>2973</v>
      </c>
      <c r="I2681" t="str">
        <f>HYPERLINK("https://zfin.org/ZDB-GENE-980526-29")</f>
        <v>https://zfin.org/ZDB-GENE-980526-29</v>
      </c>
      <c r="J2681" t="s">
        <v>2974</v>
      </c>
    </row>
    <row r="2682" spans="1:10" x14ac:dyDescent="0.2">
      <c r="A2682">
        <v>1.06028216349289E-71</v>
      </c>
      <c r="B2682">
        <v>0.876626088325276</v>
      </c>
      <c r="C2682">
        <v>0.439</v>
      </c>
      <c r="D2682">
        <v>5.2999999999999999E-2</v>
      </c>
      <c r="E2682">
        <v>1.47358015082242E-67</v>
      </c>
      <c r="F2682">
        <v>5</v>
      </c>
      <c r="G2682" t="s">
        <v>3552</v>
      </c>
      <c r="H2682" t="s">
        <v>3553</v>
      </c>
      <c r="I2682" t="str">
        <f>HYPERLINK("https://zfin.org/ZDB-GENE-070912-181")</f>
        <v>https://zfin.org/ZDB-GENE-070912-181</v>
      </c>
      <c r="J2682" t="s">
        <v>3554</v>
      </c>
    </row>
    <row r="2683" spans="1:10" x14ac:dyDescent="0.2">
      <c r="A2683">
        <v>2.9222722804834699E-51</v>
      </c>
      <c r="B2683">
        <v>0.70800268208234995</v>
      </c>
      <c r="C2683">
        <v>1</v>
      </c>
      <c r="D2683">
        <v>0.98</v>
      </c>
      <c r="E2683">
        <v>4.0613740154159302E-47</v>
      </c>
      <c r="F2683">
        <v>5</v>
      </c>
      <c r="G2683" t="s">
        <v>1883</v>
      </c>
      <c r="H2683" t="s">
        <v>1884</v>
      </c>
      <c r="I2683" t="str">
        <f>HYPERLINK("https://zfin.org/ZDB-GENE-070327-2")</f>
        <v>https://zfin.org/ZDB-GENE-070327-2</v>
      </c>
      <c r="J2683" t="s">
        <v>1885</v>
      </c>
    </row>
    <row r="2684" spans="1:10" x14ac:dyDescent="0.2">
      <c r="A2684">
        <v>4.67848255258932E-50</v>
      </c>
      <c r="B2684">
        <v>0.88951363635235603</v>
      </c>
      <c r="C2684">
        <v>0.24299999999999999</v>
      </c>
      <c r="D2684">
        <v>2.1999999999999999E-2</v>
      </c>
      <c r="E2684">
        <v>6.5021550515886302E-46</v>
      </c>
      <c r="F2684">
        <v>5</v>
      </c>
      <c r="G2684" t="s">
        <v>5787</v>
      </c>
      <c r="H2684" t="s">
        <v>5788</v>
      </c>
      <c r="I2684" t="str">
        <f>HYPERLINK("https://zfin.org/ZDB-GENE-040912-132")</f>
        <v>https://zfin.org/ZDB-GENE-040912-132</v>
      </c>
      <c r="J2684" t="s">
        <v>5789</v>
      </c>
    </row>
    <row r="2685" spans="1:10" x14ac:dyDescent="0.2">
      <c r="A2685">
        <v>1.4592807441465599E-47</v>
      </c>
      <c r="B2685">
        <v>0.89850616985527298</v>
      </c>
      <c r="C2685">
        <v>0.55400000000000005</v>
      </c>
      <c r="D2685">
        <v>0.127</v>
      </c>
      <c r="E2685">
        <v>2.02810837821488E-43</v>
      </c>
      <c r="F2685">
        <v>5</v>
      </c>
      <c r="G2685" t="s">
        <v>3608</v>
      </c>
      <c r="H2685" t="s">
        <v>3609</v>
      </c>
      <c r="I2685" t="str">
        <f>HYPERLINK("https://zfin.org/ZDB-GENE-040426-1016")</f>
        <v>https://zfin.org/ZDB-GENE-040426-1016</v>
      </c>
      <c r="J2685" t="s">
        <v>3610</v>
      </c>
    </row>
    <row r="2686" spans="1:10" x14ac:dyDescent="0.2">
      <c r="A2686">
        <v>2.5284350878908702E-46</v>
      </c>
      <c r="B2686">
        <v>0.64940882209672002</v>
      </c>
      <c r="C2686">
        <v>0.35099999999999998</v>
      </c>
      <c r="D2686">
        <v>5.0999999999999997E-2</v>
      </c>
      <c r="E2686">
        <v>3.5140190851507301E-42</v>
      </c>
      <c r="F2686">
        <v>5</v>
      </c>
      <c r="G2686" t="s">
        <v>5790</v>
      </c>
      <c r="H2686" t="s">
        <v>5791</v>
      </c>
      <c r="I2686" t="str">
        <f>HYPERLINK("https://zfin.org/ZDB-GENE-080804-1")</f>
        <v>https://zfin.org/ZDB-GENE-080804-1</v>
      </c>
      <c r="J2686" t="s">
        <v>5792</v>
      </c>
    </row>
    <row r="2687" spans="1:10" x14ac:dyDescent="0.2">
      <c r="A2687">
        <v>3.9922246535952401E-46</v>
      </c>
      <c r="B2687">
        <v>0.57145565002833498</v>
      </c>
      <c r="C2687">
        <v>1</v>
      </c>
      <c r="D2687">
        <v>0.98499999999999999</v>
      </c>
      <c r="E2687">
        <v>5.5483938235666698E-42</v>
      </c>
      <c r="F2687">
        <v>5</v>
      </c>
      <c r="G2687" t="s">
        <v>1991</v>
      </c>
      <c r="H2687" t="s">
        <v>1992</v>
      </c>
      <c r="I2687" t="str">
        <f>HYPERLINK("https://zfin.org/ZDB-GENE-040426-811")</f>
        <v>https://zfin.org/ZDB-GENE-040426-811</v>
      </c>
      <c r="J2687" t="s">
        <v>1993</v>
      </c>
    </row>
    <row r="2688" spans="1:10" x14ac:dyDescent="0.2">
      <c r="A2688">
        <v>1.88344823967144E-43</v>
      </c>
      <c r="B2688">
        <v>0.49822446897384798</v>
      </c>
      <c r="C2688">
        <v>1</v>
      </c>
      <c r="D2688">
        <v>0.997</v>
      </c>
      <c r="E2688">
        <v>2.6176163634953699E-39</v>
      </c>
      <c r="F2688">
        <v>5</v>
      </c>
      <c r="G2688" t="s">
        <v>1653</v>
      </c>
      <c r="H2688" t="s">
        <v>1654</v>
      </c>
      <c r="I2688" t="str">
        <f>HYPERLINK("https://zfin.org/ZDB-GENE-040426-2284")</f>
        <v>https://zfin.org/ZDB-GENE-040426-2284</v>
      </c>
      <c r="J2688" t="s">
        <v>1655</v>
      </c>
    </row>
    <row r="2689" spans="1:10" x14ac:dyDescent="0.2">
      <c r="A2689">
        <v>5.0843994668754E-42</v>
      </c>
      <c r="B2689">
        <v>0.89895738910086098</v>
      </c>
      <c r="C2689">
        <v>0.39900000000000002</v>
      </c>
      <c r="D2689">
        <v>7.5999999999999998E-2</v>
      </c>
      <c r="E2689">
        <v>7.0662983790634299E-38</v>
      </c>
      <c r="F2689">
        <v>5</v>
      </c>
      <c r="G2689" t="s">
        <v>4396</v>
      </c>
      <c r="H2689" t="s">
        <v>4397</v>
      </c>
      <c r="I2689" t="str">
        <f>HYPERLINK("https://zfin.org/ZDB-GENE-040426-1882")</f>
        <v>https://zfin.org/ZDB-GENE-040426-1882</v>
      </c>
      <c r="J2689" t="s">
        <v>4398</v>
      </c>
    </row>
    <row r="2690" spans="1:10" x14ac:dyDescent="0.2">
      <c r="A2690">
        <v>5.6975599057599902E-42</v>
      </c>
      <c r="B2690">
        <v>1.14662377518375</v>
      </c>
      <c r="C2690">
        <v>0.58799999999999997</v>
      </c>
      <c r="D2690">
        <v>0.16400000000000001</v>
      </c>
      <c r="E2690">
        <v>7.9184687570252404E-38</v>
      </c>
      <c r="F2690">
        <v>5</v>
      </c>
      <c r="G2690" t="s">
        <v>3255</v>
      </c>
      <c r="H2690" t="s">
        <v>3256</v>
      </c>
      <c r="I2690" t="str">
        <f>HYPERLINK("https://zfin.org/ZDB-GENE-000210-8")</f>
        <v>https://zfin.org/ZDB-GENE-000210-8</v>
      </c>
      <c r="J2690" t="s">
        <v>3257</v>
      </c>
    </row>
    <row r="2691" spans="1:10" x14ac:dyDescent="0.2">
      <c r="A2691">
        <v>1.08935442885667E-41</v>
      </c>
      <c r="B2691">
        <v>0.44901892837799601</v>
      </c>
      <c r="C2691">
        <v>1</v>
      </c>
      <c r="D2691">
        <v>0.999</v>
      </c>
      <c r="E2691">
        <v>1.513984785225E-37</v>
      </c>
      <c r="F2691">
        <v>5</v>
      </c>
      <c r="G2691" t="s">
        <v>1284</v>
      </c>
      <c r="H2691" t="s">
        <v>1285</v>
      </c>
      <c r="I2691" t="str">
        <f>HYPERLINK("https://zfin.org/ZDB-GENE-030131-8663")</f>
        <v>https://zfin.org/ZDB-GENE-030131-8663</v>
      </c>
      <c r="J2691" t="s">
        <v>1286</v>
      </c>
    </row>
    <row r="2692" spans="1:10" x14ac:dyDescent="0.2">
      <c r="A2692">
        <v>1.1574431573240901E-41</v>
      </c>
      <c r="B2692">
        <v>0.45441708001320302</v>
      </c>
      <c r="C2692">
        <v>1</v>
      </c>
      <c r="D2692">
        <v>1</v>
      </c>
      <c r="E2692">
        <v>1.6086145000490201E-37</v>
      </c>
      <c r="F2692">
        <v>5</v>
      </c>
      <c r="G2692" t="s">
        <v>1620</v>
      </c>
      <c r="H2692" t="s">
        <v>1621</v>
      </c>
      <c r="I2692" t="str">
        <f>HYPERLINK("https://zfin.org/ZDB-GENE-030131-7528")</f>
        <v>https://zfin.org/ZDB-GENE-030131-7528</v>
      </c>
      <c r="J2692" t="s">
        <v>1622</v>
      </c>
    </row>
    <row r="2693" spans="1:10" x14ac:dyDescent="0.2">
      <c r="A2693">
        <v>4.4927586186783102E-41</v>
      </c>
      <c r="B2693">
        <v>1.4607213048724901</v>
      </c>
      <c r="C2693">
        <v>0.69599999999999995</v>
      </c>
      <c r="D2693">
        <v>0.24199999999999999</v>
      </c>
      <c r="E2693">
        <v>6.2440359282391099E-37</v>
      </c>
      <c r="F2693">
        <v>5</v>
      </c>
      <c r="G2693" t="s">
        <v>2948</v>
      </c>
      <c r="H2693" t="s">
        <v>2949</v>
      </c>
      <c r="I2693" t="str">
        <f>HYPERLINK("https://zfin.org/ZDB-GENE-031006-14")</f>
        <v>https://zfin.org/ZDB-GENE-031006-14</v>
      </c>
      <c r="J2693" t="s">
        <v>2950</v>
      </c>
    </row>
    <row r="2694" spans="1:10" x14ac:dyDescent="0.2">
      <c r="A2694">
        <v>1.12131471311781E-39</v>
      </c>
      <c r="B2694">
        <v>0.88854300276485398</v>
      </c>
      <c r="C2694">
        <v>0.20300000000000001</v>
      </c>
      <c r="D2694">
        <v>1.9E-2</v>
      </c>
      <c r="E2694">
        <v>1.55840318829113E-35</v>
      </c>
      <c r="F2694">
        <v>5</v>
      </c>
      <c r="G2694" t="s">
        <v>5397</v>
      </c>
      <c r="H2694" t="s">
        <v>5398</v>
      </c>
      <c r="I2694" t="str">
        <f>HYPERLINK("https://zfin.org/ZDB-GENE-990415-25")</f>
        <v>https://zfin.org/ZDB-GENE-990415-25</v>
      </c>
      <c r="J2694" t="s">
        <v>3926</v>
      </c>
    </row>
    <row r="2695" spans="1:10" x14ac:dyDescent="0.2">
      <c r="A2695">
        <v>1.51280113000162E-39</v>
      </c>
      <c r="B2695">
        <v>0.76675236352800902</v>
      </c>
      <c r="C2695">
        <v>0.58799999999999997</v>
      </c>
      <c r="D2695">
        <v>0.153</v>
      </c>
      <c r="E2695">
        <v>2.1024910104762499E-35</v>
      </c>
      <c r="F2695">
        <v>5</v>
      </c>
      <c r="G2695" t="s">
        <v>438</v>
      </c>
      <c r="H2695" t="s">
        <v>439</v>
      </c>
      <c r="I2695" t="str">
        <f>HYPERLINK("https://zfin.org/ZDB-GENE-040628-1")</f>
        <v>https://zfin.org/ZDB-GENE-040628-1</v>
      </c>
      <c r="J2695" t="s">
        <v>440</v>
      </c>
    </row>
    <row r="2696" spans="1:10" x14ac:dyDescent="0.2">
      <c r="A2696">
        <v>2.3202737896350401E-38</v>
      </c>
      <c r="B2696">
        <v>0.48214135580683898</v>
      </c>
      <c r="C2696">
        <v>1</v>
      </c>
      <c r="D2696">
        <v>0.995</v>
      </c>
      <c r="E2696">
        <v>3.22471651283478E-34</v>
      </c>
      <c r="F2696">
        <v>5</v>
      </c>
      <c r="G2696" t="s">
        <v>2105</v>
      </c>
      <c r="H2696" t="s">
        <v>2106</v>
      </c>
      <c r="I2696" t="str">
        <f>HYPERLINK("https://zfin.org/ZDB-GENE-040426-1716")</f>
        <v>https://zfin.org/ZDB-GENE-040426-1716</v>
      </c>
      <c r="J2696" t="s">
        <v>2107</v>
      </c>
    </row>
    <row r="2697" spans="1:10" x14ac:dyDescent="0.2">
      <c r="A2697">
        <v>2.4277543248582E-38</v>
      </c>
      <c r="B2697">
        <v>0.57372347079632402</v>
      </c>
      <c r="C2697">
        <v>0.48</v>
      </c>
      <c r="D2697">
        <v>0.108</v>
      </c>
      <c r="E2697">
        <v>3.3740929606879301E-34</v>
      </c>
      <c r="F2697">
        <v>5</v>
      </c>
      <c r="G2697" t="s">
        <v>4812</v>
      </c>
      <c r="H2697" t="s">
        <v>4813</v>
      </c>
      <c r="I2697" t="str">
        <f>HYPERLINK("https://zfin.org/ZDB-GENE-030425-4")</f>
        <v>https://zfin.org/ZDB-GENE-030425-4</v>
      </c>
      <c r="J2697" t="s">
        <v>4814</v>
      </c>
    </row>
    <row r="2698" spans="1:10" x14ac:dyDescent="0.2">
      <c r="A2698">
        <v>4.4012252156420403E-38</v>
      </c>
      <c r="B2698">
        <v>0.47995355399937001</v>
      </c>
      <c r="C2698">
        <v>0.99299999999999999</v>
      </c>
      <c r="D2698">
        <v>0.995</v>
      </c>
      <c r="E2698">
        <v>6.1168228046993101E-34</v>
      </c>
      <c r="F2698">
        <v>5</v>
      </c>
      <c r="G2698" t="s">
        <v>1671</v>
      </c>
      <c r="H2698" t="s">
        <v>1672</v>
      </c>
      <c r="I2698" t="str">
        <f>HYPERLINK("https://zfin.org/ZDB-GENE-040625-147")</f>
        <v>https://zfin.org/ZDB-GENE-040625-147</v>
      </c>
      <c r="J2698" t="s">
        <v>1673</v>
      </c>
    </row>
    <row r="2699" spans="1:10" x14ac:dyDescent="0.2">
      <c r="A2699">
        <v>1.4795879489323399E-37</v>
      </c>
      <c r="B2699">
        <v>0.38240004672523897</v>
      </c>
      <c r="C2699">
        <v>0.20899999999999999</v>
      </c>
      <c r="D2699">
        <v>2.1999999999999999E-2</v>
      </c>
      <c r="E2699">
        <v>2.05633133142617E-33</v>
      </c>
      <c r="F2699">
        <v>5</v>
      </c>
      <c r="G2699" t="s">
        <v>5793</v>
      </c>
      <c r="H2699" t="s">
        <v>5794</v>
      </c>
      <c r="I2699" t="str">
        <f>HYPERLINK("https://zfin.org/ZDB-GENE-040426-1558")</f>
        <v>https://zfin.org/ZDB-GENE-040426-1558</v>
      </c>
      <c r="J2699" t="s">
        <v>5795</v>
      </c>
    </row>
    <row r="2700" spans="1:10" x14ac:dyDescent="0.2">
      <c r="A2700">
        <v>4.0615500208231202E-37</v>
      </c>
      <c r="B2700">
        <v>0.64174727596665804</v>
      </c>
      <c r="C2700">
        <v>0.26400000000000001</v>
      </c>
      <c r="D2700">
        <v>3.5999999999999997E-2</v>
      </c>
      <c r="E2700">
        <v>5.6447422189399698E-33</v>
      </c>
      <c r="F2700">
        <v>5</v>
      </c>
      <c r="G2700" t="s">
        <v>5321</v>
      </c>
      <c r="H2700" t="s">
        <v>5322</v>
      </c>
      <c r="I2700" t="str">
        <f>HYPERLINK("https://zfin.org/ZDB-GENE-031118-197")</f>
        <v>https://zfin.org/ZDB-GENE-031118-197</v>
      </c>
      <c r="J2700" t="s">
        <v>5323</v>
      </c>
    </row>
    <row r="2701" spans="1:10" x14ac:dyDescent="0.2">
      <c r="A2701">
        <v>6.8443943096486697E-36</v>
      </c>
      <c r="B2701">
        <v>1.1617895606798301</v>
      </c>
      <c r="C2701">
        <v>0.92600000000000005</v>
      </c>
      <c r="D2701">
        <v>0.57799999999999996</v>
      </c>
      <c r="E2701">
        <v>9.5123392115497297E-32</v>
      </c>
      <c r="F2701">
        <v>5</v>
      </c>
      <c r="G2701" t="s">
        <v>5294</v>
      </c>
      <c r="H2701" t="s">
        <v>5295</v>
      </c>
      <c r="I2701" t="str">
        <f>HYPERLINK("https://zfin.org/ZDB-GENE-030131-722")</f>
        <v>https://zfin.org/ZDB-GENE-030131-722</v>
      </c>
      <c r="J2701" t="s">
        <v>5296</v>
      </c>
    </row>
    <row r="2702" spans="1:10" x14ac:dyDescent="0.2">
      <c r="A2702">
        <v>1.9050729839448799E-35</v>
      </c>
      <c r="B2702">
        <v>0.554394167777015</v>
      </c>
      <c r="C2702">
        <v>0.30399999999999999</v>
      </c>
      <c r="D2702">
        <v>0.05</v>
      </c>
      <c r="E2702">
        <v>2.6476704330866E-31</v>
      </c>
      <c r="F2702">
        <v>5</v>
      </c>
      <c r="G2702" t="s">
        <v>5796</v>
      </c>
      <c r="H2702" t="s">
        <v>5797</v>
      </c>
      <c r="I2702" t="str">
        <f>HYPERLINK("https://zfin.org/ZDB-GENE-050419-19")</f>
        <v>https://zfin.org/ZDB-GENE-050419-19</v>
      </c>
      <c r="J2702" t="s">
        <v>5798</v>
      </c>
    </row>
    <row r="2703" spans="1:10" x14ac:dyDescent="0.2">
      <c r="A2703">
        <v>6.4383800539974797E-35</v>
      </c>
      <c r="B2703">
        <v>0.27763745158246</v>
      </c>
      <c r="C2703">
        <v>0.13500000000000001</v>
      </c>
      <c r="D2703">
        <v>8.9999999999999993E-3</v>
      </c>
      <c r="E2703">
        <v>8.9480605990456898E-31</v>
      </c>
      <c r="F2703">
        <v>5</v>
      </c>
      <c r="G2703" t="s">
        <v>5799</v>
      </c>
      <c r="H2703" t="s">
        <v>5800</v>
      </c>
      <c r="I2703" t="str">
        <f>HYPERLINK("https://zfin.org/ZDB-GENE-050522-508")</f>
        <v>https://zfin.org/ZDB-GENE-050522-508</v>
      </c>
      <c r="J2703" t="s">
        <v>5801</v>
      </c>
    </row>
    <row r="2704" spans="1:10" x14ac:dyDescent="0.2">
      <c r="A2704">
        <v>6.9682431696019197E-34</v>
      </c>
      <c r="B2704">
        <v>0.94275769408938603</v>
      </c>
      <c r="C2704">
        <v>0.88500000000000001</v>
      </c>
      <c r="D2704">
        <v>0.499</v>
      </c>
      <c r="E2704">
        <v>9.6844643571127405E-30</v>
      </c>
      <c r="F2704">
        <v>5</v>
      </c>
      <c r="G2704" t="s">
        <v>3534</v>
      </c>
      <c r="H2704" t="s">
        <v>3535</v>
      </c>
      <c r="I2704" t="str">
        <f>HYPERLINK("https://zfin.org/ZDB-GENE-030131-247")</f>
        <v>https://zfin.org/ZDB-GENE-030131-247</v>
      </c>
      <c r="J2704" t="s">
        <v>3536</v>
      </c>
    </row>
    <row r="2705" spans="1:10" x14ac:dyDescent="0.2">
      <c r="A2705">
        <v>1.27672354147163E-33</v>
      </c>
      <c r="B2705">
        <v>0.389480521771771</v>
      </c>
      <c r="C2705">
        <v>0.16900000000000001</v>
      </c>
      <c r="D2705">
        <v>1.6E-2</v>
      </c>
      <c r="E2705">
        <v>1.77439037793727E-29</v>
      </c>
      <c r="F2705">
        <v>5</v>
      </c>
      <c r="G2705" t="s">
        <v>5429</v>
      </c>
      <c r="H2705" t="s">
        <v>5430</v>
      </c>
      <c r="I2705" t="str">
        <f>HYPERLINK("https://zfin.org/ZDB-GENE-050913-156")</f>
        <v>https://zfin.org/ZDB-GENE-050913-156</v>
      </c>
      <c r="J2705" t="s">
        <v>5431</v>
      </c>
    </row>
    <row r="2706" spans="1:10" x14ac:dyDescent="0.2">
      <c r="A2706">
        <v>1.5562753535568301E-33</v>
      </c>
      <c r="B2706">
        <v>1.63594141225387</v>
      </c>
      <c r="C2706">
        <v>0.378</v>
      </c>
      <c r="D2706">
        <v>8.6999999999999994E-2</v>
      </c>
      <c r="E2706">
        <v>2.16291148637328E-29</v>
      </c>
      <c r="F2706">
        <v>5</v>
      </c>
      <c r="G2706" t="s">
        <v>3924</v>
      </c>
      <c r="H2706" t="s">
        <v>3925</v>
      </c>
      <c r="I2706" t="str">
        <f>HYPERLINK("https://zfin.org/ZDB-GENE-990415-25")</f>
        <v>https://zfin.org/ZDB-GENE-990415-25</v>
      </c>
      <c r="J2706" t="s">
        <v>3926</v>
      </c>
    </row>
    <row r="2707" spans="1:10" x14ac:dyDescent="0.2">
      <c r="A2707">
        <v>1.7796748234977601E-33</v>
      </c>
      <c r="B2707">
        <v>0.42940682394028101</v>
      </c>
      <c r="C2707">
        <v>1</v>
      </c>
      <c r="D2707">
        <v>0.999</v>
      </c>
      <c r="E2707">
        <v>2.47339206969718E-29</v>
      </c>
      <c r="F2707">
        <v>5</v>
      </c>
      <c r="G2707" t="s">
        <v>1498</v>
      </c>
      <c r="H2707" t="s">
        <v>1499</v>
      </c>
      <c r="I2707" t="str">
        <f>HYPERLINK("https://zfin.org/ZDB-GENE-030131-2022")</f>
        <v>https://zfin.org/ZDB-GENE-030131-2022</v>
      </c>
      <c r="J2707" t="s">
        <v>1500</v>
      </c>
    </row>
    <row r="2708" spans="1:10" x14ac:dyDescent="0.2">
      <c r="A2708">
        <v>1.7899502347808699E-33</v>
      </c>
      <c r="B2708">
        <v>0.44838629154080201</v>
      </c>
      <c r="C2708">
        <v>1</v>
      </c>
      <c r="D2708">
        <v>0.997</v>
      </c>
      <c r="E2708">
        <v>2.4876728362984501E-29</v>
      </c>
      <c r="F2708">
        <v>5</v>
      </c>
      <c r="G2708" t="s">
        <v>1713</v>
      </c>
      <c r="H2708" t="s">
        <v>1714</v>
      </c>
      <c r="I2708" t="str">
        <f>HYPERLINK("https://zfin.org/ZDB-GENE-040625-39")</f>
        <v>https://zfin.org/ZDB-GENE-040625-39</v>
      </c>
      <c r="J2708" t="s">
        <v>1715</v>
      </c>
    </row>
    <row r="2709" spans="1:10" x14ac:dyDescent="0.2">
      <c r="A2709">
        <v>3.1467861719655298E-33</v>
      </c>
      <c r="B2709">
        <v>0.29522024279522002</v>
      </c>
      <c r="C2709">
        <v>0.14899999999999999</v>
      </c>
      <c r="D2709">
        <v>1.2E-2</v>
      </c>
      <c r="E2709">
        <v>4.3734034217976902E-29</v>
      </c>
      <c r="F2709">
        <v>5</v>
      </c>
      <c r="G2709" t="s">
        <v>5584</v>
      </c>
      <c r="H2709" t="s">
        <v>5585</v>
      </c>
      <c r="I2709" t="str">
        <f>HYPERLINK("https://zfin.org/ZDB-GENE-030131-5105")</f>
        <v>https://zfin.org/ZDB-GENE-030131-5105</v>
      </c>
      <c r="J2709" t="s">
        <v>5586</v>
      </c>
    </row>
    <row r="2710" spans="1:10" x14ac:dyDescent="0.2">
      <c r="A2710">
        <v>3.6383158548734199E-33</v>
      </c>
      <c r="B2710">
        <v>0.83912569864574205</v>
      </c>
      <c r="C2710">
        <v>0.55400000000000005</v>
      </c>
      <c r="D2710">
        <v>0.16700000000000001</v>
      </c>
      <c r="E2710">
        <v>5.0565313751030795E-29</v>
      </c>
      <c r="F2710">
        <v>5</v>
      </c>
      <c r="G2710" t="s">
        <v>2957</v>
      </c>
      <c r="H2710" t="s">
        <v>2958</v>
      </c>
      <c r="I2710" t="str">
        <f>HYPERLINK("https://zfin.org/ZDB-GENE-141212-376")</f>
        <v>https://zfin.org/ZDB-GENE-141212-376</v>
      </c>
      <c r="J2710" t="s">
        <v>2959</v>
      </c>
    </row>
    <row r="2711" spans="1:10" x14ac:dyDescent="0.2">
      <c r="A2711">
        <v>4.9109266208983802E-33</v>
      </c>
      <c r="B2711">
        <v>0.53919480094428496</v>
      </c>
      <c r="C2711">
        <v>1</v>
      </c>
      <c r="D2711">
        <v>0.92300000000000004</v>
      </c>
      <c r="E2711">
        <v>6.8252058177245698E-29</v>
      </c>
      <c r="F2711">
        <v>5</v>
      </c>
      <c r="G2711" t="s">
        <v>2529</v>
      </c>
      <c r="H2711" t="s">
        <v>2530</v>
      </c>
      <c r="I2711" t="str">
        <f>HYPERLINK("https://zfin.org/ZDB-GENE-020419-12")</f>
        <v>https://zfin.org/ZDB-GENE-020419-12</v>
      </c>
      <c r="J2711" t="s">
        <v>2531</v>
      </c>
    </row>
    <row r="2712" spans="1:10" x14ac:dyDescent="0.2">
      <c r="A2712">
        <v>5.00699195037161E-33</v>
      </c>
      <c r="B2712">
        <v>0.56687440827794</v>
      </c>
      <c r="C2712">
        <v>0.53400000000000003</v>
      </c>
      <c r="D2712">
        <v>0.14499999999999999</v>
      </c>
      <c r="E2712">
        <v>6.9587174126264603E-29</v>
      </c>
      <c r="F2712">
        <v>5</v>
      </c>
      <c r="G2712" t="s">
        <v>5802</v>
      </c>
      <c r="H2712" t="s">
        <v>5803</v>
      </c>
      <c r="I2712" t="str">
        <f>HYPERLINK("https://zfin.org/ZDB-GENE-030219-148")</f>
        <v>https://zfin.org/ZDB-GENE-030219-148</v>
      </c>
      <c r="J2712" t="s">
        <v>5804</v>
      </c>
    </row>
    <row r="2713" spans="1:10" x14ac:dyDescent="0.2">
      <c r="A2713">
        <v>5.9200584936791798E-33</v>
      </c>
      <c r="B2713">
        <v>0.87688020566415004</v>
      </c>
      <c r="C2713">
        <v>0.55400000000000005</v>
      </c>
      <c r="D2713">
        <v>0.16500000000000001</v>
      </c>
      <c r="E2713">
        <v>8.2276972945153303E-29</v>
      </c>
      <c r="F2713">
        <v>5</v>
      </c>
      <c r="G2713" t="s">
        <v>3345</v>
      </c>
      <c r="H2713" t="s">
        <v>3346</v>
      </c>
      <c r="I2713" t="str">
        <f>HYPERLINK("https://zfin.org/ZDB-GENE-040426-977")</f>
        <v>https://zfin.org/ZDB-GENE-040426-977</v>
      </c>
      <c r="J2713" t="s">
        <v>3347</v>
      </c>
    </row>
    <row r="2714" spans="1:10" x14ac:dyDescent="0.2">
      <c r="A2714">
        <v>7.0118382101831106E-33</v>
      </c>
      <c r="B2714">
        <v>0.80570155334887605</v>
      </c>
      <c r="C2714">
        <v>0.83799999999999997</v>
      </c>
      <c r="D2714">
        <v>0.41799999999999998</v>
      </c>
      <c r="E2714">
        <v>9.7450527445124796E-29</v>
      </c>
      <c r="F2714">
        <v>5</v>
      </c>
      <c r="G2714" t="s">
        <v>3130</v>
      </c>
      <c r="H2714" t="s">
        <v>3131</v>
      </c>
      <c r="I2714" t="str">
        <f>HYPERLINK("https://zfin.org/ZDB-GENE-041007-4")</f>
        <v>https://zfin.org/ZDB-GENE-041007-4</v>
      </c>
      <c r="J2714" t="s">
        <v>3132</v>
      </c>
    </row>
    <row r="2715" spans="1:10" x14ac:dyDescent="0.2">
      <c r="A2715">
        <v>8.3312109303752904E-33</v>
      </c>
      <c r="B2715">
        <v>0.80512541688107597</v>
      </c>
      <c r="C2715">
        <v>0.372</v>
      </c>
      <c r="D2715">
        <v>8.1000000000000003E-2</v>
      </c>
      <c r="E2715">
        <v>1.15787169510356E-28</v>
      </c>
      <c r="F2715">
        <v>5</v>
      </c>
      <c r="G2715" t="s">
        <v>5805</v>
      </c>
      <c r="H2715" t="s">
        <v>5806</v>
      </c>
      <c r="I2715" t="str">
        <f>HYPERLINK("https://zfin.org/ZDB-GENE-010131-3")</f>
        <v>https://zfin.org/ZDB-GENE-010131-3</v>
      </c>
      <c r="J2715" t="s">
        <v>5807</v>
      </c>
    </row>
    <row r="2716" spans="1:10" x14ac:dyDescent="0.2">
      <c r="A2716">
        <v>9.3489196628994999E-33</v>
      </c>
      <c r="B2716">
        <v>0.79078842414174999</v>
      </c>
      <c r="C2716">
        <v>0.77</v>
      </c>
      <c r="D2716">
        <v>0.32</v>
      </c>
      <c r="E2716">
        <v>1.29931285474977E-28</v>
      </c>
      <c r="F2716">
        <v>5</v>
      </c>
      <c r="G2716" t="s">
        <v>2897</v>
      </c>
      <c r="H2716" t="s">
        <v>2898</v>
      </c>
      <c r="I2716" t="str">
        <f>HYPERLINK("https://zfin.org/ZDB-GENE-000906-2")</f>
        <v>https://zfin.org/ZDB-GENE-000906-2</v>
      </c>
      <c r="J2716" t="s">
        <v>2899</v>
      </c>
    </row>
    <row r="2717" spans="1:10" x14ac:dyDescent="0.2">
      <c r="A2717">
        <v>1.7426675928155199E-32</v>
      </c>
      <c r="B2717">
        <v>0.32122974108920399</v>
      </c>
      <c r="C2717">
        <v>0.16900000000000001</v>
      </c>
      <c r="D2717">
        <v>1.6E-2</v>
      </c>
      <c r="E2717">
        <v>2.4219594204950098E-28</v>
      </c>
      <c r="F2717">
        <v>5</v>
      </c>
      <c r="G2717" t="s">
        <v>5808</v>
      </c>
      <c r="H2717" t="s">
        <v>5809</v>
      </c>
      <c r="I2717" t="str">
        <f>HYPERLINK("https://zfin.org/ZDB-GENE-111102-2")</f>
        <v>https://zfin.org/ZDB-GENE-111102-2</v>
      </c>
      <c r="J2717" t="s">
        <v>5810</v>
      </c>
    </row>
    <row r="2718" spans="1:10" x14ac:dyDescent="0.2">
      <c r="A2718">
        <v>1.8484293942552099E-32</v>
      </c>
      <c r="B2718">
        <v>0.45305077783431402</v>
      </c>
      <c r="C2718">
        <v>0.23599999999999999</v>
      </c>
      <c r="D2718">
        <v>3.3000000000000002E-2</v>
      </c>
      <c r="E2718">
        <v>2.5689471721358801E-28</v>
      </c>
      <c r="F2718">
        <v>5</v>
      </c>
      <c r="G2718" t="s">
        <v>5811</v>
      </c>
      <c r="H2718" t="s">
        <v>5812</v>
      </c>
      <c r="I2718" t="str">
        <f>HYPERLINK("https://zfin.org/ZDB-GENE-040426-2224")</f>
        <v>https://zfin.org/ZDB-GENE-040426-2224</v>
      </c>
      <c r="J2718" t="s">
        <v>5813</v>
      </c>
    </row>
    <row r="2719" spans="1:10" x14ac:dyDescent="0.2">
      <c r="A2719">
        <v>2.02293054405593E-32</v>
      </c>
      <c r="B2719">
        <v>0.44128129492034601</v>
      </c>
      <c r="C2719">
        <v>1</v>
      </c>
      <c r="D2719">
        <v>0.98599999999999999</v>
      </c>
      <c r="E2719">
        <v>2.8114688701289299E-28</v>
      </c>
      <c r="F2719">
        <v>5</v>
      </c>
      <c r="G2719" t="s">
        <v>1910</v>
      </c>
      <c r="H2719" t="s">
        <v>1911</v>
      </c>
      <c r="I2719" t="str">
        <f>HYPERLINK("https://zfin.org/ZDB-GENE-030131-8951")</f>
        <v>https://zfin.org/ZDB-GENE-030131-8951</v>
      </c>
      <c r="J2719" t="s">
        <v>1912</v>
      </c>
    </row>
    <row r="2720" spans="1:10" x14ac:dyDescent="0.2">
      <c r="A2720">
        <v>2.4156407902207501E-32</v>
      </c>
      <c r="B2720">
        <v>0.46932796193294501</v>
      </c>
      <c r="C2720">
        <v>0.23599999999999999</v>
      </c>
      <c r="D2720">
        <v>3.3000000000000002E-2</v>
      </c>
      <c r="E2720">
        <v>3.35725757024879E-28</v>
      </c>
      <c r="F2720">
        <v>5</v>
      </c>
      <c r="G2720" t="s">
        <v>3462</v>
      </c>
      <c r="H2720" t="s">
        <v>3463</v>
      </c>
      <c r="I2720" t="str">
        <f>HYPERLINK("https://zfin.org/ZDB-GENE-050208-34")</f>
        <v>https://zfin.org/ZDB-GENE-050208-34</v>
      </c>
      <c r="J2720" t="s">
        <v>3464</v>
      </c>
    </row>
    <row r="2721" spans="1:10" x14ac:dyDescent="0.2">
      <c r="A2721">
        <v>2.5820135439654201E-32</v>
      </c>
      <c r="B2721">
        <v>0.346177905176415</v>
      </c>
      <c r="C2721">
        <v>0.16200000000000001</v>
      </c>
      <c r="D2721">
        <v>1.4999999999999999E-2</v>
      </c>
      <c r="E2721">
        <v>3.58848242340314E-28</v>
      </c>
      <c r="F2721">
        <v>5</v>
      </c>
      <c r="G2721" t="s">
        <v>3555</v>
      </c>
      <c r="H2721" t="s">
        <v>3556</v>
      </c>
      <c r="I2721" t="str">
        <f>HYPERLINK("https://zfin.org/ZDB-GENE-000125-4")</f>
        <v>https://zfin.org/ZDB-GENE-000125-4</v>
      </c>
      <c r="J2721" t="s">
        <v>3557</v>
      </c>
    </row>
    <row r="2722" spans="1:10" x14ac:dyDescent="0.2">
      <c r="A2722">
        <v>7.0963758048379703E-32</v>
      </c>
      <c r="B2722">
        <v>0.68106305231013597</v>
      </c>
      <c r="C2722">
        <v>0.58099999999999996</v>
      </c>
      <c r="D2722">
        <v>0.17699999999999999</v>
      </c>
      <c r="E2722">
        <v>9.8625430935638094E-28</v>
      </c>
      <c r="F2722">
        <v>5</v>
      </c>
      <c r="G2722" t="s">
        <v>5814</v>
      </c>
      <c r="H2722" t="s">
        <v>5815</v>
      </c>
      <c r="I2722" t="str">
        <f>HYPERLINK("https://zfin.org/ZDB-GENE-040718-267")</f>
        <v>https://zfin.org/ZDB-GENE-040718-267</v>
      </c>
      <c r="J2722" t="s">
        <v>5816</v>
      </c>
    </row>
    <row r="2723" spans="1:10" x14ac:dyDescent="0.2">
      <c r="A2723">
        <v>1.7729818648730201E-31</v>
      </c>
      <c r="B2723">
        <v>0.41895510089184401</v>
      </c>
      <c r="C2723">
        <v>0.14199999999999999</v>
      </c>
      <c r="D2723">
        <v>1.2E-2</v>
      </c>
      <c r="E2723">
        <v>2.4640901958005201E-27</v>
      </c>
      <c r="F2723">
        <v>5</v>
      </c>
      <c r="G2723" t="s">
        <v>5306</v>
      </c>
      <c r="H2723" t="s">
        <v>5307</v>
      </c>
      <c r="I2723" t="str">
        <f>HYPERLINK("https://zfin.org/ZDB-GENE-050220-15")</f>
        <v>https://zfin.org/ZDB-GENE-050220-15</v>
      </c>
      <c r="J2723" t="s">
        <v>5308</v>
      </c>
    </row>
    <row r="2724" spans="1:10" x14ac:dyDescent="0.2">
      <c r="A2724">
        <v>3.1321291452708599E-31</v>
      </c>
      <c r="B2724">
        <v>-0.58585656981973999</v>
      </c>
      <c r="C2724">
        <v>1</v>
      </c>
      <c r="D2724">
        <v>1</v>
      </c>
      <c r="E2724">
        <v>4.3530330860974403E-27</v>
      </c>
      <c r="F2724">
        <v>5</v>
      </c>
      <c r="G2724" t="s">
        <v>975</v>
      </c>
      <c r="H2724" t="s">
        <v>976</v>
      </c>
      <c r="I2724" t="str">
        <f>HYPERLINK("https://zfin.org/ZDB-GENE-141216-248")</f>
        <v>https://zfin.org/ZDB-GENE-141216-248</v>
      </c>
      <c r="J2724" t="s">
        <v>977</v>
      </c>
    </row>
    <row r="2725" spans="1:10" x14ac:dyDescent="0.2">
      <c r="A2725">
        <v>1.7765319025497799E-30</v>
      </c>
      <c r="B2725">
        <v>0.38265647908508199</v>
      </c>
      <c r="C2725">
        <v>1</v>
      </c>
      <c r="D2725">
        <v>0.99399999999999999</v>
      </c>
      <c r="E2725">
        <v>2.4690240381636801E-26</v>
      </c>
      <c r="F2725">
        <v>5</v>
      </c>
      <c r="G2725" t="s">
        <v>1617</v>
      </c>
      <c r="H2725" t="s">
        <v>1618</v>
      </c>
      <c r="I2725" t="str">
        <f>HYPERLINK("https://zfin.org/ZDB-GENE-040426-2117")</f>
        <v>https://zfin.org/ZDB-GENE-040426-2117</v>
      </c>
      <c r="J2725" t="s">
        <v>1619</v>
      </c>
    </row>
    <row r="2726" spans="1:10" x14ac:dyDescent="0.2">
      <c r="A2726">
        <v>2.22123819020673E-30</v>
      </c>
      <c r="B2726">
        <v>0.61310190608916604</v>
      </c>
      <c r="C2726">
        <v>0.30399999999999999</v>
      </c>
      <c r="D2726">
        <v>5.7000000000000002E-2</v>
      </c>
      <c r="E2726">
        <v>3.0870768367493101E-26</v>
      </c>
      <c r="F2726">
        <v>5</v>
      </c>
      <c r="G2726" t="s">
        <v>5751</v>
      </c>
      <c r="H2726" t="s">
        <v>5752</v>
      </c>
      <c r="I2726" t="str">
        <f>HYPERLINK("https://zfin.org/ZDB-GENE-031112-11")</f>
        <v>https://zfin.org/ZDB-GENE-031112-11</v>
      </c>
      <c r="J2726" t="s">
        <v>5753</v>
      </c>
    </row>
    <row r="2727" spans="1:10" x14ac:dyDescent="0.2">
      <c r="A2727">
        <v>2.3179457113990301E-30</v>
      </c>
      <c r="B2727">
        <v>0.50721886031604002</v>
      </c>
      <c r="C2727">
        <v>0.318</v>
      </c>
      <c r="D2727">
        <v>6.2E-2</v>
      </c>
      <c r="E2727">
        <v>3.2214809497023699E-26</v>
      </c>
      <c r="F2727">
        <v>5</v>
      </c>
      <c r="G2727" t="s">
        <v>5817</v>
      </c>
      <c r="H2727" t="s">
        <v>5818</v>
      </c>
      <c r="I2727" t="str">
        <f>HYPERLINK("https://zfin.org/ZDB-GENE-030131-2469")</f>
        <v>https://zfin.org/ZDB-GENE-030131-2469</v>
      </c>
      <c r="J2727" t="s">
        <v>5819</v>
      </c>
    </row>
    <row r="2728" spans="1:10" x14ac:dyDescent="0.2">
      <c r="A2728">
        <v>3.6732347886527699E-30</v>
      </c>
      <c r="B2728">
        <v>0.47307070905137799</v>
      </c>
      <c r="C2728">
        <v>1</v>
      </c>
      <c r="D2728">
        <v>0.95599999999999996</v>
      </c>
      <c r="E2728">
        <v>5.1050617092696202E-26</v>
      </c>
      <c r="F2728">
        <v>5</v>
      </c>
      <c r="G2728" t="s">
        <v>2009</v>
      </c>
      <c r="H2728" t="s">
        <v>2010</v>
      </c>
      <c r="I2728" t="str">
        <f>HYPERLINK("https://zfin.org/ZDB-GENE-030131-4343")</f>
        <v>https://zfin.org/ZDB-GENE-030131-4343</v>
      </c>
      <c r="J2728" t="s">
        <v>2011</v>
      </c>
    </row>
    <row r="2729" spans="1:10" x14ac:dyDescent="0.2">
      <c r="A2729">
        <v>5.0949375630936102E-30</v>
      </c>
      <c r="B2729">
        <v>0.55837887937470299</v>
      </c>
      <c r="C2729">
        <v>0.99299999999999999</v>
      </c>
      <c r="D2729">
        <v>0.84599999999999997</v>
      </c>
      <c r="E2729">
        <v>7.0809442251874998E-26</v>
      </c>
      <c r="F2729">
        <v>5</v>
      </c>
      <c r="G2729" t="s">
        <v>2409</v>
      </c>
      <c r="H2729" t="s">
        <v>2410</v>
      </c>
      <c r="I2729" t="str">
        <f>HYPERLINK("https://zfin.org/ZDB-GENE-080220-50")</f>
        <v>https://zfin.org/ZDB-GENE-080220-50</v>
      </c>
      <c r="J2729" t="s">
        <v>2411</v>
      </c>
    </row>
    <row r="2730" spans="1:10" x14ac:dyDescent="0.2">
      <c r="A2730">
        <v>5.7405566990797903E-30</v>
      </c>
      <c r="B2730">
        <v>0.56684937226464005</v>
      </c>
      <c r="C2730">
        <v>0.19600000000000001</v>
      </c>
      <c r="D2730">
        <v>2.5000000000000001E-2</v>
      </c>
      <c r="E2730">
        <v>7.9782257003810904E-26</v>
      </c>
      <c r="F2730">
        <v>5</v>
      </c>
      <c r="G2730" t="s">
        <v>5435</v>
      </c>
      <c r="H2730" t="s">
        <v>5436</v>
      </c>
      <c r="I2730" t="str">
        <f>HYPERLINK("https://zfin.org/ZDB-GENE-041024-3")</f>
        <v>https://zfin.org/ZDB-GENE-041024-3</v>
      </c>
      <c r="J2730" t="s">
        <v>5437</v>
      </c>
    </row>
    <row r="2731" spans="1:10" x14ac:dyDescent="0.2">
      <c r="A2731">
        <v>7.1273061876967602E-30</v>
      </c>
      <c r="B2731">
        <v>0.77227061686468101</v>
      </c>
      <c r="C2731">
        <v>0.378</v>
      </c>
      <c r="D2731">
        <v>8.8999999999999996E-2</v>
      </c>
      <c r="E2731">
        <v>9.9055301396609502E-26</v>
      </c>
      <c r="F2731">
        <v>5</v>
      </c>
      <c r="G2731" t="s">
        <v>5489</v>
      </c>
      <c r="H2731" t="s">
        <v>5490</v>
      </c>
      <c r="I2731" t="str">
        <f>HYPERLINK("https://zfin.org/ZDB-GENE-030131-5511")</f>
        <v>https://zfin.org/ZDB-GENE-030131-5511</v>
      </c>
      <c r="J2731" t="s">
        <v>5491</v>
      </c>
    </row>
    <row r="2732" spans="1:10" x14ac:dyDescent="0.2">
      <c r="A2732">
        <v>7.6431834051797599E-30</v>
      </c>
      <c r="B2732">
        <v>0.76437383683992499</v>
      </c>
      <c r="C2732">
        <v>0.61499999999999999</v>
      </c>
      <c r="D2732">
        <v>0.218</v>
      </c>
      <c r="E2732">
        <v>1.06224962965188E-25</v>
      </c>
      <c r="F2732">
        <v>5</v>
      </c>
      <c r="G2732" t="s">
        <v>3056</v>
      </c>
      <c r="H2732" t="s">
        <v>3057</v>
      </c>
      <c r="I2732" t="str">
        <f>HYPERLINK("https://zfin.org/ZDB-GENE-021028-1")</f>
        <v>https://zfin.org/ZDB-GENE-021028-1</v>
      </c>
      <c r="J2732" t="s">
        <v>3058</v>
      </c>
    </row>
    <row r="2733" spans="1:10" x14ac:dyDescent="0.2">
      <c r="A2733">
        <v>1.1913744572816E-29</v>
      </c>
      <c r="B2733">
        <v>0.45414876286112998</v>
      </c>
      <c r="C2733">
        <v>0.29099999999999998</v>
      </c>
      <c r="D2733">
        <v>5.2999999999999999E-2</v>
      </c>
      <c r="E2733">
        <v>1.6557722207299699E-25</v>
      </c>
      <c r="F2733">
        <v>5</v>
      </c>
      <c r="G2733" t="s">
        <v>5820</v>
      </c>
      <c r="H2733" t="s">
        <v>5821</v>
      </c>
      <c r="I2733" t="str">
        <f>HYPERLINK("https://zfin.org/ZDB-GENE-030131-9544")</f>
        <v>https://zfin.org/ZDB-GENE-030131-9544</v>
      </c>
      <c r="J2733" t="s">
        <v>5822</v>
      </c>
    </row>
    <row r="2734" spans="1:10" x14ac:dyDescent="0.2">
      <c r="A2734">
        <v>3.4470652372751298E-29</v>
      </c>
      <c r="B2734">
        <v>0.36293875330333097</v>
      </c>
      <c r="C2734">
        <v>1</v>
      </c>
      <c r="D2734">
        <v>0.998</v>
      </c>
      <c r="E2734">
        <v>4.7907312667649796E-25</v>
      </c>
      <c r="F2734">
        <v>5</v>
      </c>
      <c r="G2734" t="s">
        <v>1698</v>
      </c>
      <c r="H2734" t="s">
        <v>1699</v>
      </c>
      <c r="I2734" t="str">
        <f>HYPERLINK("https://zfin.org/ZDB-GENE-040622-2")</f>
        <v>https://zfin.org/ZDB-GENE-040622-2</v>
      </c>
      <c r="J2734" t="s">
        <v>1700</v>
      </c>
    </row>
    <row r="2735" spans="1:10" x14ac:dyDescent="0.2">
      <c r="A2735">
        <v>7.2168280971615498E-29</v>
      </c>
      <c r="B2735">
        <v>0.61476744092249802</v>
      </c>
      <c r="C2735">
        <v>0.622</v>
      </c>
      <c r="D2735">
        <v>0.214</v>
      </c>
      <c r="E2735">
        <v>1.00299476894351E-24</v>
      </c>
      <c r="F2735">
        <v>5</v>
      </c>
      <c r="G2735" t="s">
        <v>3261</v>
      </c>
      <c r="H2735" t="s">
        <v>3262</v>
      </c>
      <c r="I2735" t="str">
        <f>HYPERLINK("https://zfin.org/ZDB-GENE-031118-120")</f>
        <v>https://zfin.org/ZDB-GENE-031118-120</v>
      </c>
      <c r="J2735" t="s">
        <v>3263</v>
      </c>
    </row>
    <row r="2736" spans="1:10" x14ac:dyDescent="0.2">
      <c r="A2736">
        <v>1.0143343779687201E-28</v>
      </c>
      <c r="B2736">
        <v>1.0149004591330999</v>
      </c>
      <c r="C2736">
        <v>0.23599999999999999</v>
      </c>
      <c r="D2736">
        <v>3.9E-2</v>
      </c>
      <c r="E2736">
        <v>1.40972191850092E-24</v>
      </c>
      <c r="F2736">
        <v>5</v>
      </c>
      <c r="G2736" t="s">
        <v>5201</v>
      </c>
      <c r="H2736" t="s">
        <v>5202</v>
      </c>
      <c r="I2736" t="str">
        <f>HYPERLINK("https://zfin.org/ZDB-GENE-050327-77")</f>
        <v>https://zfin.org/ZDB-GENE-050327-77</v>
      </c>
      <c r="J2736" t="s">
        <v>5203</v>
      </c>
    </row>
    <row r="2737" spans="1:10" x14ac:dyDescent="0.2">
      <c r="A2737">
        <v>1.06637900759315E-28</v>
      </c>
      <c r="B2737">
        <v>0.63710405659693004</v>
      </c>
      <c r="C2737">
        <v>0.33100000000000002</v>
      </c>
      <c r="D2737">
        <v>7.0999999999999994E-2</v>
      </c>
      <c r="E2737">
        <v>1.4820535447529601E-24</v>
      </c>
      <c r="F2737">
        <v>5</v>
      </c>
      <c r="G2737" t="s">
        <v>5823</v>
      </c>
      <c r="H2737" t="s">
        <v>5824</v>
      </c>
      <c r="I2737" t="str">
        <f>HYPERLINK("https://zfin.org/ZDB-GENE-020419-24")</f>
        <v>https://zfin.org/ZDB-GENE-020419-24</v>
      </c>
      <c r="J2737" t="s">
        <v>5825</v>
      </c>
    </row>
    <row r="2738" spans="1:10" x14ac:dyDescent="0.2">
      <c r="A2738">
        <v>1.65178956804812E-28</v>
      </c>
      <c r="B2738">
        <v>0.42402479401770699</v>
      </c>
      <c r="C2738">
        <v>0.182</v>
      </c>
      <c r="D2738">
        <v>2.3E-2</v>
      </c>
      <c r="E2738">
        <v>2.29565714167328E-24</v>
      </c>
      <c r="F2738">
        <v>5</v>
      </c>
      <c r="G2738" t="s">
        <v>3525</v>
      </c>
      <c r="H2738" t="s">
        <v>3526</v>
      </c>
      <c r="I2738" t="str">
        <f>HYPERLINK("https://zfin.org/ZDB-GENE-040426-1810")</f>
        <v>https://zfin.org/ZDB-GENE-040426-1810</v>
      </c>
      <c r="J2738" t="s">
        <v>3527</v>
      </c>
    </row>
    <row r="2739" spans="1:10" x14ac:dyDescent="0.2">
      <c r="A2739">
        <v>1.9732426645432901E-28</v>
      </c>
      <c r="B2739">
        <v>-0.99186701673211797</v>
      </c>
      <c r="C2739">
        <v>0.75700000000000001</v>
      </c>
      <c r="D2739">
        <v>0.878</v>
      </c>
      <c r="E2739">
        <v>2.74241265518226E-24</v>
      </c>
      <c r="F2739">
        <v>5</v>
      </c>
      <c r="G2739" t="s">
        <v>1116</v>
      </c>
      <c r="H2739" t="s">
        <v>1117</v>
      </c>
      <c r="I2739" t="str">
        <f>HYPERLINK("https://zfin.org/ZDB-GENE-110411-160")</f>
        <v>https://zfin.org/ZDB-GENE-110411-160</v>
      </c>
      <c r="J2739" t="s">
        <v>1118</v>
      </c>
    </row>
    <row r="2740" spans="1:10" x14ac:dyDescent="0.2">
      <c r="A2740">
        <v>1.9812630652253001E-28</v>
      </c>
      <c r="B2740">
        <v>0.85382880125122396</v>
      </c>
      <c r="C2740">
        <v>0.73599999999999999</v>
      </c>
      <c r="D2740">
        <v>0.34399999999999997</v>
      </c>
      <c r="E2740">
        <v>2.7535594080501199E-24</v>
      </c>
      <c r="F2740">
        <v>5</v>
      </c>
      <c r="G2740" t="s">
        <v>5826</v>
      </c>
      <c r="H2740" t="s">
        <v>5827</v>
      </c>
      <c r="I2740" t="str">
        <f>HYPERLINK("https://zfin.org/ZDB-GENE-040123-1")</f>
        <v>https://zfin.org/ZDB-GENE-040123-1</v>
      </c>
      <c r="J2740" t="s">
        <v>5828</v>
      </c>
    </row>
    <row r="2741" spans="1:10" x14ac:dyDescent="0.2">
      <c r="A2741">
        <v>2.1668260390613298E-28</v>
      </c>
      <c r="B2741">
        <v>0.66129645395555803</v>
      </c>
      <c r="C2741">
        <v>0.378</v>
      </c>
      <c r="D2741">
        <v>9.0999999999999998E-2</v>
      </c>
      <c r="E2741">
        <v>3.01145482908743E-24</v>
      </c>
      <c r="F2741">
        <v>5</v>
      </c>
      <c r="G2741" t="s">
        <v>5829</v>
      </c>
      <c r="H2741" t="s">
        <v>5830</v>
      </c>
      <c r="I2741" t="str">
        <f>HYPERLINK("https://zfin.org/ZDB-GENE-020419-27")</f>
        <v>https://zfin.org/ZDB-GENE-020419-27</v>
      </c>
      <c r="J2741" t="s">
        <v>5831</v>
      </c>
    </row>
    <row r="2742" spans="1:10" x14ac:dyDescent="0.2">
      <c r="A2742">
        <v>4.0058177828710902E-28</v>
      </c>
      <c r="B2742">
        <v>0.43076492080662798</v>
      </c>
      <c r="C2742">
        <v>1</v>
      </c>
      <c r="D2742">
        <v>0.96199999999999997</v>
      </c>
      <c r="E2742">
        <v>5.5672855546342397E-24</v>
      </c>
      <c r="F2742">
        <v>5</v>
      </c>
      <c r="G2742" t="s">
        <v>1979</v>
      </c>
      <c r="H2742" t="s">
        <v>1980</v>
      </c>
      <c r="I2742" t="str">
        <f>HYPERLINK("https://zfin.org/ZDB-GENE-030131-2025")</f>
        <v>https://zfin.org/ZDB-GENE-030131-2025</v>
      </c>
      <c r="J2742" t="s">
        <v>1981</v>
      </c>
    </row>
    <row r="2743" spans="1:10" x14ac:dyDescent="0.2">
      <c r="A2743">
        <v>4.1664571454816396E-28</v>
      </c>
      <c r="B2743">
        <v>0.63150749535440398</v>
      </c>
      <c r="C2743">
        <v>0.97299999999999998</v>
      </c>
      <c r="D2743">
        <v>0.77100000000000002</v>
      </c>
      <c r="E2743">
        <v>5.7905421407903797E-24</v>
      </c>
      <c r="F2743">
        <v>5</v>
      </c>
      <c r="G2743" t="s">
        <v>2117</v>
      </c>
      <c r="H2743" t="s">
        <v>2118</v>
      </c>
      <c r="I2743" t="str">
        <f>HYPERLINK("https://zfin.org/ZDB-GENE-030131-618")</f>
        <v>https://zfin.org/ZDB-GENE-030131-618</v>
      </c>
      <c r="J2743" t="s">
        <v>2119</v>
      </c>
    </row>
    <row r="2744" spans="1:10" x14ac:dyDescent="0.2">
      <c r="A2744">
        <v>4.6366300941566696E-28</v>
      </c>
      <c r="B2744">
        <v>0.38041088797864298</v>
      </c>
      <c r="C2744">
        <v>0.99299999999999999</v>
      </c>
      <c r="D2744">
        <v>0.98899999999999999</v>
      </c>
      <c r="E2744">
        <v>6.4439885048589401E-24</v>
      </c>
      <c r="F2744">
        <v>5</v>
      </c>
      <c r="G2744" t="s">
        <v>2211</v>
      </c>
      <c r="H2744" t="s">
        <v>2212</v>
      </c>
      <c r="I2744" t="str">
        <f>HYPERLINK("https://zfin.org/ZDB-GENE-040426-1071")</f>
        <v>https://zfin.org/ZDB-GENE-040426-1071</v>
      </c>
      <c r="J2744" t="s">
        <v>2213</v>
      </c>
    </row>
    <row r="2745" spans="1:10" x14ac:dyDescent="0.2">
      <c r="A2745">
        <v>5.5097849822833898E-28</v>
      </c>
      <c r="B2745">
        <v>0.53262215018773895</v>
      </c>
      <c r="C2745">
        <v>0.25</v>
      </c>
      <c r="D2745">
        <v>4.2999999999999997E-2</v>
      </c>
      <c r="E2745">
        <v>7.65749916837746E-24</v>
      </c>
      <c r="F2745">
        <v>5</v>
      </c>
      <c r="G2745" t="s">
        <v>5186</v>
      </c>
      <c r="H2745" t="s">
        <v>5187</v>
      </c>
      <c r="I2745" t="str">
        <f>HYPERLINK("https://zfin.org/ZDB-GENE-020419-40")</f>
        <v>https://zfin.org/ZDB-GENE-020419-40</v>
      </c>
      <c r="J2745" t="s">
        <v>5188</v>
      </c>
    </row>
    <row r="2746" spans="1:10" x14ac:dyDescent="0.2">
      <c r="A2746">
        <v>6.77763785089386E-28</v>
      </c>
      <c r="B2746">
        <v>0.53671487297463505</v>
      </c>
      <c r="C2746">
        <v>0.27700000000000002</v>
      </c>
      <c r="D2746">
        <v>5.1999999999999998E-2</v>
      </c>
      <c r="E2746">
        <v>9.4195610851722798E-24</v>
      </c>
      <c r="F2746">
        <v>5</v>
      </c>
      <c r="G2746" t="s">
        <v>5706</v>
      </c>
      <c r="H2746" t="s">
        <v>5707</v>
      </c>
      <c r="I2746" t="str">
        <f>HYPERLINK("https://zfin.org/ZDB-GENE-040426-976")</f>
        <v>https://zfin.org/ZDB-GENE-040426-976</v>
      </c>
      <c r="J2746" t="s">
        <v>5708</v>
      </c>
    </row>
    <row r="2747" spans="1:10" x14ac:dyDescent="0.2">
      <c r="A2747">
        <v>6.8820200734407602E-28</v>
      </c>
      <c r="B2747">
        <v>0.36035654106885401</v>
      </c>
      <c r="C2747">
        <v>0.216</v>
      </c>
      <c r="D2747">
        <v>3.2000000000000001E-2</v>
      </c>
      <c r="E2747">
        <v>9.5646314980679706E-24</v>
      </c>
      <c r="F2747">
        <v>5</v>
      </c>
      <c r="G2747" t="s">
        <v>5832</v>
      </c>
      <c r="H2747" t="s">
        <v>5833</v>
      </c>
      <c r="I2747" t="str">
        <f>HYPERLINK("https://zfin.org/ZDB-GENE-040718-306")</f>
        <v>https://zfin.org/ZDB-GENE-040718-306</v>
      </c>
      <c r="J2747" t="s">
        <v>5834</v>
      </c>
    </row>
    <row r="2748" spans="1:10" x14ac:dyDescent="0.2">
      <c r="A2748">
        <v>8.2917496426083208E-28</v>
      </c>
      <c r="B2748">
        <v>0.73724337155834796</v>
      </c>
      <c r="C2748">
        <v>0.89200000000000002</v>
      </c>
      <c r="D2748">
        <v>0.55900000000000005</v>
      </c>
      <c r="E2748">
        <v>1.1523873653297E-23</v>
      </c>
      <c r="F2748">
        <v>5</v>
      </c>
      <c r="G2748" t="s">
        <v>2813</v>
      </c>
      <c r="H2748" t="s">
        <v>2814</v>
      </c>
      <c r="I2748" t="str">
        <f>HYPERLINK("https://zfin.org/ZDB-GENE-040426-1112")</f>
        <v>https://zfin.org/ZDB-GENE-040426-1112</v>
      </c>
      <c r="J2748" t="s">
        <v>2815</v>
      </c>
    </row>
    <row r="2749" spans="1:10" x14ac:dyDescent="0.2">
      <c r="A2749">
        <v>9.3052547698047492E-28</v>
      </c>
      <c r="B2749">
        <v>0.43655985763207</v>
      </c>
      <c r="C2749">
        <v>1</v>
      </c>
      <c r="D2749">
        <v>0.97299999999999998</v>
      </c>
      <c r="E2749">
        <v>1.2932443079074599E-23</v>
      </c>
      <c r="F2749">
        <v>5</v>
      </c>
      <c r="G2749" t="s">
        <v>1985</v>
      </c>
      <c r="H2749" t="s">
        <v>1986</v>
      </c>
      <c r="I2749" t="str">
        <f>HYPERLINK("https://zfin.org/ZDB-GENE-010724-15")</f>
        <v>https://zfin.org/ZDB-GENE-010724-15</v>
      </c>
      <c r="J2749" t="s">
        <v>1987</v>
      </c>
    </row>
    <row r="2750" spans="1:10" x14ac:dyDescent="0.2">
      <c r="A2750">
        <v>1.04195902308254E-27</v>
      </c>
      <c r="B2750">
        <v>0.73042834885436203</v>
      </c>
      <c r="C2750">
        <v>0.53400000000000003</v>
      </c>
      <c r="D2750">
        <v>0.17499999999999999</v>
      </c>
      <c r="E2750">
        <v>1.4481146502801101E-23</v>
      </c>
      <c r="F2750">
        <v>5</v>
      </c>
      <c r="G2750" t="s">
        <v>4178</v>
      </c>
      <c r="H2750" t="s">
        <v>4179</v>
      </c>
      <c r="I2750" t="str">
        <f>HYPERLINK("https://zfin.org/ZDB-GENE-030131-445")</f>
        <v>https://zfin.org/ZDB-GENE-030131-445</v>
      </c>
      <c r="J2750" t="s">
        <v>4180</v>
      </c>
    </row>
    <row r="2751" spans="1:10" x14ac:dyDescent="0.2">
      <c r="A2751">
        <v>1.14936489915267E-27</v>
      </c>
      <c r="B2751">
        <v>0.55745347915642396</v>
      </c>
      <c r="C2751">
        <v>0.25</v>
      </c>
      <c r="D2751">
        <v>4.3999999999999997E-2</v>
      </c>
      <c r="E2751">
        <v>1.5973873368423801E-23</v>
      </c>
      <c r="F2751">
        <v>5</v>
      </c>
      <c r="G2751" t="s">
        <v>5471</v>
      </c>
      <c r="H2751" t="s">
        <v>5472</v>
      </c>
      <c r="I2751" t="str">
        <f>HYPERLINK("https://zfin.org/ZDB-GENE-040426-59")</f>
        <v>https://zfin.org/ZDB-GENE-040426-59</v>
      </c>
      <c r="J2751" t="s">
        <v>5473</v>
      </c>
    </row>
    <row r="2752" spans="1:10" x14ac:dyDescent="0.2">
      <c r="A2752">
        <v>1.5210533426543999E-27</v>
      </c>
      <c r="B2752">
        <v>0.46033520048968501</v>
      </c>
      <c r="C2752">
        <v>0.24299999999999999</v>
      </c>
      <c r="D2752">
        <v>4.1000000000000002E-2</v>
      </c>
      <c r="E2752">
        <v>2.11395993562108E-23</v>
      </c>
      <c r="F2752">
        <v>5</v>
      </c>
      <c r="G2752" t="s">
        <v>5249</v>
      </c>
      <c r="H2752" t="s">
        <v>5250</v>
      </c>
      <c r="I2752" t="str">
        <f>HYPERLINK("https://zfin.org/ZDB-GENE-050506-32")</f>
        <v>https://zfin.org/ZDB-GENE-050506-32</v>
      </c>
      <c r="J2752" t="s">
        <v>5251</v>
      </c>
    </row>
    <row r="2753" spans="1:10" x14ac:dyDescent="0.2">
      <c r="A2753">
        <v>1.7322290051287499E-27</v>
      </c>
      <c r="B2753">
        <v>0.33586692521300798</v>
      </c>
      <c r="C2753">
        <v>1</v>
      </c>
      <c r="D2753">
        <v>0.99399999999999999</v>
      </c>
      <c r="E2753">
        <v>2.40745187132794E-23</v>
      </c>
      <c r="F2753">
        <v>5</v>
      </c>
      <c r="G2753" t="s">
        <v>1665</v>
      </c>
      <c r="H2753" t="s">
        <v>1666</v>
      </c>
      <c r="I2753" t="str">
        <f>HYPERLINK("https://zfin.org/ZDB-GENE-030131-8708")</f>
        <v>https://zfin.org/ZDB-GENE-030131-8708</v>
      </c>
      <c r="J2753" t="s">
        <v>1667</v>
      </c>
    </row>
    <row r="2754" spans="1:10" x14ac:dyDescent="0.2">
      <c r="A2754">
        <v>2.1204404388565701E-27</v>
      </c>
      <c r="B2754">
        <v>0.39664059258769901</v>
      </c>
      <c r="C2754">
        <v>0.216</v>
      </c>
      <c r="D2754">
        <v>3.3000000000000002E-2</v>
      </c>
      <c r="E2754">
        <v>2.94698812192286E-23</v>
      </c>
      <c r="F2754">
        <v>5</v>
      </c>
      <c r="G2754" t="s">
        <v>4315</v>
      </c>
      <c r="H2754" t="s">
        <v>4316</v>
      </c>
      <c r="I2754" t="str">
        <f>HYPERLINK("https://zfin.org/ZDB-GENE-040426-1247")</f>
        <v>https://zfin.org/ZDB-GENE-040426-1247</v>
      </c>
      <c r="J2754" t="s">
        <v>4317</v>
      </c>
    </row>
    <row r="2755" spans="1:10" x14ac:dyDescent="0.2">
      <c r="A2755">
        <v>3.8595277339251001E-27</v>
      </c>
      <c r="B2755">
        <v>0.579737589155782</v>
      </c>
      <c r="C2755">
        <v>0.60099999999999998</v>
      </c>
      <c r="D2755">
        <v>0.20599999999999999</v>
      </c>
      <c r="E2755">
        <v>5.3639716446091003E-23</v>
      </c>
      <c r="F2755">
        <v>5</v>
      </c>
      <c r="G2755" t="s">
        <v>5835</v>
      </c>
      <c r="H2755" t="s">
        <v>5836</v>
      </c>
      <c r="I2755" t="str">
        <f>HYPERLINK("https://zfin.org/ZDB-GENE-050320-50")</f>
        <v>https://zfin.org/ZDB-GENE-050320-50</v>
      </c>
      <c r="J2755" t="s">
        <v>5837</v>
      </c>
    </row>
    <row r="2756" spans="1:10" x14ac:dyDescent="0.2">
      <c r="A2756">
        <v>3.9060637642897304E-27</v>
      </c>
      <c r="B2756">
        <v>0.365284415961034</v>
      </c>
      <c r="C2756">
        <v>0.182</v>
      </c>
      <c r="D2756">
        <v>2.4E-2</v>
      </c>
      <c r="E2756">
        <v>5.4286474196098701E-23</v>
      </c>
      <c r="F2756">
        <v>5</v>
      </c>
      <c r="G2756" t="s">
        <v>5838</v>
      </c>
      <c r="H2756" t="s">
        <v>5839</v>
      </c>
      <c r="I2756" t="str">
        <f>HYPERLINK("https://zfin.org/ZDB-GENE-040912-35")</f>
        <v>https://zfin.org/ZDB-GENE-040912-35</v>
      </c>
      <c r="J2756" t="s">
        <v>5840</v>
      </c>
    </row>
    <row r="2757" spans="1:10" x14ac:dyDescent="0.2">
      <c r="A2757">
        <v>4.8618980438042298E-27</v>
      </c>
      <c r="B2757">
        <v>0.41786644444005799</v>
      </c>
      <c r="C2757">
        <v>1</v>
      </c>
      <c r="D2757">
        <v>0.97699999999999998</v>
      </c>
      <c r="E2757">
        <v>6.7570659012791198E-23</v>
      </c>
      <c r="F2757">
        <v>5</v>
      </c>
      <c r="G2757" t="s">
        <v>1925</v>
      </c>
      <c r="H2757" t="s">
        <v>1926</v>
      </c>
      <c r="I2757" t="str">
        <f>HYPERLINK("https://zfin.org/ZDB-GENE-030131-1291")</f>
        <v>https://zfin.org/ZDB-GENE-030131-1291</v>
      </c>
      <c r="J2757" t="s">
        <v>1927</v>
      </c>
    </row>
    <row r="2758" spans="1:10" x14ac:dyDescent="0.2">
      <c r="A2758">
        <v>5.3330311264376701E-27</v>
      </c>
      <c r="B2758">
        <v>0.356830659953491</v>
      </c>
      <c r="C2758">
        <v>0.182</v>
      </c>
      <c r="D2758">
        <v>2.4E-2</v>
      </c>
      <c r="E2758">
        <v>7.4118466595230695E-23</v>
      </c>
      <c r="F2758">
        <v>5</v>
      </c>
      <c r="G2758" t="s">
        <v>5841</v>
      </c>
      <c r="H2758" t="s">
        <v>5842</v>
      </c>
      <c r="I2758" t="str">
        <f>HYPERLINK("https://zfin.org/ZDB-GENE-040426-1285")</f>
        <v>https://zfin.org/ZDB-GENE-040426-1285</v>
      </c>
      <c r="J2758" t="s">
        <v>5843</v>
      </c>
    </row>
    <row r="2759" spans="1:10" x14ac:dyDescent="0.2">
      <c r="A2759">
        <v>7.9003603100738498E-27</v>
      </c>
      <c r="B2759">
        <v>0.47009335345275099</v>
      </c>
      <c r="C2759">
        <v>0.29099999999999998</v>
      </c>
      <c r="D2759">
        <v>5.8000000000000003E-2</v>
      </c>
      <c r="E2759">
        <v>1.09799207589406E-22</v>
      </c>
      <c r="F2759">
        <v>5</v>
      </c>
      <c r="G2759" t="s">
        <v>4689</v>
      </c>
      <c r="H2759" t="s">
        <v>4690</v>
      </c>
      <c r="I2759" t="str">
        <f>HYPERLINK("https://zfin.org/ZDB-GENE-110411-78")</f>
        <v>https://zfin.org/ZDB-GENE-110411-78</v>
      </c>
      <c r="J2759" t="s">
        <v>4691</v>
      </c>
    </row>
    <row r="2760" spans="1:10" x14ac:dyDescent="0.2">
      <c r="A2760">
        <v>8.4879398964940396E-27</v>
      </c>
      <c r="B2760">
        <v>0.42599552825910803</v>
      </c>
      <c r="C2760">
        <v>0.26400000000000001</v>
      </c>
      <c r="D2760">
        <v>4.8000000000000001E-2</v>
      </c>
      <c r="E2760">
        <v>1.17965388681474E-22</v>
      </c>
      <c r="F2760">
        <v>5</v>
      </c>
      <c r="G2760" t="s">
        <v>5844</v>
      </c>
      <c r="H2760" t="s">
        <v>5845</v>
      </c>
      <c r="I2760" t="str">
        <f>HYPERLINK("https://zfin.org/ZDB-GENE-030219-104")</f>
        <v>https://zfin.org/ZDB-GENE-030219-104</v>
      </c>
      <c r="J2760" t="s">
        <v>5846</v>
      </c>
    </row>
    <row r="2761" spans="1:10" x14ac:dyDescent="0.2">
      <c r="A2761">
        <v>8.8886147550679993E-27</v>
      </c>
      <c r="B2761">
        <v>0.92456893890129899</v>
      </c>
      <c r="C2761">
        <v>0.372</v>
      </c>
      <c r="D2761">
        <v>9.8000000000000004E-2</v>
      </c>
      <c r="E2761">
        <v>1.2353396786593499E-22</v>
      </c>
      <c r="F2761">
        <v>5</v>
      </c>
      <c r="G2761" t="s">
        <v>5389</v>
      </c>
      <c r="H2761" t="s">
        <v>5390</v>
      </c>
      <c r="I2761" t="str">
        <f>HYPERLINK("https://zfin.org/")</f>
        <v>https://zfin.org/</v>
      </c>
    </row>
    <row r="2762" spans="1:10" x14ac:dyDescent="0.2">
      <c r="A2762">
        <v>1.5214810433898201E-26</v>
      </c>
      <c r="B2762">
        <v>0.36578680225312599</v>
      </c>
      <c r="C2762">
        <v>1</v>
      </c>
      <c r="D2762">
        <v>0.98199999999999998</v>
      </c>
      <c r="E2762">
        <v>2.11455435410318E-22</v>
      </c>
      <c r="F2762">
        <v>5</v>
      </c>
      <c r="G2762" t="s">
        <v>1946</v>
      </c>
      <c r="H2762" t="s">
        <v>1947</v>
      </c>
      <c r="I2762" t="str">
        <f>HYPERLINK("https://zfin.org/ZDB-GENE-050506-107")</f>
        <v>https://zfin.org/ZDB-GENE-050506-107</v>
      </c>
      <c r="J2762" t="s">
        <v>1948</v>
      </c>
    </row>
    <row r="2763" spans="1:10" x14ac:dyDescent="0.2">
      <c r="A2763">
        <v>1.5409827028213799E-26</v>
      </c>
      <c r="B2763">
        <v>0.595255604281684</v>
      </c>
      <c r="C2763">
        <v>0.44600000000000001</v>
      </c>
      <c r="D2763">
        <v>0.125</v>
      </c>
      <c r="E2763">
        <v>2.1416577603811598E-22</v>
      </c>
      <c r="F2763">
        <v>5</v>
      </c>
      <c r="G2763" t="s">
        <v>5847</v>
      </c>
      <c r="H2763" t="s">
        <v>5848</v>
      </c>
      <c r="I2763" t="str">
        <f>HYPERLINK("https://zfin.org/ZDB-GENE-040426-1333")</f>
        <v>https://zfin.org/ZDB-GENE-040426-1333</v>
      </c>
      <c r="J2763" t="s">
        <v>5849</v>
      </c>
    </row>
    <row r="2764" spans="1:10" x14ac:dyDescent="0.2">
      <c r="A2764">
        <v>1.7533847589088701E-26</v>
      </c>
      <c r="B2764">
        <v>0.75976840931422696</v>
      </c>
      <c r="C2764">
        <v>0.74299999999999999</v>
      </c>
      <c r="D2764">
        <v>0.35199999999999998</v>
      </c>
      <c r="E2764">
        <v>2.4368541379315401E-22</v>
      </c>
      <c r="F2764">
        <v>5</v>
      </c>
      <c r="G2764" t="s">
        <v>5850</v>
      </c>
      <c r="H2764" t="s">
        <v>5851</v>
      </c>
      <c r="I2764" t="str">
        <f>HYPERLINK("https://zfin.org/ZDB-GENE-030131-9670")</f>
        <v>https://zfin.org/ZDB-GENE-030131-9670</v>
      </c>
      <c r="J2764" t="s">
        <v>5852</v>
      </c>
    </row>
    <row r="2765" spans="1:10" x14ac:dyDescent="0.2">
      <c r="A2765">
        <v>1.9933064735879201E-26</v>
      </c>
      <c r="B2765">
        <v>0.43825328103987299</v>
      </c>
      <c r="C2765">
        <v>0.98599999999999999</v>
      </c>
      <c r="D2765">
        <v>0.95199999999999996</v>
      </c>
      <c r="E2765">
        <v>2.7702973369924898E-22</v>
      </c>
      <c r="F2765">
        <v>5</v>
      </c>
      <c r="G2765" t="s">
        <v>2331</v>
      </c>
      <c r="H2765" t="s">
        <v>2332</v>
      </c>
      <c r="I2765" t="str">
        <f>HYPERLINK("https://zfin.org/ZDB-GENE-040426-1700")</f>
        <v>https://zfin.org/ZDB-GENE-040426-1700</v>
      </c>
      <c r="J2765" t="s">
        <v>2333</v>
      </c>
    </row>
    <row r="2766" spans="1:10" x14ac:dyDescent="0.2">
      <c r="A2766">
        <v>2.5347492132102599E-26</v>
      </c>
      <c r="B2766">
        <v>0.46507202372780299</v>
      </c>
      <c r="C2766">
        <v>0.23</v>
      </c>
      <c r="D2766">
        <v>3.9E-2</v>
      </c>
      <c r="E2766">
        <v>3.5227944565196198E-22</v>
      </c>
      <c r="F2766">
        <v>5</v>
      </c>
      <c r="G2766" t="s">
        <v>5530</v>
      </c>
      <c r="H2766" t="s">
        <v>5531</v>
      </c>
      <c r="I2766" t="str">
        <f>HYPERLINK("https://zfin.org/ZDB-GENE-990415-247")</f>
        <v>https://zfin.org/ZDB-GENE-990415-247</v>
      </c>
      <c r="J2766" t="s">
        <v>5532</v>
      </c>
    </row>
    <row r="2767" spans="1:10" x14ac:dyDescent="0.2">
      <c r="A2767">
        <v>2.8591251391723298E-26</v>
      </c>
      <c r="B2767">
        <v>0.380982045050758</v>
      </c>
      <c r="C2767">
        <v>0.19600000000000001</v>
      </c>
      <c r="D2767">
        <v>2.8000000000000001E-2</v>
      </c>
      <c r="E2767">
        <v>3.9736121184216999E-22</v>
      </c>
      <c r="F2767">
        <v>5</v>
      </c>
      <c r="G2767" t="s">
        <v>5853</v>
      </c>
      <c r="H2767" t="s">
        <v>5854</v>
      </c>
      <c r="I2767" t="str">
        <f>HYPERLINK("https://zfin.org/ZDB-GENE-030131-9676")</f>
        <v>https://zfin.org/ZDB-GENE-030131-9676</v>
      </c>
      <c r="J2767" t="s">
        <v>5855</v>
      </c>
    </row>
    <row r="2768" spans="1:10" x14ac:dyDescent="0.2">
      <c r="A2768">
        <v>3.2604148189634698E-26</v>
      </c>
      <c r="B2768">
        <v>0.58455991449066302</v>
      </c>
      <c r="C2768">
        <v>0.49299999999999999</v>
      </c>
      <c r="D2768">
        <v>0.152</v>
      </c>
      <c r="E2768">
        <v>4.5313245153954299E-22</v>
      </c>
      <c r="F2768">
        <v>5</v>
      </c>
      <c r="G2768" t="s">
        <v>3285</v>
      </c>
      <c r="H2768" t="s">
        <v>3286</v>
      </c>
      <c r="I2768" t="str">
        <f>HYPERLINK("https://zfin.org/ZDB-GENE-030131-9345")</f>
        <v>https://zfin.org/ZDB-GENE-030131-9345</v>
      </c>
      <c r="J2768" t="s">
        <v>3287</v>
      </c>
    </row>
    <row r="2769" spans="1:10" x14ac:dyDescent="0.2">
      <c r="A2769">
        <v>3.3396610199839302E-26</v>
      </c>
      <c r="B2769">
        <v>0.37678279704434597</v>
      </c>
      <c r="C2769">
        <v>0.19600000000000001</v>
      </c>
      <c r="D2769">
        <v>2.8000000000000001E-2</v>
      </c>
      <c r="E2769">
        <v>4.6414608855736596E-22</v>
      </c>
      <c r="F2769">
        <v>5</v>
      </c>
      <c r="G2769" t="s">
        <v>5856</v>
      </c>
      <c r="H2769" t="s">
        <v>5857</v>
      </c>
      <c r="I2769" t="str">
        <f>HYPERLINK("https://zfin.org/ZDB-GENE-030131-2976")</f>
        <v>https://zfin.org/ZDB-GENE-030131-2976</v>
      </c>
      <c r="J2769" t="s">
        <v>5858</v>
      </c>
    </row>
    <row r="2770" spans="1:10" x14ac:dyDescent="0.2">
      <c r="A2770">
        <v>3.8701158239355801E-26</v>
      </c>
      <c r="B2770">
        <v>0.92262691266534902</v>
      </c>
      <c r="C2770">
        <v>0.36499999999999999</v>
      </c>
      <c r="D2770">
        <v>9.6000000000000002E-2</v>
      </c>
      <c r="E2770">
        <v>5.37868697210567E-22</v>
      </c>
      <c r="F2770">
        <v>5</v>
      </c>
      <c r="G2770" t="s">
        <v>5240</v>
      </c>
      <c r="H2770" t="s">
        <v>5241</v>
      </c>
      <c r="I2770" t="str">
        <f>HYPERLINK("https://zfin.org/ZDB-GENE-131127-543")</f>
        <v>https://zfin.org/ZDB-GENE-131127-543</v>
      </c>
      <c r="J2770" t="s">
        <v>5242</v>
      </c>
    </row>
    <row r="2771" spans="1:10" x14ac:dyDescent="0.2">
      <c r="A2771">
        <v>4.6587335977665198E-26</v>
      </c>
      <c r="B2771">
        <v>0.56294986098585797</v>
      </c>
      <c r="C2771">
        <v>0.372</v>
      </c>
      <c r="D2771">
        <v>9.4E-2</v>
      </c>
      <c r="E2771">
        <v>6.4747079541759098E-22</v>
      </c>
      <c r="F2771">
        <v>5</v>
      </c>
      <c r="G2771" t="s">
        <v>5859</v>
      </c>
      <c r="H2771" t="s">
        <v>5860</v>
      </c>
      <c r="I2771" t="str">
        <f>HYPERLINK("https://zfin.org/ZDB-GENE-040930-4")</f>
        <v>https://zfin.org/ZDB-GENE-040930-4</v>
      </c>
      <c r="J2771" t="s">
        <v>5861</v>
      </c>
    </row>
    <row r="2772" spans="1:10" x14ac:dyDescent="0.2">
      <c r="A2772">
        <v>5.3389360402561205E-26</v>
      </c>
      <c r="B2772">
        <v>0.39002809133051503</v>
      </c>
      <c r="C2772">
        <v>1</v>
      </c>
      <c r="D2772">
        <v>0.97499999999999998</v>
      </c>
      <c r="E2772">
        <v>7.4200533087479604E-22</v>
      </c>
      <c r="F2772">
        <v>5</v>
      </c>
      <c r="G2772" t="s">
        <v>2400</v>
      </c>
      <c r="H2772" t="s">
        <v>2401</v>
      </c>
      <c r="I2772" t="str">
        <f>HYPERLINK("https://zfin.org/ZDB-GENE-040426-1670")</f>
        <v>https://zfin.org/ZDB-GENE-040426-1670</v>
      </c>
      <c r="J2772" t="s">
        <v>2402</v>
      </c>
    </row>
    <row r="2773" spans="1:10" x14ac:dyDescent="0.2">
      <c r="A2773">
        <v>5.8853277727629501E-26</v>
      </c>
      <c r="B2773">
        <v>0.68205977653389505</v>
      </c>
      <c r="C2773">
        <v>0.41899999999999998</v>
      </c>
      <c r="D2773">
        <v>0.115</v>
      </c>
      <c r="E2773">
        <v>8.17942853858594E-22</v>
      </c>
      <c r="F2773">
        <v>5</v>
      </c>
      <c r="G2773" t="s">
        <v>3189</v>
      </c>
      <c r="H2773" t="s">
        <v>3190</v>
      </c>
      <c r="I2773" t="str">
        <f>HYPERLINK("https://zfin.org/ZDB-GENE-030131-9923")</f>
        <v>https://zfin.org/ZDB-GENE-030131-9923</v>
      </c>
      <c r="J2773" t="s">
        <v>3191</v>
      </c>
    </row>
    <row r="2774" spans="1:10" x14ac:dyDescent="0.2">
      <c r="A2774">
        <v>6.6160288840498398E-26</v>
      </c>
      <c r="B2774">
        <v>0.39289128541622098</v>
      </c>
      <c r="C2774">
        <v>0.27</v>
      </c>
      <c r="D2774">
        <v>5.1999999999999998E-2</v>
      </c>
      <c r="E2774">
        <v>9.1949569430524707E-22</v>
      </c>
      <c r="F2774">
        <v>5</v>
      </c>
      <c r="G2774" t="s">
        <v>5542</v>
      </c>
      <c r="H2774" t="s">
        <v>5543</v>
      </c>
      <c r="I2774" t="str">
        <f>HYPERLINK("https://zfin.org/ZDB-GENE-010406-5")</f>
        <v>https://zfin.org/ZDB-GENE-010406-5</v>
      </c>
      <c r="J2774" t="s">
        <v>5544</v>
      </c>
    </row>
    <row r="2775" spans="1:10" x14ac:dyDescent="0.2">
      <c r="A2775">
        <v>7.2968849931481804E-26</v>
      </c>
      <c r="B2775">
        <v>0.65802832942770895</v>
      </c>
      <c r="C2775">
        <v>0.92600000000000005</v>
      </c>
      <c r="D2775">
        <v>0.65100000000000002</v>
      </c>
      <c r="E2775">
        <v>1.01412107634773E-21</v>
      </c>
      <c r="F2775">
        <v>5</v>
      </c>
      <c r="G2775" t="s">
        <v>2909</v>
      </c>
      <c r="H2775" t="s">
        <v>2910</v>
      </c>
      <c r="I2775" t="str">
        <f>HYPERLINK("https://zfin.org/ZDB-GENE-040426-2516")</f>
        <v>https://zfin.org/ZDB-GENE-040426-2516</v>
      </c>
      <c r="J2775" t="s">
        <v>2911</v>
      </c>
    </row>
    <row r="2776" spans="1:10" x14ac:dyDescent="0.2">
      <c r="A2776">
        <v>7.7993036680428196E-26</v>
      </c>
      <c r="B2776">
        <v>-1.25958251032727</v>
      </c>
      <c r="C2776">
        <v>0.75700000000000001</v>
      </c>
      <c r="D2776">
        <v>0.89400000000000002</v>
      </c>
      <c r="E2776">
        <v>1.08394722378459E-21</v>
      </c>
      <c r="F2776">
        <v>5</v>
      </c>
      <c r="G2776" t="s">
        <v>1599</v>
      </c>
      <c r="H2776" t="s">
        <v>1600</v>
      </c>
      <c r="I2776" t="str">
        <f>HYPERLINK("https://zfin.org/")</f>
        <v>https://zfin.org/</v>
      </c>
      <c r="J2776" t="s">
        <v>1601</v>
      </c>
    </row>
    <row r="2777" spans="1:10" x14ac:dyDescent="0.2">
      <c r="A2777">
        <v>8.0071285539157597E-26</v>
      </c>
      <c r="B2777">
        <v>0.67711786163980303</v>
      </c>
      <c r="C2777">
        <v>0.85799999999999998</v>
      </c>
      <c r="D2777">
        <v>0.46</v>
      </c>
      <c r="E2777">
        <v>1.11283072642321E-21</v>
      </c>
      <c r="F2777">
        <v>5</v>
      </c>
      <c r="G2777" t="s">
        <v>3204</v>
      </c>
      <c r="H2777" t="s">
        <v>3205</v>
      </c>
      <c r="I2777" t="str">
        <f>HYPERLINK("https://zfin.org/ZDB-GENE-020419-14")</f>
        <v>https://zfin.org/ZDB-GENE-020419-14</v>
      </c>
      <c r="J2777" t="s">
        <v>3206</v>
      </c>
    </row>
    <row r="2778" spans="1:10" x14ac:dyDescent="0.2">
      <c r="A2778">
        <v>9.3413358882286599E-26</v>
      </c>
      <c r="B2778">
        <v>0.43610056575585998</v>
      </c>
      <c r="C2778">
        <v>0.99299999999999999</v>
      </c>
      <c r="D2778">
        <v>0.94899999999999995</v>
      </c>
      <c r="E2778">
        <v>1.2982588617460199E-21</v>
      </c>
      <c r="F2778">
        <v>5</v>
      </c>
      <c r="G2778" t="s">
        <v>2307</v>
      </c>
      <c r="H2778" t="s">
        <v>2308</v>
      </c>
      <c r="I2778" t="str">
        <f>HYPERLINK("https://zfin.org/ZDB-GENE-040109-5")</f>
        <v>https://zfin.org/ZDB-GENE-040109-5</v>
      </c>
      <c r="J2778" t="s">
        <v>2309</v>
      </c>
    </row>
    <row r="2779" spans="1:10" x14ac:dyDescent="0.2">
      <c r="A2779">
        <v>1.09786442112214E-25</v>
      </c>
      <c r="B2779">
        <v>0.37845478725814702</v>
      </c>
      <c r="C2779">
        <v>1</v>
      </c>
      <c r="D2779">
        <v>0.98699999999999999</v>
      </c>
      <c r="E2779">
        <v>1.52581197247555E-21</v>
      </c>
      <c r="F2779">
        <v>5</v>
      </c>
      <c r="G2779" t="s">
        <v>1875</v>
      </c>
      <c r="H2779" t="s">
        <v>1876</v>
      </c>
      <c r="I2779" t="str">
        <f>HYPERLINK("https://zfin.org/ZDB-GENE-030131-8626")</f>
        <v>https://zfin.org/ZDB-GENE-030131-8626</v>
      </c>
      <c r="J2779" t="s">
        <v>1877</v>
      </c>
    </row>
    <row r="2780" spans="1:10" x14ac:dyDescent="0.2">
      <c r="A2780">
        <v>1.5307323117973501E-25</v>
      </c>
      <c r="B2780">
        <v>0.40695096020208499</v>
      </c>
      <c r="C2780">
        <v>1</v>
      </c>
      <c r="D2780">
        <v>0.98399999999999999</v>
      </c>
      <c r="E2780">
        <v>2.1274117669359599E-21</v>
      </c>
      <c r="F2780">
        <v>5</v>
      </c>
      <c r="G2780" t="s">
        <v>1522</v>
      </c>
      <c r="H2780" t="s">
        <v>1523</v>
      </c>
      <c r="I2780" t="str">
        <f>HYPERLINK("https://zfin.org/ZDB-GENE-040801-167")</f>
        <v>https://zfin.org/ZDB-GENE-040801-167</v>
      </c>
      <c r="J2780" t="s">
        <v>1524</v>
      </c>
    </row>
    <row r="2781" spans="1:10" x14ac:dyDescent="0.2">
      <c r="A2781">
        <v>2.0087307986681299E-25</v>
      </c>
      <c r="B2781">
        <v>0.51040785167283498</v>
      </c>
      <c r="C2781">
        <v>0.98599999999999999</v>
      </c>
      <c r="D2781">
        <v>0.85</v>
      </c>
      <c r="E2781">
        <v>2.7917340639889601E-21</v>
      </c>
      <c r="F2781">
        <v>5</v>
      </c>
      <c r="G2781" t="s">
        <v>2376</v>
      </c>
      <c r="H2781" t="s">
        <v>2377</v>
      </c>
      <c r="I2781" t="str">
        <f>HYPERLINK("https://zfin.org/ZDB-GENE-040426-1706")</f>
        <v>https://zfin.org/ZDB-GENE-040426-1706</v>
      </c>
      <c r="J2781" t="s">
        <v>2378</v>
      </c>
    </row>
    <row r="2782" spans="1:10" x14ac:dyDescent="0.2">
      <c r="A2782">
        <v>2.1686854922032798E-25</v>
      </c>
      <c r="B2782">
        <v>0.47472970522445801</v>
      </c>
      <c r="C2782">
        <v>0.41199999999999998</v>
      </c>
      <c r="D2782">
        <v>0.111</v>
      </c>
      <c r="E2782">
        <v>3.0140390970641198E-21</v>
      </c>
      <c r="F2782">
        <v>5</v>
      </c>
      <c r="G2782" t="s">
        <v>1278</v>
      </c>
      <c r="H2782" t="s">
        <v>1279</v>
      </c>
      <c r="I2782" t="str">
        <f>HYPERLINK("https://zfin.org/ZDB-GENE-040426-1753")</f>
        <v>https://zfin.org/ZDB-GENE-040426-1753</v>
      </c>
      <c r="J2782" t="s">
        <v>1280</v>
      </c>
    </row>
    <row r="2783" spans="1:10" x14ac:dyDescent="0.2">
      <c r="A2783">
        <v>2.31012640481505E-25</v>
      </c>
      <c r="B2783">
        <v>0.72146743870073005</v>
      </c>
      <c r="C2783">
        <v>0.81799999999999995</v>
      </c>
      <c r="D2783">
        <v>0.42299999999999999</v>
      </c>
      <c r="E2783">
        <v>3.21061367741196E-21</v>
      </c>
      <c r="F2783">
        <v>5</v>
      </c>
      <c r="G2783" t="s">
        <v>3059</v>
      </c>
      <c r="H2783" t="s">
        <v>3060</v>
      </c>
      <c r="I2783" t="str">
        <f>HYPERLINK("https://zfin.org/ZDB-GENE-040930-9")</f>
        <v>https://zfin.org/ZDB-GENE-040930-9</v>
      </c>
      <c r="J2783" t="s">
        <v>3061</v>
      </c>
    </row>
    <row r="2784" spans="1:10" x14ac:dyDescent="0.2">
      <c r="A2784">
        <v>3.2413471281015701E-25</v>
      </c>
      <c r="B2784">
        <v>0.334558623154115</v>
      </c>
      <c r="C2784">
        <v>0.16200000000000001</v>
      </c>
      <c r="D2784">
        <v>0.02</v>
      </c>
      <c r="E2784">
        <v>4.5048242386355698E-21</v>
      </c>
      <c r="F2784">
        <v>5</v>
      </c>
      <c r="G2784" t="s">
        <v>5252</v>
      </c>
      <c r="H2784" t="s">
        <v>5253</v>
      </c>
      <c r="I2784" t="str">
        <f>HYPERLINK("https://zfin.org/ZDB-GENE-030131-105")</f>
        <v>https://zfin.org/ZDB-GENE-030131-105</v>
      </c>
      <c r="J2784" t="s">
        <v>5254</v>
      </c>
    </row>
    <row r="2785" spans="1:10" x14ac:dyDescent="0.2">
      <c r="A2785">
        <v>3.2692999356661E-25</v>
      </c>
      <c r="B2785">
        <v>0.26811409986860502</v>
      </c>
      <c r="C2785">
        <v>0.122</v>
      </c>
      <c r="D2785">
        <v>1.0999999999999999E-2</v>
      </c>
      <c r="E2785">
        <v>4.5436730505887501E-21</v>
      </c>
      <c r="F2785">
        <v>5</v>
      </c>
      <c r="G2785" t="s">
        <v>3939</v>
      </c>
      <c r="H2785" t="s">
        <v>3940</v>
      </c>
      <c r="I2785" t="str">
        <f>HYPERLINK("https://zfin.org/ZDB-GENE-010131-6")</f>
        <v>https://zfin.org/ZDB-GENE-010131-6</v>
      </c>
      <c r="J2785" t="s">
        <v>3941</v>
      </c>
    </row>
    <row r="2786" spans="1:10" x14ac:dyDescent="0.2">
      <c r="A2786">
        <v>3.5696442900940201E-25</v>
      </c>
      <c r="B2786">
        <v>-0.88362000909456495</v>
      </c>
      <c r="C2786">
        <v>0.83799999999999997</v>
      </c>
      <c r="D2786">
        <v>0.93500000000000005</v>
      </c>
      <c r="E2786">
        <v>4.9610916343726702E-21</v>
      </c>
      <c r="F2786">
        <v>5</v>
      </c>
      <c r="G2786" t="s">
        <v>1065</v>
      </c>
      <c r="H2786" t="s">
        <v>1066</v>
      </c>
      <c r="I2786" t="str">
        <f>HYPERLINK("https://zfin.org/ZDB-GENE-030131-3532")</f>
        <v>https://zfin.org/ZDB-GENE-030131-3532</v>
      </c>
      <c r="J2786" t="s">
        <v>1067</v>
      </c>
    </row>
    <row r="2787" spans="1:10" x14ac:dyDescent="0.2">
      <c r="A2787">
        <v>3.8544623675021698E-25</v>
      </c>
      <c r="B2787">
        <v>0.28716181286519699</v>
      </c>
      <c r="C2787">
        <v>0.16200000000000001</v>
      </c>
      <c r="D2787">
        <v>0.02</v>
      </c>
      <c r="E2787">
        <v>5.3569317983545097E-21</v>
      </c>
      <c r="F2787">
        <v>5</v>
      </c>
      <c r="G2787" t="s">
        <v>5480</v>
      </c>
      <c r="H2787" t="s">
        <v>5481</v>
      </c>
      <c r="I2787" t="str">
        <f>HYPERLINK("https://zfin.org/ZDB-GENE-990603-11")</f>
        <v>https://zfin.org/ZDB-GENE-990603-11</v>
      </c>
      <c r="J2787" t="s">
        <v>5482</v>
      </c>
    </row>
    <row r="2788" spans="1:10" x14ac:dyDescent="0.2">
      <c r="A2788">
        <v>6.1368370337539704E-25</v>
      </c>
      <c r="B2788">
        <v>0.51241659409176199</v>
      </c>
      <c r="C2788">
        <v>0.98</v>
      </c>
      <c r="D2788">
        <v>0.92100000000000004</v>
      </c>
      <c r="E2788">
        <v>8.5289761095112696E-21</v>
      </c>
      <c r="F2788">
        <v>5</v>
      </c>
      <c r="G2788" t="s">
        <v>1904</v>
      </c>
      <c r="H2788" t="s">
        <v>1905</v>
      </c>
      <c r="I2788" t="str">
        <f>HYPERLINK("https://zfin.org/ZDB-GENE-030131-8752")</f>
        <v>https://zfin.org/ZDB-GENE-030131-8752</v>
      </c>
      <c r="J2788" t="s">
        <v>1906</v>
      </c>
    </row>
    <row r="2789" spans="1:10" x14ac:dyDescent="0.2">
      <c r="A2789">
        <v>7.6084834923096997E-25</v>
      </c>
      <c r="B2789">
        <v>0.63799060373976901</v>
      </c>
      <c r="C2789">
        <v>0.27</v>
      </c>
      <c r="D2789">
        <v>5.6000000000000001E-2</v>
      </c>
      <c r="E2789">
        <v>1.0574270357612E-20</v>
      </c>
      <c r="F2789">
        <v>5</v>
      </c>
      <c r="G2789" t="s">
        <v>4845</v>
      </c>
      <c r="H2789" t="s">
        <v>4846</v>
      </c>
      <c r="I2789" t="str">
        <f>HYPERLINK("https://zfin.org/ZDB-GENE-040801-112")</f>
        <v>https://zfin.org/ZDB-GENE-040801-112</v>
      </c>
      <c r="J2789" t="s">
        <v>4847</v>
      </c>
    </row>
    <row r="2790" spans="1:10" x14ac:dyDescent="0.2">
      <c r="A2790">
        <v>7.7732148876167996E-25</v>
      </c>
      <c r="B2790">
        <v>0.37383416900685401</v>
      </c>
      <c r="C2790">
        <v>0.99299999999999999</v>
      </c>
      <c r="D2790">
        <v>0.98799999999999999</v>
      </c>
      <c r="E2790">
        <v>1.0803214050809799E-20</v>
      </c>
      <c r="F2790">
        <v>5</v>
      </c>
      <c r="G2790" t="s">
        <v>1898</v>
      </c>
      <c r="H2790" t="s">
        <v>1899</v>
      </c>
      <c r="I2790" t="str">
        <f>HYPERLINK("https://zfin.org/ZDB-GENE-031001-9")</f>
        <v>https://zfin.org/ZDB-GENE-031001-9</v>
      </c>
      <c r="J2790" t="s">
        <v>1900</v>
      </c>
    </row>
    <row r="2791" spans="1:10" x14ac:dyDescent="0.2">
      <c r="A2791">
        <v>9.93869958935818E-25</v>
      </c>
      <c r="B2791">
        <v>0.41363509216973998</v>
      </c>
      <c r="C2791">
        <v>0.98599999999999999</v>
      </c>
      <c r="D2791">
        <v>0.95399999999999996</v>
      </c>
      <c r="E2791">
        <v>1.3812804689290001E-20</v>
      </c>
      <c r="F2791">
        <v>5</v>
      </c>
      <c r="G2791" t="s">
        <v>2349</v>
      </c>
      <c r="H2791" t="s">
        <v>2350</v>
      </c>
      <c r="I2791" t="str">
        <f>HYPERLINK("https://zfin.org/ZDB-GENE-030131-8656")</f>
        <v>https://zfin.org/ZDB-GENE-030131-8656</v>
      </c>
      <c r="J2791" t="s">
        <v>2351</v>
      </c>
    </row>
    <row r="2792" spans="1:10" x14ac:dyDescent="0.2">
      <c r="A2792">
        <v>1.2803906970034001E-24</v>
      </c>
      <c r="B2792">
        <v>0.42020452848712703</v>
      </c>
      <c r="C2792">
        <v>1</v>
      </c>
      <c r="D2792">
        <v>0.96299999999999997</v>
      </c>
      <c r="E2792">
        <v>1.77948699069533E-20</v>
      </c>
      <c r="F2792">
        <v>5</v>
      </c>
      <c r="G2792" t="s">
        <v>1758</v>
      </c>
      <c r="H2792" t="s">
        <v>1759</v>
      </c>
      <c r="I2792" t="str">
        <f>HYPERLINK("https://zfin.org/ZDB-GENE-040718-190")</f>
        <v>https://zfin.org/ZDB-GENE-040718-190</v>
      </c>
      <c r="J2792" t="s">
        <v>1760</v>
      </c>
    </row>
    <row r="2793" spans="1:10" x14ac:dyDescent="0.2">
      <c r="A2793">
        <v>1.42310661672415E-24</v>
      </c>
      <c r="B2793">
        <v>0.405429947810794</v>
      </c>
      <c r="C2793">
        <v>1</v>
      </c>
      <c r="D2793">
        <v>0.97099999999999997</v>
      </c>
      <c r="E2793">
        <v>1.9778335759232301E-20</v>
      </c>
      <c r="F2793">
        <v>5</v>
      </c>
      <c r="G2793" t="s">
        <v>2072</v>
      </c>
      <c r="H2793" t="s">
        <v>2073</v>
      </c>
      <c r="I2793" t="str">
        <f>HYPERLINK("https://zfin.org/ZDB-GENE-040801-8")</f>
        <v>https://zfin.org/ZDB-GENE-040801-8</v>
      </c>
      <c r="J2793" t="s">
        <v>2074</v>
      </c>
    </row>
    <row r="2794" spans="1:10" x14ac:dyDescent="0.2">
      <c r="A2794">
        <v>1.52920953713112E-24</v>
      </c>
      <c r="B2794">
        <v>0.51680044542800396</v>
      </c>
      <c r="C2794">
        <v>0.23599999999999999</v>
      </c>
      <c r="D2794">
        <v>4.2999999999999997E-2</v>
      </c>
      <c r="E2794">
        <v>2.12529541470483E-20</v>
      </c>
      <c r="F2794">
        <v>5</v>
      </c>
      <c r="G2794" t="s">
        <v>5506</v>
      </c>
      <c r="H2794" t="s">
        <v>5507</v>
      </c>
      <c r="I2794" t="str">
        <f>HYPERLINK("https://zfin.org/ZDB-GENE-030131-9686")</f>
        <v>https://zfin.org/ZDB-GENE-030131-9686</v>
      </c>
      <c r="J2794" t="s">
        <v>5508</v>
      </c>
    </row>
    <row r="2795" spans="1:10" x14ac:dyDescent="0.2">
      <c r="A2795">
        <v>2.9581272551287199E-24</v>
      </c>
      <c r="B2795">
        <v>0.43578542779836199</v>
      </c>
      <c r="C2795">
        <v>1</v>
      </c>
      <c r="D2795">
        <v>0.93899999999999995</v>
      </c>
      <c r="E2795">
        <v>4.1112052591779E-20</v>
      </c>
      <c r="F2795">
        <v>5</v>
      </c>
      <c r="G2795" t="s">
        <v>2316</v>
      </c>
      <c r="H2795" t="s">
        <v>2317</v>
      </c>
      <c r="I2795" t="str">
        <f>HYPERLINK("https://zfin.org/ZDB-GENE-030131-10018")</f>
        <v>https://zfin.org/ZDB-GENE-030131-10018</v>
      </c>
      <c r="J2795" t="s">
        <v>2318</v>
      </c>
    </row>
    <row r="2796" spans="1:10" x14ac:dyDescent="0.2">
      <c r="A2796">
        <v>6.4173771042496398E-24</v>
      </c>
      <c r="B2796">
        <v>0.40553978737531898</v>
      </c>
      <c r="C2796">
        <v>1</v>
      </c>
      <c r="D2796">
        <v>0.92500000000000004</v>
      </c>
      <c r="E2796">
        <v>8.9188706994861498E-20</v>
      </c>
      <c r="F2796">
        <v>5</v>
      </c>
      <c r="G2796" t="s">
        <v>1889</v>
      </c>
      <c r="H2796" t="s">
        <v>1890</v>
      </c>
      <c r="I2796" t="str">
        <f>HYPERLINK("https://zfin.org/ZDB-GENE-990415-89")</f>
        <v>https://zfin.org/ZDB-GENE-990415-89</v>
      </c>
      <c r="J2796" t="s">
        <v>1891</v>
      </c>
    </row>
    <row r="2797" spans="1:10" x14ac:dyDescent="0.2">
      <c r="A2797">
        <v>7.3603692049589704E-24</v>
      </c>
      <c r="B2797">
        <v>0.40722625589323602</v>
      </c>
      <c r="C2797">
        <v>0.99299999999999999</v>
      </c>
      <c r="D2797">
        <v>0.96299999999999997</v>
      </c>
      <c r="E2797">
        <v>1.0229441121052E-19</v>
      </c>
      <c r="F2797">
        <v>5</v>
      </c>
      <c r="G2797" t="s">
        <v>2370</v>
      </c>
      <c r="H2797" t="s">
        <v>2371</v>
      </c>
      <c r="I2797" t="str">
        <f>HYPERLINK("https://zfin.org/ZDB-GENE-030131-9092")</f>
        <v>https://zfin.org/ZDB-GENE-030131-9092</v>
      </c>
      <c r="J2797" t="s">
        <v>2372</v>
      </c>
    </row>
    <row r="2798" spans="1:10" x14ac:dyDescent="0.2">
      <c r="A2798">
        <v>8.27765941002979E-24</v>
      </c>
      <c r="B2798">
        <v>0.288914647891101</v>
      </c>
      <c r="C2798">
        <v>0.20300000000000001</v>
      </c>
      <c r="D2798">
        <v>3.2000000000000001E-2</v>
      </c>
      <c r="E2798">
        <v>1.15042910480594E-19</v>
      </c>
      <c r="F2798">
        <v>5</v>
      </c>
      <c r="G2798" t="s">
        <v>5862</v>
      </c>
      <c r="H2798" t="s">
        <v>5863</v>
      </c>
      <c r="I2798" t="str">
        <f>HYPERLINK("https://zfin.org/ZDB-GENE-040426-2757")</f>
        <v>https://zfin.org/ZDB-GENE-040426-2757</v>
      </c>
      <c r="J2798" t="s">
        <v>5864</v>
      </c>
    </row>
    <row r="2799" spans="1:10" x14ac:dyDescent="0.2">
      <c r="A2799">
        <v>8.3553420474264794E-24</v>
      </c>
      <c r="B2799">
        <v>0.47182962522626498</v>
      </c>
      <c r="C2799">
        <v>0.48599999999999999</v>
      </c>
      <c r="D2799">
        <v>0.152</v>
      </c>
      <c r="E2799">
        <v>1.1612254377513301E-19</v>
      </c>
      <c r="F2799">
        <v>5</v>
      </c>
      <c r="G2799" t="s">
        <v>3288</v>
      </c>
      <c r="H2799" t="s">
        <v>3289</v>
      </c>
      <c r="I2799" t="str">
        <f>HYPERLINK("https://zfin.org/ZDB-GENE-030131-7452")</f>
        <v>https://zfin.org/ZDB-GENE-030131-7452</v>
      </c>
      <c r="J2799" t="s">
        <v>3290</v>
      </c>
    </row>
    <row r="2800" spans="1:10" x14ac:dyDescent="0.2">
      <c r="A2800">
        <v>8.53816166495481E-24</v>
      </c>
      <c r="B2800">
        <v>0.29727424207494602</v>
      </c>
      <c r="C2800">
        <v>0.17599999999999999</v>
      </c>
      <c r="D2800">
        <v>2.5000000000000001E-2</v>
      </c>
      <c r="E2800">
        <v>1.18663370819542E-19</v>
      </c>
      <c r="F2800">
        <v>5</v>
      </c>
      <c r="G2800" t="s">
        <v>5865</v>
      </c>
      <c r="H2800" t="s">
        <v>5866</v>
      </c>
      <c r="I2800" t="str">
        <f>HYPERLINK("https://zfin.org/ZDB-GENE-040426-1741")</f>
        <v>https://zfin.org/ZDB-GENE-040426-1741</v>
      </c>
      <c r="J2800" t="s">
        <v>5867</v>
      </c>
    </row>
    <row r="2801" spans="1:10" x14ac:dyDescent="0.2">
      <c r="A2801">
        <v>1.0227735133979001E-23</v>
      </c>
      <c r="B2801">
        <v>0.38640914865819798</v>
      </c>
      <c r="C2801">
        <v>1</v>
      </c>
      <c r="D2801">
        <v>0.97299999999999998</v>
      </c>
      <c r="E2801">
        <v>1.4214506289203999E-19</v>
      </c>
      <c r="F2801">
        <v>5</v>
      </c>
      <c r="G2801" t="s">
        <v>1692</v>
      </c>
      <c r="H2801" t="s">
        <v>1693</v>
      </c>
      <c r="I2801" t="str">
        <f>HYPERLINK("https://zfin.org/ZDB-GENE-020419-2")</f>
        <v>https://zfin.org/ZDB-GENE-020419-2</v>
      </c>
      <c r="J2801" t="s">
        <v>1694</v>
      </c>
    </row>
    <row r="2802" spans="1:10" x14ac:dyDescent="0.2">
      <c r="A2802">
        <v>1.05075180155968E-23</v>
      </c>
      <c r="B2802">
        <v>0.82357787123585902</v>
      </c>
      <c r="C2802">
        <v>0.71599999999999997</v>
      </c>
      <c r="D2802">
        <v>0.33700000000000002</v>
      </c>
      <c r="E2802">
        <v>1.4603348538076499E-19</v>
      </c>
      <c r="F2802">
        <v>5</v>
      </c>
      <c r="G2802" t="s">
        <v>3088</v>
      </c>
      <c r="H2802" t="s">
        <v>3089</v>
      </c>
      <c r="I2802" t="str">
        <f>HYPERLINK("https://zfin.org/ZDB-GENE-060503-618")</f>
        <v>https://zfin.org/ZDB-GENE-060503-618</v>
      </c>
      <c r="J2802" t="s">
        <v>3090</v>
      </c>
    </row>
    <row r="2803" spans="1:10" x14ac:dyDescent="0.2">
      <c r="A2803">
        <v>1.0577990291882401E-23</v>
      </c>
      <c r="B2803">
        <v>0.27593814464087602</v>
      </c>
      <c r="C2803">
        <v>0.13500000000000001</v>
      </c>
      <c r="D2803">
        <v>1.4999999999999999E-2</v>
      </c>
      <c r="E2803">
        <v>1.4701290907658201E-19</v>
      </c>
      <c r="F2803">
        <v>5</v>
      </c>
      <c r="G2803" t="s">
        <v>5868</v>
      </c>
      <c r="H2803" t="s">
        <v>5869</v>
      </c>
      <c r="I2803" t="str">
        <f>HYPERLINK("https://zfin.org/ZDB-GENE-070912-20")</f>
        <v>https://zfin.org/ZDB-GENE-070912-20</v>
      </c>
      <c r="J2803" t="s">
        <v>5870</v>
      </c>
    </row>
    <row r="2804" spans="1:10" x14ac:dyDescent="0.2">
      <c r="A2804">
        <v>1.29551415079893E-23</v>
      </c>
      <c r="B2804">
        <v>0.60748591997696899</v>
      </c>
      <c r="C2804">
        <v>0.70299999999999996</v>
      </c>
      <c r="D2804">
        <v>0.30299999999999999</v>
      </c>
      <c r="E2804">
        <v>1.8005055667803499E-19</v>
      </c>
      <c r="F2804">
        <v>5</v>
      </c>
      <c r="G2804" t="s">
        <v>5712</v>
      </c>
      <c r="H2804" t="s">
        <v>5713</v>
      </c>
      <c r="I2804" t="str">
        <f>HYPERLINK("https://zfin.org/ZDB-GENE-030411-2")</f>
        <v>https://zfin.org/ZDB-GENE-030411-2</v>
      </c>
      <c r="J2804" t="s">
        <v>5714</v>
      </c>
    </row>
    <row r="2805" spans="1:10" x14ac:dyDescent="0.2">
      <c r="A2805">
        <v>1.4370270099736801E-23</v>
      </c>
      <c r="B2805">
        <v>0.37785592423127301</v>
      </c>
      <c r="C2805">
        <v>0.189</v>
      </c>
      <c r="D2805">
        <v>2.9000000000000001E-2</v>
      </c>
      <c r="E2805">
        <v>1.9971801384614201E-19</v>
      </c>
      <c r="F2805">
        <v>5</v>
      </c>
      <c r="G2805" t="s">
        <v>5237</v>
      </c>
      <c r="H2805" t="s">
        <v>5238</v>
      </c>
      <c r="I2805" t="str">
        <f>HYPERLINK("https://zfin.org/ZDB-GENE-061013-547")</f>
        <v>https://zfin.org/ZDB-GENE-061013-547</v>
      </c>
      <c r="J2805" t="s">
        <v>5239</v>
      </c>
    </row>
    <row r="2806" spans="1:10" x14ac:dyDescent="0.2">
      <c r="A2806">
        <v>1.6170214244909399E-23</v>
      </c>
      <c r="B2806">
        <v>0.55392927722644802</v>
      </c>
      <c r="C2806">
        <v>0.49299999999999999</v>
      </c>
      <c r="D2806">
        <v>0.157</v>
      </c>
      <c r="E2806">
        <v>2.2473363757575102E-19</v>
      </c>
      <c r="F2806">
        <v>5</v>
      </c>
      <c r="G2806" t="s">
        <v>3258</v>
      </c>
      <c r="H2806" t="s">
        <v>3259</v>
      </c>
      <c r="I2806" t="str">
        <f>HYPERLINK("https://zfin.org/ZDB-GENE-050417-241")</f>
        <v>https://zfin.org/ZDB-GENE-050417-241</v>
      </c>
      <c r="J2806" t="s">
        <v>3260</v>
      </c>
    </row>
    <row r="2807" spans="1:10" x14ac:dyDescent="0.2">
      <c r="A2807">
        <v>1.9684802277044099E-23</v>
      </c>
      <c r="B2807">
        <v>0.27901951596949398</v>
      </c>
      <c r="C2807">
        <v>0.122</v>
      </c>
      <c r="D2807">
        <v>1.2E-2</v>
      </c>
      <c r="E2807">
        <v>2.7357938204635799E-19</v>
      </c>
      <c r="F2807">
        <v>5</v>
      </c>
      <c r="G2807" t="s">
        <v>5871</v>
      </c>
      <c r="H2807" t="s">
        <v>5872</v>
      </c>
      <c r="I2807" t="str">
        <f>HYPERLINK("https://zfin.org/ZDB-GENE-030131-778")</f>
        <v>https://zfin.org/ZDB-GENE-030131-778</v>
      </c>
      <c r="J2807" t="s">
        <v>5873</v>
      </c>
    </row>
    <row r="2808" spans="1:10" x14ac:dyDescent="0.2">
      <c r="A2808">
        <v>1.9902494494859E-23</v>
      </c>
      <c r="B2808">
        <v>0.25116118044159202</v>
      </c>
      <c r="C2808">
        <v>0.108</v>
      </c>
      <c r="D2808">
        <v>8.9999999999999993E-3</v>
      </c>
      <c r="E2808">
        <v>2.7660486848954998E-19</v>
      </c>
      <c r="F2808">
        <v>5</v>
      </c>
      <c r="G2808" t="s">
        <v>5874</v>
      </c>
      <c r="H2808" t="s">
        <v>5875</v>
      </c>
      <c r="I2808" t="str">
        <f>HYPERLINK("https://zfin.org/ZDB-GENE-050506-131")</f>
        <v>https://zfin.org/ZDB-GENE-050506-131</v>
      </c>
      <c r="J2808" t="s">
        <v>5876</v>
      </c>
    </row>
    <row r="2809" spans="1:10" x14ac:dyDescent="0.2">
      <c r="A2809">
        <v>2.1652058898987299E-23</v>
      </c>
      <c r="B2809">
        <v>0.483345635618675</v>
      </c>
      <c r="C2809">
        <v>0.56100000000000005</v>
      </c>
      <c r="D2809">
        <v>0.193</v>
      </c>
      <c r="E2809">
        <v>3.0092031457812499E-19</v>
      </c>
      <c r="F2809">
        <v>5</v>
      </c>
      <c r="G2809" t="s">
        <v>5159</v>
      </c>
      <c r="H2809" t="s">
        <v>5160</v>
      </c>
      <c r="I2809" t="str">
        <f>HYPERLINK("https://zfin.org/ZDB-GENE-060312-32")</f>
        <v>https://zfin.org/ZDB-GENE-060312-32</v>
      </c>
      <c r="J2809" t="s">
        <v>5161</v>
      </c>
    </row>
    <row r="2810" spans="1:10" x14ac:dyDescent="0.2">
      <c r="A2810">
        <v>2.3955510295831901E-23</v>
      </c>
      <c r="B2810">
        <v>-0.94279780534577895</v>
      </c>
      <c r="C2810">
        <v>0.60099999999999998</v>
      </c>
      <c r="D2810">
        <v>0.79200000000000004</v>
      </c>
      <c r="E2810">
        <v>3.3293368209147199E-19</v>
      </c>
      <c r="F2810">
        <v>5</v>
      </c>
      <c r="G2810" t="s">
        <v>1405</v>
      </c>
      <c r="H2810" t="s">
        <v>1406</v>
      </c>
      <c r="I2810" t="str">
        <f>HYPERLINK("https://zfin.org/ZDB-GENE-031002-9")</f>
        <v>https://zfin.org/ZDB-GENE-031002-9</v>
      </c>
      <c r="J2810" t="s">
        <v>1407</v>
      </c>
    </row>
    <row r="2811" spans="1:10" x14ac:dyDescent="0.2">
      <c r="A2811">
        <v>3.4622313099280702E-23</v>
      </c>
      <c r="B2811">
        <v>0.64994624067161499</v>
      </c>
      <c r="C2811">
        <v>0.89900000000000002</v>
      </c>
      <c r="D2811">
        <v>0.51400000000000001</v>
      </c>
      <c r="E2811">
        <v>4.8118090745380301E-19</v>
      </c>
      <c r="F2811">
        <v>5</v>
      </c>
      <c r="G2811" t="s">
        <v>2768</v>
      </c>
      <c r="H2811" t="s">
        <v>2769</v>
      </c>
      <c r="I2811" t="str">
        <f>HYPERLINK("https://zfin.org/ZDB-GENE-070410-36")</f>
        <v>https://zfin.org/ZDB-GENE-070410-36</v>
      </c>
      <c r="J2811" t="s">
        <v>2770</v>
      </c>
    </row>
    <row r="2812" spans="1:10" x14ac:dyDescent="0.2">
      <c r="A2812">
        <v>3.4716800198268098E-23</v>
      </c>
      <c r="B2812">
        <v>0.42994804363797601</v>
      </c>
      <c r="C2812">
        <v>1</v>
      </c>
      <c r="D2812">
        <v>0.96199999999999997</v>
      </c>
      <c r="E2812">
        <v>4.8249408915552904E-19</v>
      </c>
      <c r="F2812">
        <v>5</v>
      </c>
      <c r="G2812" t="s">
        <v>2885</v>
      </c>
      <c r="H2812" t="s">
        <v>2886</v>
      </c>
      <c r="I2812" t="str">
        <f>HYPERLINK("https://zfin.org/ZDB-GENE-000629-1")</f>
        <v>https://zfin.org/ZDB-GENE-000629-1</v>
      </c>
      <c r="J2812" t="s">
        <v>2887</v>
      </c>
    </row>
    <row r="2813" spans="1:10" x14ac:dyDescent="0.2">
      <c r="A2813">
        <v>3.71677318305108E-23</v>
      </c>
      <c r="B2813">
        <v>0.41151184552549103</v>
      </c>
      <c r="C2813">
        <v>0.35099999999999998</v>
      </c>
      <c r="D2813">
        <v>9.0999999999999998E-2</v>
      </c>
      <c r="E2813">
        <v>5.1655713698043899E-19</v>
      </c>
      <c r="F2813">
        <v>5</v>
      </c>
      <c r="G2813" t="s">
        <v>3999</v>
      </c>
      <c r="H2813" t="s">
        <v>4000</v>
      </c>
      <c r="I2813" t="str">
        <f>HYPERLINK("https://zfin.org/ZDB-GENE-050417-66")</f>
        <v>https://zfin.org/ZDB-GENE-050417-66</v>
      </c>
      <c r="J2813" t="s">
        <v>4001</v>
      </c>
    </row>
    <row r="2814" spans="1:10" x14ac:dyDescent="0.2">
      <c r="A2814">
        <v>4.2238126992063997E-23</v>
      </c>
      <c r="B2814">
        <v>0.66757211513288695</v>
      </c>
      <c r="C2814">
        <v>0.26400000000000001</v>
      </c>
      <c r="D2814">
        <v>5.7000000000000002E-2</v>
      </c>
      <c r="E2814">
        <v>5.87025488935706E-19</v>
      </c>
      <c r="F2814">
        <v>5</v>
      </c>
      <c r="G2814" t="s">
        <v>4115</v>
      </c>
      <c r="H2814" t="s">
        <v>4116</v>
      </c>
      <c r="I2814" t="str">
        <f>HYPERLINK("https://zfin.org/ZDB-GENE-030515-3")</f>
        <v>https://zfin.org/ZDB-GENE-030515-3</v>
      </c>
      <c r="J2814" t="s">
        <v>4117</v>
      </c>
    </row>
    <row r="2815" spans="1:10" x14ac:dyDescent="0.2">
      <c r="A2815">
        <v>5.1595883107402899E-23</v>
      </c>
      <c r="B2815">
        <v>0.35259611823278703</v>
      </c>
      <c r="C2815">
        <v>1</v>
      </c>
      <c r="D2815">
        <v>0.98399999999999999</v>
      </c>
      <c r="E2815">
        <v>7.1707958342668599E-19</v>
      </c>
      <c r="F2815">
        <v>5</v>
      </c>
      <c r="G2815" t="s">
        <v>1860</v>
      </c>
      <c r="H2815" t="s">
        <v>1861</v>
      </c>
      <c r="I2815" t="str">
        <f>HYPERLINK("https://zfin.org/ZDB-GENE-040801-165")</f>
        <v>https://zfin.org/ZDB-GENE-040801-165</v>
      </c>
      <c r="J2815" t="s">
        <v>1862</v>
      </c>
    </row>
    <row r="2816" spans="1:10" x14ac:dyDescent="0.2">
      <c r="A2816">
        <v>5.52622954533217E-23</v>
      </c>
      <c r="B2816">
        <v>0.63632095928098698</v>
      </c>
      <c r="C2816">
        <v>0.35799999999999998</v>
      </c>
      <c r="D2816">
        <v>9.7000000000000003E-2</v>
      </c>
      <c r="E2816">
        <v>7.6803538221026498E-19</v>
      </c>
      <c r="F2816">
        <v>5</v>
      </c>
      <c r="G2816" t="s">
        <v>5327</v>
      </c>
      <c r="H2816" t="s">
        <v>5328</v>
      </c>
      <c r="I2816" t="str">
        <f>HYPERLINK("https://zfin.org/ZDB-GENE-110404-2")</f>
        <v>https://zfin.org/ZDB-GENE-110404-2</v>
      </c>
      <c r="J2816" t="s">
        <v>5329</v>
      </c>
    </row>
    <row r="2817" spans="1:10" x14ac:dyDescent="0.2">
      <c r="A2817">
        <v>7.6224266427211703E-23</v>
      </c>
      <c r="B2817">
        <v>0.56752137906844702</v>
      </c>
      <c r="C2817">
        <v>0.79100000000000004</v>
      </c>
      <c r="D2817">
        <v>0.373</v>
      </c>
      <c r="E2817">
        <v>1.0593648548053899E-18</v>
      </c>
      <c r="F2817">
        <v>5</v>
      </c>
      <c r="G2817" t="s">
        <v>3172</v>
      </c>
      <c r="H2817" t="s">
        <v>3173</v>
      </c>
      <c r="I2817" t="str">
        <f>HYPERLINK("https://zfin.org/")</f>
        <v>https://zfin.org/</v>
      </c>
    </row>
    <row r="2818" spans="1:10" x14ac:dyDescent="0.2">
      <c r="A2818">
        <v>8.8022657469999997E-23</v>
      </c>
      <c r="B2818">
        <v>0.83460280498626205</v>
      </c>
      <c r="C2818">
        <v>0.25</v>
      </c>
      <c r="D2818">
        <v>5.2999999999999999E-2</v>
      </c>
      <c r="E2818">
        <v>1.22333889351806E-18</v>
      </c>
      <c r="F2818">
        <v>5</v>
      </c>
      <c r="G2818" t="s">
        <v>5189</v>
      </c>
      <c r="H2818" t="s">
        <v>5190</v>
      </c>
      <c r="I2818" t="str">
        <f>HYPERLINK("https://zfin.org/ZDB-GENE-030404-1")</f>
        <v>https://zfin.org/ZDB-GENE-030404-1</v>
      </c>
      <c r="J2818" t="s">
        <v>5191</v>
      </c>
    </row>
    <row r="2819" spans="1:10" x14ac:dyDescent="0.2">
      <c r="A2819">
        <v>1.00457979379328E-22</v>
      </c>
      <c r="B2819">
        <v>0.41402920591275799</v>
      </c>
      <c r="C2819">
        <v>1</v>
      </c>
      <c r="D2819">
        <v>0.92700000000000005</v>
      </c>
      <c r="E2819">
        <v>1.3961649974139001E-18</v>
      </c>
      <c r="F2819">
        <v>5</v>
      </c>
      <c r="G2819" t="s">
        <v>1833</v>
      </c>
      <c r="H2819" t="s">
        <v>1834</v>
      </c>
      <c r="I2819" t="str">
        <f>HYPERLINK("https://zfin.org/ZDB-GENE-040426-1481")</f>
        <v>https://zfin.org/ZDB-GENE-040426-1481</v>
      </c>
      <c r="J2819" t="s">
        <v>1835</v>
      </c>
    </row>
    <row r="2820" spans="1:10" x14ac:dyDescent="0.2">
      <c r="A2820">
        <v>1.1581263081091801E-22</v>
      </c>
      <c r="B2820">
        <v>0.321412499424864</v>
      </c>
      <c r="C2820">
        <v>1</v>
      </c>
      <c r="D2820">
        <v>0.99099999999999999</v>
      </c>
      <c r="E2820">
        <v>1.60956394301014E-18</v>
      </c>
      <c r="F2820">
        <v>5</v>
      </c>
      <c r="G2820" t="s">
        <v>1608</v>
      </c>
      <c r="H2820" t="s">
        <v>1609</v>
      </c>
      <c r="I2820" t="str">
        <f>HYPERLINK("https://zfin.org/ZDB-GENE-040426-1033")</f>
        <v>https://zfin.org/ZDB-GENE-040426-1033</v>
      </c>
      <c r="J2820" t="s">
        <v>1610</v>
      </c>
    </row>
    <row r="2821" spans="1:10" x14ac:dyDescent="0.2">
      <c r="A2821">
        <v>1.19251581921153E-22</v>
      </c>
      <c r="B2821">
        <v>0.39814246650930901</v>
      </c>
      <c r="C2821">
        <v>0.99299999999999999</v>
      </c>
      <c r="D2821">
        <v>0.94699999999999995</v>
      </c>
      <c r="E2821">
        <v>1.65735848554018E-18</v>
      </c>
      <c r="F2821">
        <v>5</v>
      </c>
      <c r="G2821" t="s">
        <v>1940</v>
      </c>
      <c r="H2821" t="s">
        <v>1941</v>
      </c>
      <c r="I2821" t="str">
        <f>HYPERLINK("https://zfin.org/ZDB-GENE-030131-8631")</f>
        <v>https://zfin.org/ZDB-GENE-030131-8631</v>
      </c>
      <c r="J2821" t="s">
        <v>1942</v>
      </c>
    </row>
    <row r="2822" spans="1:10" x14ac:dyDescent="0.2">
      <c r="A2822">
        <v>1.22835857714758E-22</v>
      </c>
      <c r="B2822">
        <v>0.36543406332152101</v>
      </c>
      <c r="C2822">
        <v>0.99299999999999999</v>
      </c>
      <c r="D2822">
        <v>0.97399999999999998</v>
      </c>
      <c r="E2822">
        <v>1.70717275051971E-18</v>
      </c>
      <c r="F2822">
        <v>5</v>
      </c>
      <c r="G2822" t="s">
        <v>2361</v>
      </c>
      <c r="H2822" t="s">
        <v>2362</v>
      </c>
      <c r="I2822" t="str">
        <f>HYPERLINK("https://zfin.org/ZDB-GENE-040801-183")</f>
        <v>https://zfin.org/ZDB-GENE-040801-183</v>
      </c>
      <c r="J2822" t="s">
        <v>2363</v>
      </c>
    </row>
    <row r="2823" spans="1:10" x14ac:dyDescent="0.2">
      <c r="A2823">
        <v>1.36914985612016E-22</v>
      </c>
      <c r="B2823">
        <v>0.36601613277046502</v>
      </c>
      <c r="C2823">
        <v>0.24299999999999999</v>
      </c>
      <c r="D2823">
        <v>4.8000000000000001E-2</v>
      </c>
      <c r="E2823">
        <v>1.9028444700358001E-18</v>
      </c>
      <c r="F2823">
        <v>5</v>
      </c>
      <c r="G2823" t="s">
        <v>5877</v>
      </c>
      <c r="H2823" t="s">
        <v>5878</v>
      </c>
      <c r="I2823" t="str">
        <f>HYPERLINK("https://zfin.org/ZDB-GENE-060427-1")</f>
        <v>https://zfin.org/ZDB-GENE-060427-1</v>
      </c>
      <c r="J2823" t="s">
        <v>5879</v>
      </c>
    </row>
    <row r="2824" spans="1:10" x14ac:dyDescent="0.2">
      <c r="A2824">
        <v>1.57597862284777E-22</v>
      </c>
      <c r="B2824">
        <v>0.30643873785912201</v>
      </c>
      <c r="C2824">
        <v>0.14199999999999999</v>
      </c>
      <c r="D2824">
        <v>1.7000000000000001E-2</v>
      </c>
      <c r="E2824">
        <v>2.1902950900338398E-18</v>
      </c>
      <c r="F2824">
        <v>5</v>
      </c>
      <c r="G2824" t="s">
        <v>5569</v>
      </c>
      <c r="H2824" t="s">
        <v>5570</v>
      </c>
      <c r="I2824" t="str">
        <f>HYPERLINK("https://zfin.org/ZDB-GENE-020419-16")</f>
        <v>https://zfin.org/ZDB-GENE-020419-16</v>
      </c>
      <c r="J2824" t="s">
        <v>5571</v>
      </c>
    </row>
    <row r="2825" spans="1:10" x14ac:dyDescent="0.2">
      <c r="A2825">
        <v>1.6167692068994701E-22</v>
      </c>
      <c r="B2825">
        <v>0.31653356485145401</v>
      </c>
      <c r="C2825">
        <v>0.122</v>
      </c>
      <c r="D2825">
        <v>1.2999999999999999E-2</v>
      </c>
      <c r="E2825">
        <v>2.2469858437488899E-18</v>
      </c>
      <c r="F2825">
        <v>5</v>
      </c>
      <c r="G2825" t="s">
        <v>5880</v>
      </c>
      <c r="H2825" t="s">
        <v>5881</v>
      </c>
      <c r="I2825" t="str">
        <f>HYPERLINK("https://zfin.org/ZDB-GENE-041111-281")</f>
        <v>https://zfin.org/ZDB-GENE-041111-281</v>
      </c>
      <c r="J2825" t="s">
        <v>5882</v>
      </c>
    </row>
    <row r="2826" spans="1:10" x14ac:dyDescent="0.2">
      <c r="A2826">
        <v>1.9084085186008001E-22</v>
      </c>
      <c r="B2826">
        <v>0.59975412788621296</v>
      </c>
      <c r="C2826">
        <v>0.25</v>
      </c>
      <c r="D2826">
        <v>5.1999999999999998E-2</v>
      </c>
      <c r="E2826">
        <v>2.6523061591513898E-18</v>
      </c>
      <c r="F2826">
        <v>5</v>
      </c>
      <c r="G2826" t="s">
        <v>3438</v>
      </c>
      <c r="H2826" t="s">
        <v>3439</v>
      </c>
      <c r="I2826" t="str">
        <f>HYPERLINK("https://zfin.org/ZDB-GENE-030131-2602")</f>
        <v>https://zfin.org/ZDB-GENE-030131-2602</v>
      </c>
      <c r="J2826" t="s">
        <v>3440</v>
      </c>
    </row>
    <row r="2827" spans="1:10" x14ac:dyDescent="0.2">
      <c r="A2827">
        <v>2.2297302799706799E-22</v>
      </c>
      <c r="B2827">
        <v>0.37512033399253503</v>
      </c>
      <c r="C2827">
        <v>1</v>
      </c>
      <c r="D2827">
        <v>0.97699999999999998</v>
      </c>
      <c r="E2827">
        <v>3.0988791431032501E-18</v>
      </c>
      <c r="F2827">
        <v>5</v>
      </c>
      <c r="G2827" t="s">
        <v>1913</v>
      </c>
      <c r="H2827" t="s">
        <v>1914</v>
      </c>
      <c r="I2827" t="str">
        <f>HYPERLINK("https://zfin.org/ZDB-GENE-030131-8646")</f>
        <v>https://zfin.org/ZDB-GENE-030131-8646</v>
      </c>
      <c r="J2827" t="s">
        <v>1915</v>
      </c>
    </row>
    <row r="2828" spans="1:10" x14ac:dyDescent="0.2">
      <c r="A2828">
        <v>2.2693682917461598E-22</v>
      </c>
      <c r="B2828">
        <v>0.52253566014740604</v>
      </c>
      <c r="C2828">
        <v>0.29099999999999998</v>
      </c>
      <c r="D2828">
        <v>6.8000000000000005E-2</v>
      </c>
      <c r="E2828">
        <v>3.1539680518688199E-18</v>
      </c>
      <c r="F2828">
        <v>5</v>
      </c>
      <c r="G2828" t="s">
        <v>5423</v>
      </c>
      <c r="H2828" t="s">
        <v>5424</v>
      </c>
      <c r="I2828" t="str">
        <f>HYPERLINK("https://zfin.org/ZDB-GENE-030131-5366")</f>
        <v>https://zfin.org/ZDB-GENE-030131-5366</v>
      </c>
      <c r="J2828" t="s">
        <v>5425</v>
      </c>
    </row>
    <row r="2829" spans="1:10" x14ac:dyDescent="0.2">
      <c r="A2829">
        <v>2.5819050294709599E-22</v>
      </c>
      <c r="B2829">
        <v>0.38439505110240801</v>
      </c>
      <c r="C2829">
        <v>1</v>
      </c>
      <c r="D2829">
        <v>0.96299999999999997</v>
      </c>
      <c r="E2829">
        <v>3.5883316099587404E-18</v>
      </c>
      <c r="F2829">
        <v>5</v>
      </c>
      <c r="G2829" t="s">
        <v>2202</v>
      </c>
      <c r="H2829" t="s">
        <v>2203</v>
      </c>
      <c r="I2829" t="str">
        <f>HYPERLINK("https://zfin.org/ZDB-GENE-020419-20")</f>
        <v>https://zfin.org/ZDB-GENE-020419-20</v>
      </c>
      <c r="J2829" t="s">
        <v>2204</v>
      </c>
    </row>
    <row r="2830" spans="1:10" x14ac:dyDescent="0.2">
      <c r="A2830">
        <v>3.0477196982468098E-22</v>
      </c>
      <c r="B2830">
        <v>0.570531083164315</v>
      </c>
      <c r="C2830">
        <v>0.75</v>
      </c>
      <c r="D2830">
        <v>0.35899999999999999</v>
      </c>
      <c r="E2830">
        <v>4.2357208366234201E-18</v>
      </c>
      <c r="F2830">
        <v>5</v>
      </c>
      <c r="G2830" t="s">
        <v>3736</v>
      </c>
      <c r="H2830" t="s">
        <v>3737</v>
      </c>
      <c r="I2830" t="str">
        <f>HYPERLINK("https://zfin.org/ZDB-GENE-040426-2902")</f>
        <v>https://zfin.org/ZDB-GENE-040426-2902</v>
      </c>
      <c r="J2830" t="s">
        <v>3738</v>
      </c>
    </row>
    <row r="2831" spans="1:10" x14ac:dyDescent="0.2">
      <c r="A2831">
        <v>3.1031932947630698E-22</v>
      </c>
      <c r="B2831">
        <v>0.50048938450046698</v>
      </c>
      <c r="C2831">
        <v>0.63500000000000001</v>
      </c>
      <c r="D2831">
        <v>0.247</v>
      </c>
      <c r="E2831">
        <v>4.3128180410617196E-18</v>
      </c>
      <c r="F2831">
        <v>5</v>
      </c>
      <c r="G2831" t="s">
        <v>4235</v>
      </c>
      <c r="H2831" t="s">
        <v>4236</v>
      </c>
      <c r="I2831" t="str">
        <f>HYPERLINK("https://zfin.org/ZDB-GENE-100922-122")</f>
        <v>https://zfin.org/ZDB-GENE-100922-122</v>
      </c>
      <c r="J2831" t="s">
        <v>4237</v>
      </c>
    </row>
    <row r="2832" spans="1:10" x14ac:dyDescent="0.2">
      <c r="A2832">
        <v>3.9351011145044598E-22</v>
      </c>
      <c r="B2832">
        <v>0.58789309659713695</v>
      </c>
      <c r="C2832">
        <v>0.73599999999999999</v>
      </c>
      <c r="D2832">
        <v>0.35199999999999998</v>
      </c>
      <c r="E2832">
        <v>5.4690035289382997E-18</v>
      </c>
      <c r="F2832">
        <v>5</v>
      </c>
      <c r="G2832" t="s">
        <v>3868</v>
      </c>
      <c r="H2832" t="s">
        <v>3869</v>
      </c>
      <c r="I2832" t="str">
        <f>HYPERLINK("https://zfin.org/ZDB-GENE-040912-105")</f>
        <v>https://zfin.org/ZDB-GENE-040912-105</v>
      </c>
      <c r="J2832" t="s">
        <v>3870</v>
      </c>
    </row>
    <row r="2833" spans="1:10" x14ac:dyDescent="0.2">
      <c r="A2833">
        <v>5.11207993410798E-22</v>
      </c>
      <c r="B2833">
        <v>0.45935273087950701</v>
      </c>
      <c r="C2833">
        <v>0.311</v>
      </c>
      <c r="D2833">
        <v>7.6999999999999999E-2</v>
      </c>
      <c r="E2833">
        <v>7.1047686924232693E-18</v>
      </c>
      <c r="F2833">
        <v>5</v>
      </c>
      <c r="G2833" t="s">
        <v>3721</v>
      </c>
      <c r="H2833" t="s">
        <v>3722</v>
      </c>
      <c r="I2833" t="str">
        <f>HYPERLINK("https://zfin.org/ZDB-GENE-040718-47")</f>
        <v>https://zfin.org/ZDB-GENE-040718-47</v>
      </c>
      <c r="J2833" t="s">
        <v>3723</v>
      </c>
    </row>
    <row r="2834" spans="1:10" x14ac:dyDescent="0.2">
      <c r="A2834">
        <v>5.5706039423233104E-22</v>
      </c>
      <c r="B2834">
        <v>0.63490678122814503</v>
      </c>
      <c r="C2834">
        <v>0.81100000000000005</v>
      </c>
      <c r="D2834">
        <v>0.51700000000000002</v>
      </c>
      <c r="E2834">
        <v>7.7420253590409393E-18</v>
      </c>
      <c r="F2834">
        <v>5</v>
      </c>
      <c r="G2834" t="s">
        <v>3378</v>
      </c>
      <c r="H2834" t="s">
        <v>3379</v>
      </c>
      <c r="I2834" t="str">
        <f>HYPERLINK("https://zfin.org/ZDB-GENE-030131-433")</f>
        <v>https://zfin.org/ZDB-GENE-030131-433</v>
      </c>
      <c r="J2834" t="s">
        <v>3380</v>
      </c>
    </row>
    <row r="2835" spans="1:10" x14ac:dyDescent="0.2">
      <c r="A2835">
        <v>5.7038868016581497E-22</v>
      </c>
      <c r="B2835">
        <v>0.47652176845427702</v>
      </c>
      <c r="C2835">
        <v>0.27700000000000002</v>
      </c>
      <c r="D2835">
        <v>6.3E-2</v>
      </c>
      <c r="E2835">
        <v>7.9272618769445006E-18</v>
      </c>
      <c r="F2835">
        <v>5</v>
      </c>
      <c r="G2835" t="s">
        <v>5883</v>
      </c>
      <c r="H2835" t="s">
        <v>5884</v>
      </c>
      <c r="I2835" t="str">
        <f>HYPERLINK("https://zfin.org/ZDB-GENE-030909-6")</f>
        <v>https://zfin.org/ZDB-GENE-030909-6</v>
      </c>
      <c r="J2835" t="s">
        <v>5885</v>
      </c>
    </row>
    <row r="2836" spans="1:10" x14ac:dyDescent="0.2">
      <c r="A2836">
        <v>8.3288131398590699E-22</v>
      </c>
      <c r="B2836">
        <v>0.71144667201019995</v>
      </c>
      <c r="C2836">
        <v>0.93200000000000005</v>
      </c>
      <c r="D2836">
        <v>0.72699999999999998</v>
      </c>
      <c r="E2836">
        <v>1.15753845017761E-17</v>
      </c>
      <c r="F2836">
        <v>5</v>
      </c>
      <c r="G2836" t="s">
        <v>2786</v>
      </c>
      <c r="H2836" t="s">
        <v>2787</v>
      </c>
      <c r="I2836" t="str">
        <f>HYPERLINK("https://zfin.org/ZDB-GENE-050417-329")</f>
        <v>https://zfin.org/ZDB-GENE-050417-329</v>
      </c>
      <c r="J2836" t="s">
        <v>2788</v>
      </c>
    </row>
    <row r="2837" spans="1:10" x14ac:dyDescent="0.2">
      <c r="A2837">
        <v>1.5447294460126299E-21</v>
      </c>
      <c r="B2837">
        <v>0.39926620240917898</v>
      </c>
      <c r="C2837">
        <v>1</v>
      </c>
      <c r="D2837">
        <v>0.93799999999999994</v>
      </c>
      <c r="E2837">
        <v>2.1468649840683501E-17</v>
      </c>
      <c r="F2837">
        <v>5</v>
      </c>
      <c r="G2837" t="s">
        <v>1863</v>
      </c>
      <c r="H2837" t="s">
        <v>1864</v>
      </c>
      <c r="I2837" t="str">
        <f>HYPERLINK("https://zfin.org/ZDB-GENE-030131-9184")</f>
        <v>https://zfin.org/ZDB-GENE-030131-9184</v>
      </c>
      <c r="J2837" t="s">
        <v>1865</v>
      </c>
    </row>
    <row r="2838" spans="1:10" x14ac:dyDescent="0.2">
      <c r="A2838">
        <v>2.5164011953283502E-21</v>
      </c>
      <c r="B2838">
        <v>0.598080520581588</v>
      </c>
      <c r="C2838">
        <v>0.79700000000000004</v>
      </c>
      <c r="D2838">
        <v>0.47699999999999998</v>
      </c>
      <c r="E2838">
        <v>3.4972943812673499E-17</v>
      </c>
      <c r="F2838">
        <v>5</v>
      </c>
      <c r="G2838" t="s">
        <v>3053</v>
      </c>
      <c r="H2838" t="s">
        <v>3054</v>
      </c>
      <c r="I2838" t="str">
        <f>HYPERLINK("https://zfin.org/ZDB-GENE-040914-10")</f>
        <v>https://zfin.org/ZDB-GENE-040914-10</v>
      </c>
      <c r="J2838" t="s">
        <v>3055</v>
      </c>
    </row>
    <row r="2839" spans="1:10" x14ac:dyDescent="0.2">
      <c r="A2839">
        <v>2.9902853150910801E-21</v>
      </c>
      <c r="B2839">
        <v>0.284401888142231</v>
      </c>
      <c r="C2839">
        <v>1</v>
      </c>
      <c r="D2839">
        <v>0.999</v>
      </c>
      <c r="E2839">
        <v>4.15589853091358E-17</v>
      </c>
      <c r="F2839">
        <v>5</v>
      </c>
      <c r="G2839" t="s">
        <v>1746</v>
      </c>
      <c r="H2839" t="s">
        <v>1747</v>
      </c>
      <c r="I2839" t="str">
        <f>HYPERLINK("https://zfin.org/ZDB-GENE-070928-31")</f>
        <v>https://zfin.org/ZDB-GENE-070928-31</v>
      </c>
      <c r="J2839" t="s">
        <v>1748</v>
      </c>
    </row>
    <row r="2840" spans="1:10" x14ac:dyDescent="0.2">
      <c r="A2840">
        <v>3.1944959462988499E-21</v>
      </c>
      <c r="B2840">
        <v>0.32890996210800499</v>
      </c>
      <c r="C2840">
        <v>0.216</v>
      </c>
      <c r="D2840">
        <v>4.1000000000000002E-2</v>
      </c>
      <c r="E2840">
        <v>4.4397104661661497E-17</v>
      </c>
      <c r="F2840">
        <v>5</v>
      </c>
      <c r="G2840" t="s">
        <v>3832</v>
      </c>
      <c r="H2840" t="s">
        <v>3833</v>
      </c>
      <c r="I2840" t="str">
        <f>HYPERLINK("https://zfin.org/ZDB-GENE-040912-20")</f>
        <v>https://zfin.org/ZDB-GENE-040912-20</v>
      </c>
      <c r="J2840" t="s">
        <v>3834</v>
      </c>
    </row>
    <row r="2841" spans="1:10" x14ac:dyDescent="0.2">
      <c r="A2841">
        <v>3.3576034831118E-21</v>
      </c>
      <c r="B2841">
        <v>0.56816143783626205</v>
      </c>
      <c r="C2841">
        <v>0.75700000000000001</v>
      </c>
      <c r="D2841">
        <v>0.36899999999999999</v>
      </c>
      <c r="E2841">
        <v>4.6663973208287801E-17</v>
      </c>
      <c r="F2841">
        <v>5</v>
      </c>
      <c r="G2841" t="s">
        <v>3106</v>
      </c>
      <c r="H2841" t="s">
        <v>3107</v>
      </c>
      <c r="I2841" t="str">
        <f>HYPERLINK("https://zfin.org/ZDB-GENE-040426-2548")</f>
        <v>https://zfin.org/ZDB-GENE-040426-2548</v>
      </c>
      <c r="J2841" t="s">
        <v>3108</v>
      </c>
    </row>
    <row r="2842" spans="1:10" x14ac:dyDescent="0.2">
      <c r="A2842">
        <v>4.0399464187063303E-21</v>
      </c>
      <c r="B2842">
        <v>0.63754025845325002</v>
      </c>
      <c r="C2842">
        <v>0.49299999999999999</v>
      </c>
      <c r="D2842">
        <v>0.18</v>
      </c>
      <c r="E2842">
        <v>5.6147175327180505E-17</v>
      </c>
      <c r="F2842">
        <v>5</v>
      </c>
      <c r="G2842" t="s">
        <v>5886</v>
      </c>
      <c r="H2842" t="s">
        <v>5887</v>
      </c>
      <c r="I2842" t="str">
        <f>HYPERLINK("https://zfin.org/ZDB-GENE-040718-426")</f>
        <v>https://zfin.org/ZDB-GENE-040718-426</v>
      </c>
      <c r="J2842" t="s">
        <v>5888</v>
      </c>
    </row>
    <row r="2843" spans="1:10" x14ac:dyDescent="0.2">
      <c r="A2843">
        <v>7.3382400131420607E-21</v>
      </c>
      <c r="B2843">
        <v>0.43531358938658299</v>
      </c>
      <c r="C2843">
        <v>0.19600000000000001</v>
      </c>
      <c r="D2843">
        <v>3.5000000000000003E-2</v>
      </c>
      <c r="E2843">
        <v>1.01986859702648E-16</v>
      </c>
      <c r="F2843">
        <v>5</v>
      </c>
      <c r="G2843" t="s">
        <v>4806</v>
      </c>
      <c r="H2843" t="s">
        <v>4807</v>
      </c>
      <c r="I2843" t="str">
        <f>HYPERLINK("https://zfin.org/ZDB-GENE-060130-180")</f>
        <v>https://zfin.org/ZDB-GENE-060130-180</v>
      </c>
      <c r="J2843" t="s">
        <v>4808</v>
      </c>
    </row>
    <row r="2844" spans="1:10" x14ac:dyDescent="0.2">
      <c r="A2844">
        <v>7.6259180023684499E-21</v>
      </c>
      <c r="B2844">
        <v>0.42264855043923999</v>
      </c>
      <c r="C2844">
        <v>0.28399999999999997</v>
      </c>
      <c r="D2844">
        <v>6.8000000000000005E-2</v>
      </c>
      <c r="E2844">
        <v>1.05985008396917E-16</v>
      </c>
      <c r="F2844">
        <v>5</v>
      </c>
      <c r="G2844" t="s">
        <v>5889</v>
      </c>
      <c r="H2844" t="s">
        <v>5890</v>
      </c>
      <c r="I2844" t="str">
        <f>HYPERLINK("https://zfin.org/ZDB-GENE-100716-4")</f>
        <v>https://zfin.org/ZDB-GENE-100716-4</v>
      </c>
      <c r="J2844" t="s">
        <v>5891</v>
      </c>
    </row>
    <row r="2845" spans="1:10" x14ac:dyDescent="0.2">
      <c r="A2845">
        <v>8.30135409825954E-21</v>
      </c>
      <c r="B2845">
        <v>0.30201084764365899</v>
      </c>
      <c r="C2845">
        <v>0.17599999999999999</v>
      </c>
      <c r="D2845">
        <v>2.8000000000000001E-2</v>
      </c>
      <c r="E2845">
        <v>1.15372219257611E-16</v>
      </c>
      <c r="F2845">
        <v>5</v>
      </c>
      <c r="G2845" t="s">
        <v>5892</v>
      </c>
      <c r="H2845" t="s">
        <v>5893</v>
      </c>
      <c r="I2845" t="str">
        <f>HYPERLINK("https://zfin.org/ZDB-GENE-050522-499")</f>
        <v>https://zfin.org/ZDB-GENE-050522-499</v>
      </c>
      <c r="J2845" t="s">
        <v>5894</v>
      </c>
    </row>
    <row r="2846" spans="1:10" x14ac:dyDescent="0.2">
      <c r="A2846">
        <v>9.2917411150358904E-21</v>
      </c>
      <c r="B2846">
        <v>0.54494920574527606</v>
      </c>
      <c r="C2846">
        <v>0.47299999999999998</v>
      </c>
      <c r="D2846">
        <v>0.16400000000000001</v>
      </c>
      <c r="E2846">
        <v>1.2913661801676901E-16</v>
      </c>
      <c r="F2846">
        <v>5</v>
      </c>
      <c r="G2846" t="s">
        <v>5895</v>
      </c>
      <c r="H2846" t="s">
        <v>5896</v>
      </c>
      <c r="I2846" t="str">
        <f>HYPERLINK("https://zfin.org/ZDB-GENE-040426-1936")</f>
        <v>https://zfin.org/ZDB-GENE-040426-1936</v>
      </c>
      <c r="J2846" t="s">
        <v>5897</v>
      </c>
    </row>
    <row r="2847" spans="1:10" x14ac:dyDescent="0.2">
      <c r="A2847">
        <v>9.4507280519438996E-21</v>
      </c>
      <c r="B2847">
        <v>0.39168010274392201</v>
      </c>
      <c r="C2847">
        <v>1</v>
      </c>
      <c r="D2847">
        <v>0.95599999999999996</v>
      </c>
      <c r="E2847">
        <v>1.31346218465916E-16</v>
      </c>
      <c r="F2847">
        <v>5</v>
      </c>
      <c r="G2847" t="s">
        <v>2033</v>
      </c>
      <c r="H2847" t="s">
        <v>2034</v>
      </c>
      <c r="I2847" t="str">
        <f>HYPERLINK("https://zfin.org/ZDB-GENE-030131-8657")</f>
        <v>https://zfin.org/ZDB-GENE-030131-8657</v>
      </c>
      <c r="J2847" t="s">
        <v>2035</v>
      </c>
    </row>
    <row r="2848" spans="1:10" x14ac:dyDescent="0.2">
      <c r="A2848">
        <v>1.2307926689986499E-20</v>
      </c>
      <c r="B2848">
        <v>0.34377415101783498</v>
      </c>
      <c r="C2848">
        <v>0.26400000000000001</v>
      </c>
      <c r="D2848">
        <v>5.8999999999999997E-2</v>
      </c>
      <c r="E2848">
        <v>1.71055565137433E-16</v>
      </c>
      <c r="F2848">
        <v>5</v>
      </c>
      <c r="G2848" t="s">
        <v>4464</v>
      </c>
      <c r="H2848" t="s">
        <v>4465</v>
      </c>
      <c r="I2848" t="str">
        <f>HYPERLINK("https://zfin.org/ZDB-GENE-040905-4")</f>
        <v>https://zfin.org/ZDB-GENE-040905-4</v>
      </c>
      <c r="J2848" t="s">
        <v>4466</v>
      </c>
    </row>
    <row r="2849" spans="1:10" x14ac:dyDescent="0.2">
      <c r="A2849">
        <v>1.5679907611438499E-20</v>
      </c>
      <c r="B2849">
        <v>0.42050776547200103</v>
      </c>
      <c r="C2849">
        <v>0.372</v>
      </c>
      <c r="D2849">
        <v>0.107</v>
      </c>
      <c r="E2849">
        <v>2.1791935598377201E-16</v>
      </c>
      <c r="F2849">
        <v>5</v>
      </c>
      <c r="G2849" t="s">
        <v>5898</v>
      </c>
      <c r="H2849" t="s">
        <v>5899</v>
      </c>
      <c r="I2849" t="str">
        <f>HYPERLINK("https://zfin.org/ZDB-GENE-050417-142")</f>
        <v>https://zfin.org/ZDB-GENE-050417-142</v>
      </c>
      <c r="J2849" t="s">
        <v>5900</v>
      </c>
    </row>
    <row r="2850" spans="1:10" x14ac:dyDescent="0.2">
      <c r="A2850">
        <v>1.56875020023616E-20</v>
      </c>
      <c r="B2850">
        <v>0.40064060419020803</v>
      </c>
      <c r="C2850">
        <v>1</v>
      </c>
      <c r="D2850">
        <v>0.92100000000000004</v>
      </c>
      <c r="E2850">
        <v>2.18024902828822E-16</v>
      </c>
      <c r="F2850">
        <v>5</v>
      </c>
      <c r="G2850" t="s">
        <v>2346</v>
      </c>
      <c r="H2850" t="s">
        <v>2347</v>
      </c>
      <c r="I2850" t="str">
        <f>HYPERLINK("https://zfin.org/ZDB-GENE-040426-2701")</f>
        <v>https://zfin.org/ZDB-GENE-040426-2701</v>
      </c>
      <c r="J2850" t="s">
        <v>2348</v>
      </c>
    </row>
    <row r="2851" spans="1:10" x14ac:dyDescent="0.2">
      <c r="A2851">
        <v>1.6404673508690301E-20</v>
      </c>
      <c r="B2851">
        <v>0.55071366118610998</v>
      </c>
      <c r="C2851">
        <v>0.66900000000000004</v>
      </c>
      <c r="D2851">
        <v>0.29299999999999998</v>
      </c>
      <c r="E2851">
        <v>2.27992152423777E-16</v>
      </c>
      <c r="F2851">
        <v>5</v>
      </c>
      <c r="G2851" t="s">
        <v>3357</v>
      </c>
      <c r="H2851" t="s">
        <v>3358</v>
      </c>
      <c r="I2851" t="str">
        <f>HYPERLINK("https://zfin.org/ZDB-GENE-030131-693")</f>
        <v>https://zfin.org/ZDB-GENE-030131-693</v>
      </c>
      <c r="J2851" t="s">
        <v>3359</v>
      </c>
    </row>
    <row r="2852" spans="1:10" x14ac:dyDescent="0.2">
      <c r="A2852">
        <v>1.9698720328052899E-20</v>
      </c>
      <c r="B2852">
        <v>0.353796471737089</v>
      </c>
      <c r="C2852">
        <v>1</v>
      </c>
      <c r="D2852">
        <v>0.98499999999999999</v>
      </c>
      <c r="E2852">
        <v>2.7377281511927902E-16</v>
      </c>
      <c r="F2852">
        <v>5</v>
      </c>
      <c r="G2852" t="s">
        <v>2193</v>
      </c>
      <c r="H2852" t="s">
        <v>2194</v>
      </c>
      <c r="I2852" t="str">
        <f>HYPERLINK("https://zfin.org/ZDB-GENE-040426-1718")</f>
        <v>https://zfin.org/ZDB-GENE-040426-1718</v>
      </c>
      <c r="J2852" t="s">
        <v>2195</v>
      </c>
    </row>
    <row r="2853" spans="1:10" x14ac:dyDescent="0.2">
      <c r="A2853">
        <v>2.04672202895903E-20</v>
      </c>
      <c r="B2853">
        <v>0.34130888339625698</v>
      </c>
      <c r="C2853">
        <v>1</v>
      </c>
      <c r="D2853">
        <v>0.97099999999999997</v>
      </c>
      <c r="E2853">
        <v>2.8445342758472701E-16</v>
      </c>
      <c r="F2853">
        <v>5</v>
      </c>
      <c r="G2853" t="s">
        <v>1818</v>
      </c>
      <c r="H2853" t="s">
        <v>1819</v>
      </c>
      <c r="I2853" t="str">
        <f>HYPERLINK("https://zfin.org/ZDB-GENE-040625-52")</f>
        <v>https://zfin.org/ZDB-GENE-040625-52</v>
      </c>
      <c r="J2853" t="s">
        <v>1820</v>
      </c>
    </row>
    <row r="2854" spans="1:10" x14ac:dyDescent="0.2">
      <c r="A2854">
        <v>2.2157337459340999E-20</v>
      </c>
      <c r="B2854">
        <v>0.68997530317292199</v>
      </c>
      <c r="C2854">
        <v>0.94599999999999995</v>
      </c>
      <c r="D2854">
        <v>0.746</v>
      </c>
      <c r="E2854">
        <v>3.0794267600992102E-16</v>
      </c>
      <c r="F2854">
        <v>5</v>
      </c>
      <c r="G2854" t="s">
        <v>2565</v>
      </c>
      <c r="H2854" t="s">
        <v>2566</v>
      </c>
      <c r="I2854" t="str">
        <f>HYPERLINK("https://zfin.org/ZDB-GENE-040912-122")</f>
        <v>https://zfin.org/ZDB-GENE-040912-122</v>
      </c>
      <c r="J2854" t="s">
        <v>2567</v>
      </c>
    </row>
    <row r="2855" spans="1:10" x14ac:dyDescent="0.2">
      <c r="A2855">
        <v>2.4403325990575001E-20</v>
      </c>
      <c r="B2855">
        <v>0.45693136500708798</v>
      </c>
      <c r="C2855">
        <v>1</v>
      </c>
      <c r="D2855">
        <v>0.88</v>
      </c>
      <c r="E2855">
        <v>3.3915742461701098E-16</v>
      </c>
      <c r="F2855">
        <v>5</v>
      </c>
      <c r="G2855" t="s">
        <v>2355</v>
      </c>
      <c r="H2855" t="s">
        <v>2356</v>
      </c>
      <c r="I2855" t="str">
        <f>HYPERLINK("https://zfin.org/ZDB-GENE-040426-1788")</f>
        <v>https://zfin.org/ZDB-GENE-040426-1788</v>
      </c>
      <c r="J2855" t="s">
        <v>2357</v>
      </c>
    </row>
    <row r="2856" spans="1:10" x14ac:dyDescent="0.2">
      <c r="A2856">
        <v>2.6485991761339899E-20</v>
      </c>
      <c r="B2856">
        <v>-0.87486234260900797</v>
      </c>
      <c r="C2856">
        <v>0.66200000000000003</v>
      </c>
      <c r="D2856">
        <v>0.80800000000000005</v>
      </c>
      <c r="E2856">
        <v>3.6810231349910302E-16</v>
      </c>
      <c r="F2856">
        <v>5</v>
      </c>
      <c r="G2856" t="s">
        <v>1227</v>
      </c>
      <c r="H2856" t="s">
        <v>1228</v>
      </c>
      <c r="I2856" t="str">
        <f>HYPERLINK("https://zfin.org/ZDB-GENE-060316-3")</f>
        <v>https://zfin.org/ZDB-GENE-060316-3</v>
      </c>
      <c r="J2856" t="s">
        <v>1229</v>
      </c>
    </row>
    <row r="2857" spans="1:10" x14ac:dyDescent="0.2">
      <c r="A2857">
        <v>2.8703716390732602E-20</v>
      </c>
      <c r="B2857">
        <v>0.57777835990877302</v>
      </c>
      <c r="C2857">
        <v>0.74299999999999999</v>
      </c>
      <c r="D2857">
        <v>0.36299999999999999</v>
      </c>
      <c r="E2857">
        <v>3.9892425039840198E-16</v>
      </c>
      <c r="F2857">
        <v>5</v>
      </c>
      <c r="G2857" t="s">
        <v>1347</v>
      </c>
      <c r="H2857" t="s">
        <v>1348</v>
      </c>
      <c r="I2857" t="str">
        <f>HYPERLINK("https://zfin.org/ZDB-GENE-040912-91")</f>
        <v>https://zfin.org/ZDB-GENE-040912-91</v>
      </c>
      <c r="J2857" t="s">
        <v>1349</v>
      </c>
    </row>
    <row r="2858" spans="1:10" x14ac:dyDescent="0.2">
      <c r="A2858">
        <v>3.1898620711310001E-20</v>
      </c>
      <c r="B2858">
        <v>0.49368713824369498</v>
      </c>
      <c r="C2858">
        <v>0.378</v>
      </c>
      <c r="D2858">
        <v>0.114</v>
      </c>
      <c r="E2858">
        <v>4.4332703064578598E-16</v>
      </c>
      <c r="F2858">
        <v>5</v>
      </c>
      <c r="G2858" t="s">
        <v>5901</v>
      </c>
      <c r="H2858" t="s">
        <v>5902</v>
      </c>
      <c r="I2858" t="str">
        <f>HYPERLINK("https://zfin.org/ZDB-GENE-090313-76")</f>
        <v>https://zfin.org/ZDB-GENE-090313-76</v>
      </c>
      <c r="J2858" t="s">
        <v>5903</v>
      </c>
    </row>
    <row r="2859" spans="1:10" x14ac:dyDescent="0.2">
      <c r="A2859">
        <v>3.8488260218795799E-20</v>
      </c>
      <c r="B2859">
        <v>0.51916550701490805</v>
      </c>
      <c r="C2859">
        <v>0.378</v>
      </c>
      <c r="D2859">
        <v>0.11700000000000001</v>
      </c>
      <c r="E2859">
        <v>5.3490984052082399E-16</v>
      </c>
      <c r="F2859">
        <v>5</v>
      </c>
      <c r="G2859" t="s">
        <v>5904</v>
      </c>
      <c r="H2859" t="s">
        <v>5905</v>
      </c>
      <c r="I2859" t="str">
        <f>HYPERLINK("https://zfin.org/ZDB-GENE-020419-28")</f>
        <v>https://zfin.org/ZDB-GENE-020419-28</v>
      </c>
      <c r="J2859" t="s">
        <v>5906</v>
      </c>
    </row>
    <row r="2860" spans="1:10" x14ac:dyDescent="0.2">
      <c r="A2860">
        <v>3.9892303233958699E-20</v>
      </c>
      <c r="B2860">
        <v>0.32336266796004498</v>
      </c>
      <c r="C2860">
        <v>0.25700000000000001</v>
      </c>
      <c r="D2860">
        <v>5.7000000000000002E-2</v>
      </c>
      <c r="E2860">
        <v>5.5442323034555801E-16</v>
      </c>
      <c r="F2860">
        <v>5</v>
      </c>
      <c r="G2860" t="s">
        <v>5907</v>
      </c>
      <c r="H2860" t="s">
        <v>5908</v>
      </c>
      <c r="I2860" t="str">
        <f>HYPERLINK("https://zfin.org/ZDB-GENE-990415-46")</f>
        <v>https://zfin.org/ZDB-GENE-990415-46</v>
      </c>
      <c r="J2860" t="s">
        <v>5909</v>
      </c>
    </row>
    <row r="2861" spans="1:10" x14ac:dyDescent="0.2">
      <c r="A2861">
        <v>4.25236764439477E-20</v>
      </c>
      <c r="B2861">
        <v>0.36985786709753499</v>
      </c>
      <c r="C2861">
        <v>1</v>
      </c>
      <c r="D2861">
        <v>0.96599999999999997</v>
      </c>
      <c r="E2861">
        <v>5.9099405521798497E-16</v>
      </c>
      <c r="F2861">
        <v>5</v>
      </c>
      <c r="G2861" t="s">
        <v>2286</v>
      </c>
      <c r="H2861" t="s">
        <v>2287</v>
      </c>
      <c r="I2861" t="str">
        <f>HYPERLINK("https://zfin.org/ZDB-GENE-040622-5")</f>
        <v>https://zfin.org/ZDB-GENE-040622-5</v>
      </c>
      <c r="J2861" t="s">
        <v>2288</v>
      </c>
    </row>
    <row r="2862" spans="1:10" x14ac:dyDescent="0.2">
      <c r="A2862">
        <v>4.31200034393994E-20</v>
      </c>
      <c r="B2862">
        <v>-1.2365360985012299</v>
      </c>
      <c r="C2862">
        <v>0.318</v>
      </c>
      <c r="D2862">
        <v>0.61499999999999999</v>
      </c>
      <c r="E2862">
        <v>5.9928180780077197E-16</v>
      </c>
      <c r="F2862">
        <v>5</v>
      </c>
      <c r="G2862" t="s">
        <v>2039</v>
      </c>
      <c r="H2862" t="s">
        <v>2040</v>
      </c>
      <c r="I2862" t="str">
        <f>HYPERLINK("https://zfin.org/ZDB-GENE-050308-1")</f>
        <v>https://zfin.org/ZDB-GENE-050308-1</v>
      </c>
      <c r="J2862" t="s">
        <v>2041</v>
      </c>
    </row>
    <row r="2863" spans="1:10" x14ac:dyDescent="0.2">
      <c r="A2863">
        <v>5.0567519833006399E-20</v>
      </c>
      <c r="B2863">
        <v>0.32556143037408702</v>
      </c>
      <c r="C2863">
        <v>1</v>
      </c>
      <c r="D2863">
        <v>0.98099999999999998</v>
      </c>
      <c r="E2863">
        <v>7.0278739063912199E-16</v>
      </c>
      <c r="F2863">
        <v>5</v>
      </c>
      <c r="G2863" t="s">
        <v>1459</v>
      </c>
      <c r="H2863" t="s">
        <v>1460</v>
      </c>
      <c r="I2863" t="str">
        <f>HYPERLINK("https://zfin.org/ZDB-GENE-020419-25")</f>
        <v>https://zfin.org/ZDB-GENE-020419-25</v>
      </c>
      <c r="J2863" t="s">
        <v>1461</v>
      </c>
    </row>
    <row r="2864" spans="1:10" x14ac:dyDescent="0.2">
      <c r="A2864">
        <v>5.3410794852740401E-20</v>
      </c>
      <c r="B2864">
        <v>0.63969512433978004</v>
      </c>
      <c r="C2864">
        <v>0.53400000000000003</v>
      </c>
      <c r="D2864">
        <v>0.21299999999999999</v>
      </c>
      <c r="E2864">
        <v>7.4230322686338596E-16</v>
      </c>
      <c r="F2864">
        <v>5</v>
      </c>
      <c r="G2864" t="s">
        <v>5910</v>
      </c>
      <c r="H2864" t="s">
        <v>5911</v>
      </c>
      <c r="I2864" t="str">
        <f>HYPERLINK("https://zfin.org/ZDB-GENE-031113-19")</f>
        <v>https://zfin.org/ZDB-GENE-031113-19</v>
      </c>
      <c r="J2864" t="s">
        <v>5912</v>
      </c>
    </row>
    <row r="2865" spans="1:10" x14ac:dyDescent="0.2">
      <c r="A2865">
        <v>6.97113369776361E-20</v>
      </c>
      <c r="B2865">
        <v>0.55513563138157096</v>
      </c>
      <c r="C2865">
        <v>0.70899999999999996</v>
      </c>
      <c r="D2865">
        <v>0.34</v>
      </c>
      <c r="E2865">
        <v>9.6884816131518702E-16</v>
      </c>
      <c r="F2865">
        <v>5</v>
      </c>
      <c r="G2865" t="s">
        <v>3082</v>
      </c>
      <c r="H2865" t="s">
        <v>3083</v>
      </c>
      <c r="I2865" t="str">
        <f>HYPERLINK("https://zfin.org/ZDB-GENE-040426-1421")</f>
        <v>https://zfin.org/ZDB-GENE-040426-1421</v>
      </c>
      <c r="J2865" t="s">
        <v>3084</v>
      </c>
    </row>
    <row r="2866" spans="1:10" x14ac:dyDescent="0.2">
      <c r="A2866">
        <v>7.3000220299257703E-20</v>
      </c>
      <c r="B2866">
        <v>0.57175731849794398</v>
      </c>
      <c r="C2866">
        <v>0.55400000000000005</v>
      </c>
      <c r="D2866">
        <v>0.23</v>
      </c>
      <c r="E2866">
        <v>1.01455706171908E-15</v>
      </c>
      <c r="F2866">
        <v>5</v>
      </c>
      <c r="G2866" t="s">
        <v>3198</v>
      </c>
      <c r="H2866" t="s">
        <v>3199</v>
      </c>
      <c r="I2866" t="str">
        <f>HYPERLINK("https://zfin.org/ZDB-GENE-131121-445")</f>
        <v>https://zfin.org/ZDB-GENE-131121-445</v>
      </c>
      <c r="J2866" t="s">
        <v>3200</v>
      </c>
    </row>
    <row r="2867" spans="1:10" x14ac:dyDescent="0.2">
      <c r="A2867">
        <v>8.1996276067631294E-20</v>
      </c>
      <c r="B2867">
        <v>0.40987483585638201</v>
      </c>
      <c r="C2867">
        <v>0.26400000000000001</v>
      </c>
      <c r="D2867">
        <v>6.2E-2</v>
      </c>
      <c r="E2867">
        <v>1.1395842447879401E-15</v>
      </c>
      <c r="F2867">
        <v>5</v>
      </c>
      <c r="G2867" t="s">
        <v>5913</v>
      </c>
      <c r="H2867" t="s">
        <v>5914</v>
      </c>
      <c r="I2867" t="str">
        <f>HYPERLINK("https://zfin.org/ZDB-GENE-040718-474")</f>
        <v>https://zfin.org/ZDB-GENE-040718-474</v>
      </c>
      <c r="J2867" t="s">
        <v>5915</v>
      </c>
    </row>
    <row r="2868" spans="1:10" x14ac:dyDescent="0.2">
      <c r="A2868">
        <v>9.4770844305563405E-20</v>
      </c>
      <c r="B2868">
        <v>0.51383799640350303</v>
      </c>
      <c r="C2868">
        <v>0.80400000000000005</v>
      </c>
      <c r="D2868">
        <v>0.43099999999999999</v>
      </c>
      <c r="E2868">
        <v>1.3171251941587199E-15</v>
      </c>
      <c r="F2868">
        <v>5</v>
      </c>
      <c r="G2868" t="s">
        <v>4425</v>
      </c>
      <c r="H2868" t="s">
        <v>4426</v>
      </c>
      <c r="I2868" t="str">
        <f>HYPERLINK("https://zfin.org/ZDB-GENE-030131-3085")</f>
        <v>https://zfin.org/ZDB-GENE-030131-3085</v>
      </c>
      <c r="J2868" t="s">
        <v>4427</v>
      </c>
    </row>
    <row r="2869" spans="1:10" x14ac:dyDescent="0.2">
      <c r="A2869">
        <v>1.04303410523025E-19</v>
      </c>
      <c r="B2869">
        <v>0.47500478481152097</v>
      </c>
      <c r="C2869">
        <v>0.33800000000000002</v>
      </c>
      <c r="D2869">
        <v>9.7000000000000003E-2</v>
      </c>
      <c r="E2869">
        <v>1.4496087994489999E-15</v>
      </c>
      <c r="F2869">
        <v>5</v>
      </c>
      <c r="G2869" t="s">
        <v>5916</v>
      </c>
      <c r="H2869" t="s">
        <v>5917</v>
      </c>
      <c r="I2869" t="str">
        <f>HYPERLINK("https://zfin.org/ZDB-GENE-050522-362")</f>
        <v>https://zfin.org/ZDB-GENE-050522-362</v>
      </c>
      <c r="J2869" t="s">
        <v>5918</v>
      </c>
    </row>
    <row r="2870" spans="1:10" x14ac:dyDescent="0.2">
      <c r="A2870">
        <v>1.05156065746657E-19</v>
      </c>
      <c r="B2870">
        <v>0.28112841606961397</v>
      </c>
      <c r="C2870">
        <v>0.17599999999999999</v>
      </c>
      <c r="D2870">
        <v>0.03</v>
      </c>
      <c r="E2870">
        <v>1.46145900174704E-15</v>
      </c>
      <c r="F2870">
        <v>5</v>
      </c>
      <c r="G2870" t="s">
        <v>5919</v>
      </c>
      <c r="H2870" t="s">
        <v>5920</v>
      </c>
      <c r="I2870" t="str">
        <f>HYPERLINK("https://zfin.org/ZDB-GENE-040426-785")</f>
        <v>https://zfin.org/ZDB-GENE-040426-785</v>
      </c>
      <c r="J2870" t="s">
        <v>5921</v>
      </c>
    </row>
    <row r="2871" spans="1:10" x14ac:dyDescent="0.2">
      <c r="A2871">
        <v>1.07523837129503E-19</v>
      </c>
      <c r="B2871">
        <v>0.30928474216505503</v>
      </c>
      <c r="C2871">
        <v>0.182</v>
      </c>
      <c r="D2871">
        <v>3.2000000000000001E-2</v>
      </c>
      <c r="E2871">
        <v>1.49436628842583E-15</v>
      </c>
      <c r="F2871">
        <v>5</v>
      </c>
      <c r="G2871" t="s">
        <v>5368</v>
      </c>
      <c r="H2871" t="s">
        <v>5369</v>
      </c>
      <c r="I2871" t="str">
        <f>HYPERLINK("https://zfin.org/ZDB-GENE-040721-1")</f>
        <v>https://zfin.org/ZDB-GENE-040721-1</v>
      </c>
      <c r="J2871" t="s">
        <v>5370</v>
      </c>
    </row>
    <row r="2872" spans="1:10" x14ac:dyDescent="0.2">
      <c r="A2872">
        <v>1.1015750510963499E-19</v>
      </c>
      <c r="B2872">
        <v>0.47136316299792402</v>
      </c>
      <c r="C2872">
        <v>0.41199999999999998</v>
      </c>
      <c r="D2872">
        <v>0.13100000000000001</v>
      </c>
      <c r="E2872">
        <v>1.53096900601371E-15</v>
      </c>
      <c r="F2872">
        <v>5</v>
      </c>
      <c r="G2872" t="s">
        <v>5733</v>
      </c>
      <c r="H2872" t="s">
        <v>5734</v>
      </c>
      <c r="I2872" t="str">
        <f>HYPERLINK("https://zfin.org/ZDB-GENE-031118-9")</f>
        <v>https://zfin.org/ZDB-GENE-031118-9</v>
      </c>
      <c r="J2872" t="s">
        <v>5735</v>
      </c>
    </row>
    <row r="2873" spans="1:10" x14ac:dyDescent="0.2">
      <c r="A2873">
        <v>1.13823464933908E-19</v>
      </c>
      <c r="B2873">
        <v>0.42555117924929098</v>
      </c>
      <c r="C2873">
        <v>0.32400000000000001</v>
      </c>
      <c r="D2873">
        <v>8.8999999999999996E-2</v>
      </c>
      <c r="E2873">
        <v>1.58191851565146E-15</v>
      </c>
      <c r="F2873">
        <v>5</v>
      </c>
      <c r="G2873" t="s">
        <v>5922</v>
      </c>
      <c r="H2873" t="s">
        <v>5923</v>
      </c>
      <c r="I2873" t="str">
        <f>HYPERLINK("https://zfin.org/ZDB-GENE-030131-9837")</f>
        <v>https://zfin.org/ZDB-GENE-030131-9837</v>
      </c>
      <c r="J2873" t="s">
        <v>5924</v>
      </c>
    </row>
    <row r="2874" spans="1:10" x14ac:dyDescent="0.2">
      <c r="A2874">
        <v>1.42828979550724E-19</v>
      </c>
      <c r="B2874">
        <v>0.36463606108379398</v>
      </c>
      <c r="C2874">
        <v>0.29099999999999998</v>
      </c>
      <c r="D2874">
        <v>7.2999999999999995E-2</v>
      </c>
      <c r="E2874">
        <v>1.9850371577959598E-15</v>
      </c>
      <c r="F2874">
        <v>5</v>
      </c>
      <c r="G2874" t="s">
        <v>5925</v>
      </c>
      <c r="H2874" t="s">
        <v>5926</v>
      </c>
      <c r="I2874" t="str">
        <f>HYPERLINK("https://zfin.org/ZDB-GENE-021231-2")</f>
        <v>https://zfin.org/ZDB-GENE-021231-2</v>
      </c>
      <c r="J2874" t="s">
        <v>5927</v>
      </c>
    </row>
    <row r="2875" spans="1:10" x14ac:dyDescent="0.2">
      <c r="A2875">
        <v>1.4812004236217501E-19</v>
      </c>
      <c r="B2875">
        <v>0.384399291523013</v>
      </c>
      <c r="C2875">
        <v>0.19600000000000001</v>
      </c>
      <c r="D2875">
        <v>3.7999999999999999E-2</v>
      </c>
      <c r="E2875">
        <v>2.0585723487494999E-15</v>
      </c>
      <c r="F2875">
        <v>5</v>
      </c>
      <c r="G2875" t="s">
        <v>5928</v>
      </c>
      <c r="H2875" t="s">
        <v>5929</v>
      </c>
      <c r="I2875" t="str">
        <f>HYPERLINK("https://zfin.org/ZDB-GENE-010130-2")</f>
        <v>https://zfin.org/ZDB-GENE-010130-2</v>
      </c>
      <c r="J2875" t="s">
        <v>5930</v>
      </c>
    </row>
    <row r="2876" spans="1:10" x14ac:dyDescent="0.2">
      <c r="A2876">
        <v>1.5588109897924301E-19</v>
      </c>
      <c r="B2876">
        <v>0.52015092549430897</v>
      </c>
      <c r="C2876">
        <v>0.60799999999999998</v>
      </c>
      <c r="D2876">
        <v>0.245</v>
      </c>
      <c r="E2876">
        <v>2.1664355136135199E-15</v>
      </c>
      <c r="F2876">
        <v>5</v>
      </c>
      <c r="G2876" t="s">
        <v>3073</v>
      </c>
      <c r="H2876" t="s">
        <v>3074</v>
      </c>
      <c r="I2876" t="str">
        <f>HYPERLINK("https://zfin.org/ZDB-GENE-030131-1921")</f>
        <v>https://zfin.org/ZDB-GENE-030131-1921</v>
      </c>
      <c r="J2876" t="s">
        <v>3075</v>
      </c>
    </row>
    <row r="2877" spans="1:10" x14ac:dyDescent="0.2">
      <c r="A2877">
        <v>2.1088404620130201E-19</v>
      </c>
      <c r="B2877">
        <v>-0.77576630407829605</v>
      </c>
      <c r="C2877">
        <v>0.67600000000000005</v>
      </c>
      <c r="D2877">
        <v>0.81499999999999995</v>
      </c>
      <c r="E2877">
        <v>2.9308664741057E-15</v>
      </c>
      <c r="F2877">
        <v>5</v>
      </c>
      <c r="G2877" t="s">
        <v>1341</v>
      </c>
      <c r="H2877" t="s">
        <v>1342</v>
      </c>
      <c r="I2877" t="str">
        <f>HYPERLINK("https://zfin.org/ZDB-GENE-011210-2")</f>
        <v>https://zfin.org/ZDB-GENE-011210-2</v>
      </c>
      <c r="J2877" t="s">
        <v>1343</v>
      </c>
    </row>
    <row r="2878" spans="1:10" x14ac:dyDescent="0.2">
      <c r="A2878">
        <v>2.57765895389103E-19</v>
      </c>
      <c r="B2878">
        <v>0.426785527741874</v>
      </c>
      <c r="C2878">
        <v>0.28399999999999997</v>
      </c>
      <c r="D2878">
        <v>7.1999999999999995E-2</v>
      </c>
      <c r="E2878">
        <v>3.5824304141177498E-15</v>
      </c>
      <c r="F2878">
        <v>5</v>
      </c>
      <c r="G2878" t="s">
        <v>5931</v>
      </c>
      <c r="H2878" t="s">
        <v>5932</v>
      </c>
      <c r="I2878" t="str">
        <f>HYPERLINK("https://zfin.org/ZDB-GENE-060929-1206")</f>
        <v>https://zfin.org/ZDB-GENE-060929-1206</v>
      </c>
      <c r="J2878" t="s">
        <v>5933</v>
      </c>
    </row>
    <row r="2879" spans="1:10" x14ac:dyDescent="0.2">
      <c r="A2879">
        <v>2.6157580612066899E-19</v>
      </c>
      <c r="B2879">
        <v>0.54968873001926599</v>
      </c>
      <c r="C2879">
        <v>0.91200000000000003</v>
      </c>
      <c r="D2879">
        <v>0.64200000000000002</v>
      </c>
      <c r="E2879">
        <v>3.6353805534650599E-15</v>
      </c>
      <c r="F2879">
        <v>5</v>
      </c>
      <c r="G2879" t="s">
        <v>2855</v>
      </c>
      <c r="H2879" t="s">
        <v>2856</v>
      </c>
      <c r="I2879" t="str">
        <f>HYPERLINK("https://zfin.org/ZDB-GENE-061027-176")</f>
        <v>https://zfin.org/ZDB-GENE-061027-176</v>
      </c>
      <c r="J2879" t="s">
        <v>2857</v>
      </c>
    </row>
    <row r="2880" spans="1:10" x14ac:dyDescent="0.2">
      <c r="A2880">
        <v>3.08377948341297E-19</v>
      </c>
      <c r="B2880">
        <v>0.55290173491805905</v>
      </c>
      <c r="C2880">
        <v>0.82399999999999995</v>
      </c>
      <c r="D2880">
        <v>0.46100000000000002</v>
      </c>
      <c r="E2880">
        <v>4.2858367260473399E-15</v>
      </c>
      <c r="F2880">
        <v>5</v>
      </c>
      <c r="G2880" t="s">
        <v>3044</v>
      </c>
      <c r="H2880" t="s">
        <v>3045</v>
      </c>
      <c r="I2880" t="str">
        <f>HYPERLINK("https://zfin.org/ZDB-GENE-040426-1819")</f>
        <v>https://zfin.org/ZDB-GENE-040426-1819</v>
      </c>
      <c r="J2880" t="s">
        <v>3046</v>
      </c>
    </row>
    <row r="2881" spans="1:10" x14ac:dyDescent="0.2">
      <c r="A2881">
        <v>3.14826759213498E-19</v>
      </c>
      <c r="B2881">
        <v>-0.79641741473563099</v>
      </c>
      <c r="C2881">
        <v>0.70899999999999996</v>
      </c>
      <c r="D2881">
        <v>0.84399999999999997</v>
      </c>
      <c r="E2881">
        <v>4.3754622995491998E-15</v>
      </c>
      <c r="F2881">
        <v>5</v>
      </c>
      <c r="G2881" t="s">
        <v>1275</v>
      </c>
      <c r="H2881" t="s">
        <v>1276</v>
      </c>
      <c r="I2881" t="str">
        <f>HYPERLINK("https://zfin.org/ZDB-GENE-050522-73")</f>
        <v>https://zfin.org/ZDB-GENE-050522-73</v>
      </c>
      <c r="J2881" t="s">
        <v>1277</v>
      </c>
    </row>
    <row r="2882" spans="1:10" x14ac:dyDescent="0.2">
      <c r="A2882">
        <v>3.1740899548202698E-19</v>
      </c>
      <c r="B2882">
        <v>0.31587031163475199</v>
      </c>
      <c r="C2882">
        <v>0.29099999999999998</v>
      </c>
      <c r="D2882">
        <v>7.2999999999999995E-2</v>
      </c>
      <c r="E2882">
        <v>4.4113502192092199E-15</v>
      </c>
      <c r="F2882">
        <v>5</v>
      </c>
      <c r="G2882" t="s">
        <v>5934</v>
      </c>
      <c r="H2882" t="s">
        <v>5935</v>
      </c>
      <c r="I2882" t="str">
        <f>HYPERLINK("https://zfin.org/ZDB-GENE-030131-223")</f>
        <v>https://zfin.org/ZDB-GENE-030131-223</v>
      </c>
      <c r="J2882" t="s">
        <v>5936</v>
      </c>
    </row>
    <row r="2883" spans="1:10" x14ac:dyDescent="0.2">
      <c r="A2883">
        <v>3.4535653112027701E-19</v>
      </c>
      <c r="B2883">
        <v>0.335477575629126</v>
      </c>
      <c r="C2883">
        <v>1</v>
      </c>
      <c r="D2883">
        <v>0.97399999999999998</v>
      </c>
      <c r="E2883">
        <v>4.7997650695096003E-15</v>
      </c>
      <c r="F2883">
        <v>5</v>
      </c>
      <c r="G2883" t="s">
        <v>1982</v>
      </c>
      <c r="H2883" t="s">
        <v>1983</v>
      </c>
      <c r="I2883" t="str">
        <f>HYPERLINK("https://zfin.org/ZDB-GENE-030131-8756")</f>
        <v>https://zfin.org/ZDB-GENE-030131-8756</v>
      </c>
      <c r="J2883" t="s">
        <v>1984</v>
      </c>
    </row>
    <row r="2884" spans="1:10" x14ac:dyDescent="0.2">
      <c r="A2884">
        <v>3.5287882163223301E-19</v>
      </c>
      <c r="B2884">
        <v>0.76172538886111696</v>
      </c>
      <c r="C2884">
        <v>0.61499999999999999</v>
      </c>
      <c r="D2884">
        <v>0.28699999999999998</v>
      </c>
      <c r="E2884">
        <v>4.9043098630447698E-15</v>
      </c>
      <c r="F2884">
        <v>5</v>
      </c>
      <c r="G2884" t="s">
        <v>2963</v>
      </c>
      <c r="H2884" t="s">
        <v>2964</v>
      </c>
      <c r="I2884" t="str">
        <f>HYPERLINK("https://zfin.org/ZDB-GENE-980526-521")</f>
        <v>https://zfin.org/ZDB-GENE-980526-521</v>
      </c>
      <c r="J2884" t="s">
        <v>2965</v>
      </c>
    </row>
    <row r="2885" spans="1:10" x14ac:dyDescent="0.2">
      <c r="A2885">
        <v>3.5331939341506599E-19</v>
      </c>
      <c r="B2885">
        <v>0.27760601640225202</v>
      </c>
      <c r="C2885">
        <v>0.14199999999999999</v>
      </c>
      <c r="D2885">
        <v>0.02</v>
      </c>
      <c r="E2885">
        <v>4.9104329296825804E-15</v>
      </c>
      <c r="F2885">
        <v>5</v>
      </c>
      <c r="G2885" t="s">
        <v>5727</v>
      </c>
      <c r="H2885" t="s">
        <v>5728</v>
      </c>
      <c r="I2885" t="str">
        <f>HYPERLINK("https://zfin.org/ZDB-GENE-060429-1")</f>
        <v>https://zfin.org/ZDB-GENE-060429-1</v>
      </c>
      <c r="J2885" t="s">
        <v>5729</v>
      </c>
    </row>
    <row r="2886" spans="1:10" x14ac:dyDescent="0.2">
      <c r="A2886">
        <v>4.19816125759071E-19</v>
      </c>
      <c r="B2886">
        <v>0.28063299516447598</v>
      </c>
      <c r="C2886">
        <v>0.216</v>
      </c>
      <c r="D2886">
        <v>4.3999999999999997E-2</v>
      </c>
      <c r="E2886">
        <v>5.8346045157995702E-15</v>
      </c>
      <c r="F2886">
        <v>5</v>
      </c>
      <c r="G2886" t="s">
        <v>5937</v>
      </c>
      <c r="H2886" t="s">
        <v>5938</v>
      </c>
      <c r="I2886" t="str">
        <f>HYPERLINK("https://zfin.org/ZDB-GENE-041007-3")</f>
        <v>https://zfin.org/ZDB-GENE-041007-3</v>
      </c>
      <c r="J2886" t="s">
        <v>5939</v>
      </c>
    </row>
    <row r="2887" spans="1:10" x14ac:dyDescent="0.2">
      <c r="A2887">
        <v>4.2665857656070701E-19</v>
      </c>
      <c r="B2887">
        <v>0.61376102859464099</v>
      </c>
      <c r="C2887">
        <v>0.57399999999999995</v>
      </c>
      <c r="D2887">
        <v>0.25</v>
      </c>
      <c r="E2887">
        <v>5.9297008970407097E-15</v>
      </c>
      <c r="F2887">
        <v>5</v>
      </c>
      <c r="G2887" t="s">
        <v>3853</v>
      </c>
      <c r="H2887" t="s">
        <v>3854</v>
      </c>
      <c r="I2887" t="str">
        <f>HYPERLINK("https://zfin.org/ZDB-GENE-030131-461")</f>
        <v>https://zfin.org/ZDB-GENE-030131-461</v>
      </c>
      <c r="J2887" t="s">
        <v>3855</v>
      </c>
    </row>
    <row r="2888" spans="1:10" x14ac:dyDescent="0.2">
      <c r="A2888">
        <v>4.4995236641991003E-19</v>
      </c>
      <c r="B2888">
        <v>-0.40647523813924802</v>
      </c>
      <c r="C2888">
        <v>1</v>
      </c>
      <c r="D2888">
        <v>0.99399999999999999</v>
      </c>
      <c r="E2888">
        <v>6.2534379885038997E-15</v>
      </c>
      <c r="F2888">
        <v>5</v>
      </c>
      <c r="G2888" t="s">
        <v>849</v>
      </c>
      <c r="H2888" t="s">
        <v>850</v>
      </c>
      <c r="I2888" t="str">
        <f>HYPERLINK("https://zfin.org/ZDB-GENE-040426-2209")</f>
        <v>https://zfin.org/ZDB-GENE-040426-2209</v>
      </c>
      <c r="J2888" t="s">
        <v>851</v>
      </c>
    </row>
    <row r="2889" spans="1:10" x14ac:dyDescent="0.2">
      <c r="A2889">
        <v>6.9565019837858201E-19</v>
      </c>
      <c r="B2889">
        <v>0.41005141238440201</v>
      </c>
      <c r="C2889">
        <v>0.41899999999999998</v>
      </c>
      <c r="D2889">
        <v>0.13900000000000001</v>
      </c>
      <c r="E2889">
        <v>9.6681464570655295E-15</v>
      </c>
      <c r="F2889">
        <v>5</v>
      </c>
      <c r="G2889" t="s">
        <v>4830</v>
      </c>
      <c r="H2889" t="s">
        <v>4831</v>
      </c>
      <c r="I2889" t="str">
        <f>HYPERLINK("https://zfin.org/ZDB-GENE-991110-19")</f>
        <v>https://zfin.org/ZDB-GENE-991110-19</v>
      </c>
      <c r="J2889" t="s">
        <v>4832</v>
      </c>
    </row>
    <row r="2890" spans="1:10" x14ac:dyDescent="0.2">
      <c r="A2890">
        <v>7.4456504153917803E-19</v>
      </c>
      <c r="B2890">
        <v>0.52972982048433803</v>
      </c>
      <c r="C2890">
        <v>0.318</v>
      </c>
      <c r="D2890">
        <v>0.09</v>
      </c>
      <c r="E2890">
        <v>1.0347964947311501E-14</v>
      </c>
      <c r="F2890">
        <v>5</v>
      </c>
      <c r="G2890" t="s">
        <v>5515</v>
      </c>
      <c r="H2890" t="s">
        <v>5516</v>
      </c>
      <c r="I2890" t="str">
        <f>HYPERLINK("https://zfin.org/ZDB-GENE-040824-3")</f>
        <v>https://zfin.org/ZDB-GENE-040824-3</v>
      </c>
      <c r="J2890" t="s">
        <v>5517</v>
      </c>
    </row>
    <row r="2891" spans="1:10" x14ac:dyDescent="0.2">
      <c r="A2891">
        <v>9.2343350564443791E-19</v>
      </c>
      <c r="B2891">
        <v>0.25032262397535698</v>
      </c>
      <c r="C2891">
        <v>0.16900000000000001</v>
      </c>
      <c r="D2891">
        <v>2.9000000000000001E-2</v>
      </c>
      <c r="E2891">
        <v>1.28338788614464E-14</v>
      </c>
      <c r="F2891">
        <v>5</v>
      </c>
      <c r="G2891" t="s">
        <v>5204</v>
      </c>
      <c r="H2891" t="s">
        <v>5205</v>
      </c>
      <c r="I2891" t="str">
        <f>HYPERLINK("https://zfin.org/ZDB-GENE-030131-235")</f>
        <v>https://zfin.org/ZDB-GENE-030131-235</v>
      </c>
      <c r="J2891" t="s">
        <v>5206</v>
      </c>
    </row>
    <row r="2892" spans="1:10" x14ac:dyDescent="0.2">
      <c r="A2892">
        <v>9.4820913887030909E-19</v>
      </c>
      <c r="B2892">
        <v>0.38217506765836501</v>
      </c>
      <c r="C2892">
        <v>0.182</v>
      </c>
      <c r="D2892">
        <v>3.4000000000000002E-2</v>
      </c>
      <c r="E2892">
        <v>1.31782106120196E-14</v>
      </c>
      <c r="F2892">
        <v>5</v>
      </c>
      <c r="G2892" t="s">
        <v>5300</v>
      </c>
      <c r="H2892" t="s">
        <v>5301</v>
      </c>
      <c r="I2892" t="str">
        <f>HYPERLINK("https://zfin.org/ZDB-GENE-080723-52")</f>
        <v>https://zfin.org/ZDB-GENE-080723-52</v>
      </c>
      <c r="J2892" t="s">
        <v>5302</v>
      </c>
    </row>
    <row r="2893" spans="1:10" x14ac:dyDescent="0.2">
      <c r="A2893">
        <v>9.9732456023486596E-19</v>
      </c>
      <c r="B2893">
        <v>0.33914788726624201</v>
      </c>
      <c r="C2893">
        <v>0.98599999999999999</v>
      </c>
      <c r="D2893">
        <v>0.96599999999999997</v>
      </c>
      <c r="E2893">
        <v>1.38608167381442E-14</v>
      </c>
      <c r="F2893">
        <v>5</v>
      </c>
      <c r="G2893" t="s">
        <v>1749</v>
      </c>
      <c r="H2893" t="s">
        <v>1750</v>
      </c>
      <c r="I2893" t="str">
        <f>HYPERLINK("https://zfin.org/ZDB-GENE-040927-19")</f>
        <v>https://zfin.org/ZDB-GENE-040927-19</v>
      </c>
      <c r="J2893" t="s">
        <v>1751</v>
      </c>
    </row>
    <row r="2894" spans="1:10" x14ac:dyDescent="0.2">
      <c r="A2894">
        <v>1.3145061250387801E-18</v>
      </c>
      <c r="B2894">
        <v>0.38167037314233399</v>
      </c>
      <c r="C2894">
        <v>0.98599999999999999</v>
      </c>
      <c r="D2894">
        <v>0.93200000000000005</v>
      </c>
      <c r="E2894">
        <v>1.8269006125788999E-14</v>
      </c>
      <c r="F2894">
        <v>5</v>
      </c>
      <c r="G2894" t="s">
        <v>2271</v>
      </c>
      <c r="H2894" t="s">
        <v>2272</v>
      </c>
      <c r="I2894" t="str">
        <f>HYPERLINK("https://zfin.org/ZDB-GENE-030131-8585")</f>
        <v>https://zfin.org/ZDB-GENE-030131-8585</v>
      </c>
      <c r="J2894" t="s">
        <v>2273</v>
      </c>
    </row>
    <row r="2895" spans="1:10" x14ac:dyDescent="0.2">
      <c r="A2895">
        <v>1.49981145401505E-18</v>
      </c>
      <c r="B2895">
        <v>0.33057177934066101</v>
      </c>
      <c r="C2895">
        <v>0.99299999999999999</v>
      </c>
      <c r="D2895">
        <v>0.96899999999999997</v>
      </c>
      <c r="E2895">
        <v>2.0844379587901101E-14</v>
      </c>
      <c r="F2895">
        <v>5</v>
      </c>
      <c r="G2895" t="s">
        <v>1635</v>
      </c>
      <c r="H2895" t="s">
        <v>1636</v>
      </c>
      <c r="I2895" t="str">
        <f>HYPERLINK("https://zfin.org/ZDB-GENE-040426-1102")</f>
        <v>https://zfin.org/ZDB-GENE-040426-1102</v>
      </c>
      <c r="J2895" t="s">
        <v>1637</v>
      </c>
    </row>
    <row r="2896" spans="1:10" x14ac:dyDescent="0.2">
      <c r="A2896">
        <v>1.53877731027545E-18</v>
      </c>
      <c r="B2896">
        <v>-0.89040558979253803</v>
      </c>
      <c r="C2896">
        <v>0.54700000000000004</v>
      </c>
      <c r="D2896">
        <v>0.72599999999999998</v>
      </c>
      <c r="E2896">
        <v>2.1385927058208199E-14</v>
      </c>
      <c r="F2896">
        <v>5</v>
      </c>
      <c r="G2896" t="s">
        <v>1719</v>
      </c>
      <c r="H2896" t="s">
        <v>1720</v>
      </c>
      <c r="I2896" t="str">
        <f>HYPERLINK("https://zfin.org/ZDB-GENE-030131-2524")</f>
        <v>https://zfin.org/ZDB-GENE-030131-2524</v>
      </c>
      <c r="J2896" t="s">
        <v>1721</v>
      </c>
    </row>
    <row r="2897" spans="1:10" x14ac:dyDescent="0.2">
      <c r="A2897">
        <v>1.7542639159162801E-18</v>
      </c>
      <c r="B2897">
        <v>-0.59988926639492701</v>
      </c>
      <c r="C2897">
        <v>0.89200000000000002</v>
      </c>
      <c r="D2897">
        <v>0.91700000000000004</v>
      </c>
      <c r="E2897">
        <v>2.43807599034044E-14</v>
      </c>
      <c r="F2897">
        <v>5</v>
      </c>
      <c r="G2897" t="s">
        <v>1743</v>
      </c>
      <c r="H2897" t="s">
        <v>1744</v>
      </c>
      <c r="I2897" t="str">
        <f>HYPERLINK("https://zfin.org/ZDB-GENE-050208-726")</f>
        <v>https://zfin.org/ZDB-GENE-050208-726</v>
      </c>
      <c r="J2897" t="s">
        <v>1745</v>
      </c>
    </row>
    <row r="2898" spans="1:10" x14ac:dyDescent="0.2">
      <c r="A2898">
        <v>1.7850082553403002E-18</v>
      </c>
      <c r="B2898">
        <v>0.38368845328766699</v>
      </c>
      <c r="C2898">
        <v>0.16200000000000001</v>
      </c>
      <c r="D2898">
        <v>2.8000000000000001E-2</v>
      </c>
      <c r="E2898">
        <v>2.48080447327194E-14</v>
      </c>
      <c r="F2898">
        <v>5</v>
      </c>
      <c r="G2898" t="s">
        <v>3456</v>
      </c>
      <c r="H2898" t="s">
        <v>3457</v>
      </c>
      <c r="I2898" t="str">
        <f>HYPERLINK("https://zfin.org/ZDB-GENE-020228-2")</f>
        <v>https://zfin.org/ZDB-GENE-020228-2</v>
      </c>
      <c r="J2898" t="s">
        <v>3458</v>
      </c>
    </row>
    <row r="2899" spans="1:10" x14ac:dyDescent="0.2">
      <c r="A2899">
        <v>1.9407351753219598E-18</v>
      </c>
      <c r="B2899">
        <v>0.54912774192749503</v>
      </c>
      <c r="C2899">
        <v>0.61499999999999999</v>
      </c>
      <c r="D2899">
        <v>0.27100000000000002</v>
      </c>
      <c r="E2899">
        <v>2.6972337466624601E-14</v>
      </c>
      <c r="F2899">
        <v>5</v>
      </c>
      <c r="G2899" t="s">
        <v>3291</v>
      </c>
      <c r="H2899" t="s">
        <v>3292</v>
      </c>
      <c r="I2899" t="str">
        <f>HYPERLINK("https://zfin.org/ZDB-GENE-050522-30")</f>
        <v>https://zfin.org/ZDB-GENE-050522-30</v>
      </c>
      <c r="J2899" t="s">
        <v>3293</v>
      </c>
    </row>
    <row r="2900" spans="1:10" x14ac:dyDescent="0.2">
      <c r="A2900">
        <v>2.4170178902789398E-18</v>
      </c>
      <c r="B2900">
        <v>0.50258368318232005</v>
      </c>
      <c r="C2900">
        <v>0.35799999999999998</v>
      </c>
      <c r="D2900">
        <v>0.112</v>
      </c>
      <c r="E2900">
        <v>3.3591714639096703E-14</v>
      </c>
      <c r="F2900">
        <v>5</v>
      </c>
      <c r="G2900" t="s">
        <v>5940</v>
      </c>
      <c r="H2900" t="s">
        <v>5941</v>
      </c>
      <c r="I2900" t="str">
        <f>HYPERLINK("https://zfin.org/ZDB-GENE-030912-3")</f>
        <v>https://zfin.org/ZDB-GENE-030912-3</v>
      </c>
      <c r="J2900" t="s">
        <v>5942</v>
      </c>
    </row>
    <row r="2901" spans="1:10" x14ac:dyDescent="0.2">
      <c r="A2901">
        <v>2.69227127306948E-18</v>
      </c>
      <c r="B2901">
        <v>0.46302344612855201</v>
      </c>
      <c r="C2901">
        <v>0.36499999999999999</v>
      </c>
      <c r="D2901">
        <v>0.112</v>
      </c>
      <c r="E2901">
        <v>3.7417186153119601E-14</v>
      </c>
      <c r="F2901">
        <v>5</v>
      </c>
      <c r="G2901" t="s">
        <v>3951</v>
      </c>
      <c r="H2901" t="s">
        <v>3952</v>
      </c>
      <c r="I2901" t="str">
        <f>HYPERLINK("https://zfin.org/ZDB-GENE-070912-179")</f>
        <v>https://zfin.org/ZDB-GENE-070912-179</v>
      </c>
      <c r="J2901" t="s">
        <v>3953</v>
      </c>
    </row>
    <row r="2902" spans="1:10" x14ac:dyDescent="0.2">
      <c r="A2902">
        <v>2.9511802241469001E-18</v>
      </c>
      <c r="B2902">
        <v>0.438275372212238</v>
      </c>
      <c r="C2902">
        <v>0.56799999999999995</v>
      </c>
      <c r="D2902">
        <v>0.22800000000000001</v>
      </c>
      <c r="E2902">
        <v>4.1015502755193698E-14</v>
      </c>
      <c r="F2902">
        <v>5</v>
      </c>
      <c r="G2902" t="s">
        <v>4596</v>
      </c>
      <c r="H2902" t="s">
        <v>4597</v>
      </c>
      <c r="I2902" t="str">
        <f>HYPERLINK("https://zfin.org/ZDB-GENE-030131-283")</f>
        <v>https://zfin.org/ZDB-GENE-030131-283</v>
      </c>
      <c r="J2902" t="s">
        <v>4598</v>
      </c>
    </row>
    <row r="2903" spans="1:10" x14ac:dyDescent="0.2">
      <c r="A2903">
        <v>3.4329053206441301E-18</v>
      </c>
      <c r="B2903">
        <v>0.44158648619292901</v>
      </c>
      <c r="C2903">
        <v>0.48599999999999999</v>
      </c>
      <c r="D2903">
        <v>0.18</v>
      </c>
      <c r="E2903">
        <v>4.7710518146312198E-14</v>
      </c>
      <c r="F2903">
        <v>5</v>
      </c>
      <c r="G2903" t="s">
        <v>5943</v>
      </c>
      <c r="H2903" t="s">
        <v>5944</v>
      </c>
      <c r="I2903" t="str">
        <f>HYPERLINK("https://zfin.org/ZDB-GENE-050417-187")</f>
        <v>https://zfin.org/ZDB-GENE-050417-187</v>
      </c>
      <c r="J2903" t="s">
        <v>5945</v>
      </c>
    </row>
    <row r="2904" spans="1:10" x14ac:dyDescent="0.2">
      <c r="A2904">
        <v>3.5121906390667202E-18</v>
      </c>
      <c r="B2904">
        <v>0.40467466427808901</v>
      </c>
      <c r="C2904">
        <v>0.34499999999999997</v>
      </c>
      <c r="D2904">
        <v>0.10299999999999999</v>
      </c>
      <c r="E2904">
        <v>4.8812425501749199E-14</v>
      </c>
      <c r="F2904">
        <v>5</v>
      </c>
      <c r="G2904" t="s">
        <v>5946</v>
      </c>
      <c r="H2904" t="s">
        <v>5947</v>
      </c>
      <c r="I2904" t="str">
        <f>HYPERLINK("https://zfin.org/ZDB-GENE-030131-616")</f>
        <v>https://zfin.org/ZDB-GENE-030131-616</v>
      </c>
      <c r="J2904" t="s">
        <v>5948</v>
      </c>
    </row>
    <row r="2905" spans="1:10" x14ac:dyDescent="0.2">
      <c r="A2905">
        <v>3.5368585679291903E-18</v>
      </c>
      <c r="B2905">
        <v>0.373651310935607</v>
      </c>
      <c r="C2905">
        <v>0.23599999999999999</v>
      </c>
      <c r="D2905">
        <v>5.3999999999999999E-2</v>
      </c>
      <c r="E2905">
        <v>4.9155260377079902E-14</v>
      </c>
      <c r="F2905">
        <v>5</v>
      </c>
      <c r="G2905" t="s">
        <v>5949</v>
      </c>
      <c r="H2905" t="s">
        <v>5950</v>
      </c>
      <c r="I2905" t="str">
        <f>HYPERLINK("https://zfin.org/ZDB-GENE-020419-4")</f>
        <v>https://zfin.org/ZDB-GENE-020419-4</v>
      </c>
      <c r="J2905" t="s">
        <v>5951</v>
      </c>
    </row>
    <row r="2906" spans="1:10" x14ac:dyDescent="0.2">
      <c r="A2906">
        <v>3.6717811798963298E-18</v>
      </c>
      <c r="B2906">
        <v>0.561874261518439</v>
      </c>
      <c r="C2906">
        <v>0.628</v>
      </c>
      <c r="D2906">
        <v>0.28399999999999997</v>
      </c>
      <c r="E2906">
        <v>5.1030414838199099E-14</v>
      </c>
      <c r="F2906">
        <v>5</v>
      </c>
      <c r="G2906" t="s">
        <v>3041</v>
      </c>
      <c r="H2906" t="s">
        <v>3042</v>
      </c>
      <c r="I2906" t="str">
        <f>HYPERLINK("https://zfin.org/ZDB-GENE-040426-2140")</f>
        <v>https://zfin.org/ZDB-GENE-040426-2140</v>
      </c>
      <c r="J2906" t="s">
        <v>3043</v>
      </c>
    </row>
    <row r="2907" spans="1:10" x14ac:dyDescent="0.2">
      <c r="A2907">
        <v>4.0853805126662497E-18</v>
      </c>
      <c r="B2907">
        <v>0.31621515527399802</v>
      </c>
      <c r="C2907">
        <v>0.223</v>
      </c>
      <c r="D2907">
        <v>0.05</v>
      </c>
      <c r="E2907">
        <v>5.6778618365035597E-14</v>
      </c>
      <c r="F2907">
        <v>5</v>
      </c>
      <c r="G2907" t="s">
        <v>5952</v>
      </c>
      <c r="H2907" t="s">
        <v>5953</v>
      </c>
      <c r="I2907" t="str">
        <f>HYPERLINK("https://zfin.org/ZDB-GENE-050306-29")</f>
        <v>https://zfin.org/ZDB-GENE-050306-29</v>
      </c>
      <c r="J2907" t="s">
        <v>5954</v>
      </c>
    </row>
    <row r="2908" spans="1:10" x14ac:dyDescent="0.2">
      <c r="A2908">
        <v>5.5686995851424899E-18</v>
      </c>
      <c r="B2908">
        <v>0.57670488445862</v>
      </c>
      <c r="C2908">
        <v>0.93899999999999995</v>
      </c>
      <c r="D2908">
        <v>0.81</v>
      </c>
      <c r="E2908">
        <v>7.7393786834310399E-14</v>
      </c>
      <c r="F2908">
        <v>5</v>
      </c>
      <c r="G2908" t="s">
        <v>2583</v>
      </c>
      <c r="H2908" t="s">
        <v>2584</v>
      </c>
      <c r="I2908" t="str">
        <f>HYPERLINK("https://zfin.org/ZDB-GENE-030131-8625")</f>
        <v>https://zfin.org/ZDB-GENE-030131-8625</v>
      </c>
      <c r="J2908" t="s">
        <v>2585</v>
      </c>
    </row>
    <row r="2909" spans="1:10" x14ac:dyDescent="0.2">
      <c r="A2909">
        <v>5.92658382223733E-18</v>
      </c>
      <c r="B2909">
        <v>0.359543468899991</v>
      </c>
      <c r="C2909">
        <v>0.36499999999999999</v>
      </c>
      <c r="D2909">
        <v>0.112</v>
      </c>
      <c r="E2909">
        <v>8.2367661961454399E-14</v>
      </c>
      <c r="F2909">
        <v>5</v>
      </c>
      <c r="G2909" t="s">
        <v>5955</v>
      </c>
      <c r="H2909" t="s">
        <v>5956</v>
      </c>
      <c r="I2909" t="str">
        <f>HYPERLINK("https://zfin.org/ZDB-GENE-031125-3")</f>
        <v>https://zfin.org/ZDB-GENE-031125-3</v>
      </c>
      <c r="J2909" t="s">
        <v>5957</v>
      </c>
    </row>
    <row r="2910" spans="1:10" x14ac:dyDescent="0.2">
      <c r="A2910">
        <v>7.0781552130213505E-18</v>
      </c>
      <c r="B2910">
        <v>0.41661547477044197</v>
      </c>
      <c r="C2910">
        <v>0.33800000000000002</v>
      </c>
      <c r="D2910">
        <v>0.10100000000000001</v>
      </c>
      <c r="E2910">
        <v>9.8372201150570704E-14</v>
      </c>
      <c r="F2910">
        <v>5</v>
      </c>
      <c r="G2910" t="s">
        <v>5958</v>
      </c>
      <c r="H2910" t="s">
        <v>5959</v>
      </c>
      <c r="I2910" t="str">
        <f>HYPERLINK("https://zfin.org/ZDB-GENE-101202-2")</f>
        <v>https://zfin.org/ZDB-GENE-101202-2</v>
      </c>
      <c r="J2910" t="s">
        <v>5960</v>
      </c>
    </row>
    <row r="2911" spans="1:10" x14ac:dyDescent="0.2">
      <c r="A2911">
        <v>7.1962133370576005E-18</v>
      </c>
      <c r="B2911">
        <v>0.27070861615844799</v>
      </c>
      <c r="C2911">
        <v>0.20899999999999999</v>
      </c>
      <c r="D2911">
        <v>4.3999999999999997E-2</v>
      </c>
      <c r="E2911">
        <v>1.00012972958427E-13</v>
      </c>
      <c r="F2911">
        <v>5</v>
      </c>
      <c r="G2911" t="s">
        <v>5961</v>
      </c>
      <c r="H2911" t="s">
        <v>5962</v>
      </c>
      <c r="I2911" t="str">
        <f>HYPERLINK("https://zfin.org/ZDB-GENE-030131-3831")</f>
        <v>https://zfin.org/ZDB-GENE-030131-3831</v>
      </c>
      <c r="J2911" t="s">
        <v>5963</v>
      </c>
    </row>
    <row r="2912" spans="1:10" x14ac:dyDescent="0.2">
      <c r="A2912">
        <v>7.3168664353258998E-18</v>
      </c>
      <c r="B2912">
        <v>0.49890771570237702</v>
      </c>
      <c r="C2912">
        <v>0.48</v>
      </c>
      <c r="D2912">
        <v>0.187</v>
      </c>
      <c r="E2912">
        <v>1.01689809718159E-13</v>
      </c>
      <c r="F2912">
        <v>5</v>
      </c>
      <c r="G2912" t="s">
        <v>3142</v>
      </c>
      <c r="H2912" t="s">
        <v>3143</v>
      </c>
      <c r="I2912" t="str">
        <f>HYPERLINK("https://zfin.org/ZDB-GENE-030616-161")</f>
        <v>https://zfin.org/ZDB-GENE-030616-161</v>
      </c>
      <c r="J2912" t="s">
        <v>3144</v>
      </c>
    </row>
    <row r="2913" spans="1:10" x14ac:dyDescent="0.2">
      <c r="A2913">
        <v>7.3761149920471904E-18</v>
      </c>
      <c r="B2913">
        <v>-0.51851529134629204</v>
      </c>
      <c r="C2913">
        <v>0.92600000000000005</v>
      </c>
      <c r="D2913">
        <v>0.95199999999999996</v>
      </c>
      <c r="E2913">
        <v>1.02513246159472E-13</v>
      </c>
      <c r="F2913">
        <v>5</v>
      </c>
      <c r="G2913" t="s">
        <v>1507</v>
      </c>
      <c r="H2913" t="s">
        <v>1508</v>
      </c>
      <c r="I2913" t="str">
        <f>HYPERLINK("https://zfin.org/ZDB-GENE-040718-203")</f>
        <v>https://zfin.org/ZDB-GENE-040718-203</v>
      </c>
      <c r="J2913" t="s">
        <v>1509</v>
      </c>
    </row>
    <row r="2914" spans="1:10" x14ac:dyDescent="0.2">
      <c r="A2914">
        <v>8.0098668169638397E-18</v>
      </c>
      <c r="B2914">
        <v>0.31442253030480599</v>
      </c>
      <c r="C2914">
        <v>0.20899999999999999</v>
      </c>
      <c r="D2914">
        <v>4.4999999999999998E-2</v>
      </c>
      <c r="E2914">
        <v>1.1132112902216299E-13</v>
      </c>
      <c r="F2914">
        <v>5</v>
      </c>
      <c r="G2914" t="s">
        <v>4053</v>
      </c>
      <c r="H2914" t="s">
        <v>4054</v>
      </c>
      <c r="I2914" t="str">
        <f>HYPERLINK("https://zfin.org/ZDB-GENE-040426-1472")</f>
        <v>https://zfin.org/ZDB-GENE-040426-1472</v>
      </c>
      <c r="J2914" t="s">
        <v>4055</v>
      </c>
    </row>
    <row r="2915" spans="1:10" x14ac:dyDescent="0.2">
      <c r="A2915">
        <v>8.7108629826914102E-18</v>
      </c>
      <c r="B2915">
        <v>0.25146257737160999</v>
      </c>
      <c r="C2915">
        <v>0.108</v>
      </c>
      <c r="D2915">
        <v>1.2999999999999999E-2</v>
      </c>
      <c r="E2915">
        <v>1.21063573733445E-13</v>
      </c>
      <c r="F2915">
        <v>5</v>
      </c>
      <c r="G2915" t="s">
        <v>5964</v>
      </c>
      <c r="H2915" t="s">
        <v>5965</v>
      </c>
      <c r="I2915" t="str">
        <f>HYPERLINK("https://zfin.org/ZDB-GENE-050913-90")</f>
        <v>https://zfin.org/ZDB-GENE-050913-90</v>
      </c>
      <c r="J2915" t="s">
        <v>5966</v>
      </c>
    </row>
    <row r="2916" spans="1:10" x14ac:dyDescent="0.2">
      <c r="A2916">
        <v>8.7910626734619003E-18</v>
      </c>
      <c r="B2916">
        <v>0.37068346651741502</v>
      </c>
      <c r="C2916">
        <v>0.33800000000000002</v>
      </c>
      <c r="D2916">
        <v>9.9000000000000005E-2</v>
      </c>
      <c r="E2916">
        <v>1.22178189035774E-13</v>
      </c>
      <c r="F2916">
        <v>5</v>
      </c>
      <c r="G2916" t="s">
        <v>5967</v>
      </c>
      <c r="H2916" t="s">
        <v>5968</v>
      </c>
      <c r="I2916" t="str">
        <f>HYPERLINK("https://zfin.org/ZDB-GENE-050522-256")</f>
        <v>https://zfin.org/ZDB-GENE-050522-256</v>
      </c>
      <c r="J2916" t="s">
        <v>5969</v>
      </c>
    </row>
    <row r="2917" spans="1:10" x14ac:dyDescent="0.2">
      <c r="A2917">
        <v>1.15053272904087E-17</v>
      </c>
      <c r="B2917">
        <v>0.35204111311889102</v>
      </c>
      <c r="C2917">
        <v>0.20300000000000001</v>
      </c>
      <c r="D2917">
        <v>4.2999999999999997E-2</v>
      </c>
      <c r="E2917">
        <v>1.59901038682101E-13</v>
      </c>
      <c r="F2917">
        <v>5</v>
      </c>
      <c r="G2917" t="s">
        <v>3874</v>
      </c>
      <c r="H2917" t="s">
        <v>3875</v>
      </c>
      <c r="I2917" t="str">
        <f>HYPERLINK("https://zfin.org/ZDB-GENE-040426-2334")</f>
        <v>https://zfin.org/ZDB-GENE-040426-2334</v>
      </c>
      <c r="J2917" t="s">
        <v>3876</v>
      </c>
    </row>
    <row r="2918" spans="1:10" x14ac:dyDescent="0.2">
      <c r="A2918">
        <v>1.18084583769193E-17</v>
      </c>
      <c r="B2918">
        <v>0.33806354458584498</v>
      </c>
      <c r="C2918">
        <v>1</v>
      </c>
      <c r="D2918">
        <v>0.95099999999999996</v>
      </c>
      <c r="E2918">
        <v>1.6411395452242401E-13</v>
      </c>
      <c r="F2918">
        <v>5</v>
      </c>
      <c r="G2918" t="s">
        <v>1821</v>
      </c>
      <c r="H2918" t="s">
        <v>1822</v>
      </c>
      <c r="I2918" t="str">
        <f>HYPERLINK("https://zfin.org/ZDB-GENE-031007-1")</f>
        <v>https://zfin.org/ZDB-GENE-031007-1</v>
      </c>
      <c r="J2918" t="s">
        <v>1823</v>
      </c>
    </row>
    <row r="2919" spans="1:10" x14ac:dyDescent="0.2">
      <c r="A2919">
        <v>1.23880109608858E-17</v>
      </c>
      <c r="B2919">
        <v>0.47191300241704198</v>
      </c>
      <c r="C2919">
        <v>0.35099999999999998</v>
      </c>
      <c r="D2919">
        <v>0.109</v>
      </c>
      <c r="E2919">
        <v>1.7216857633439101E-13</v>
      </c>
      <c r="F2919">
        <v>5</v>
      </c>
      <c r="G2919" t="s">
        <v>3474</v>
      </c>
      <c r="H2919" t="s">
        <v>3475</v>
      </c>
      <c r="I2919" t="str">
        <f>HYPERLINK("https://zfin.org/ZDB-GENE-030131-5783")</f>
        <v>https://zfin.org/ZDB-GENE-030131-5783</v>
      </c>
      <c r="J2919" t="s">
        <v>3476</v>
      </c>
    </row>
    <row r="2920" spans="1:10" x14ac:dyDescent="0.2">
      <c r="A2920">
        <v>1.3267246003316299E-17</v>
      </c>
      <c r="B2920">
        <v>0.50757015236258096</v>
      </c>
      <c r="C2920">
        <v>0.75700000000000001</v>
      </c>
      <c r="D2920">
        <v>0.38300000000000001</v>
      </c>
      <c r="E2920">
        <v>1.84388184954089E-13</v>
      </c>
      <c r="F2920">
        <v>5</v>
      </c>
      <c r="G2920" t="s">
        <v>5970</v>
      </c>
      <c r="H2920" t="s">
        <v>5971</v>
      </c>
      <c r="I2920" t="str">
        <f>HYPERLINK("https://zfin.org/ZDB-GENE-040109-1")</f>
        <v>https://zfin.org/ZDB-GENE-040109-1</v>
      </c>
      <c r="J2920" t="s">
        <v>5972</v>
      </c>
    </row>
    <row r="2921" spans="1:10" x14ac:dyDescent="0.2">
      <c r="A2921">
        <v>1.3322820017353999E-17</v>
      </c>
      <c r="B2921">
        <v>0.39083064273967499</v>
      </c>
      <c r="C2921">
        <v>0.97299999999999998</v>
      </c>
      <c r="D2921">
        <v>0.85199999999999998</v>
      </c>
      <c r="E2921">
        <v>1.8516055260118599E-13</v>
      </c>
      <c r="F2921">
        <v>5</v>
      </c>
      <c r="G2921" t="s">
        <v>4467</v>
      </c>
      <c r="H2921" t="s">
        <v>4468</v>
      </c>
      <c r="I2921" t="str">
        <f>HYPERLINK("https://zfin.org/ZDB-GENE-030131-168")</f>
        <v>https://zfin.org/ZDB-GENE-030131-168</v>
      </c>
      <c r="J2921" t="s">
        <v>4469</v>
      </c>
    </row>
    <row r="2922" spans="1:10" x14ac:dyDescent="0.2">
      <c r="A2922">
        <v>1.77269695845268E-17</v>
      </c>
      <c r="B2922">
        <v>0.40119262678578999</v>
      </c>
      <c r="C2922">
        <v>0.318</v>
      </c>
      <c r="D2922">
        <v>9.5000000000000001E-2</v>
      </c>
      <c r="E2922">
        <v>2.4636942328575301E-13</v>
      </c>
      <c r="F2922">
        <v>5</v>
      </c>
      <c r="G2922" t="s">
        <v>1376</v>
      </c>
      <c r="H2922" t="s">
        <v>1377</v>
      </c>
      <c r="I2922" t="str">
        <f>HYPERLINK("https://zfin.org/ZDB-GENE-040907-1")</f>
        <v>https://zfin.org/ZDB-GENE-040907-1</v>
      </c>
      <c r="J2922" t="s">
        <v>1378</v>
      </c>
    </row>
    <row r="2923" spans="1:10" x14ac:dyDescent="0.2">
      <c r="A2923">
        <v>1.79711468897584E-17</v>
      </c>
      <c r="B2923">
        <v>-1.1106636808877799</v>
      </c>
      <c r="C2923">
        <v>0.54100000000000004</v>
      </c>
      <c r="D2923">
        <v>0.71299999999999997</v>
      </c>
      <c r="E2923">
        <v>2.49762999473863E-13</v>
      </c>
      <c r="F2923">
        <v>5</v>
      </c>
      <c r="G2923" t="s">
        <v>1689</v>
      </c>
      <c r="H2923" t="s">
        <v>1690</v>
      </c>
      <c r="I2923" t="str">
        <f>HYPERLINK("https://zfin.org/ZDB-GENE-101011-2")</f>
        <v>https://zfin.org/ZDB-GENE-101011-2</v>
      </c>
      <c r="J2923" t="s">
        <v>1691</v>
      </c>
    </row>
    <row r="2924" spans="1:10" x14ac:dyDescent="0.2">
      <c r="A2924">
        <v>1.8279325831630801E-17</v>
      </c>
      <c r="B2924">
        <v>0.31402798539084198</v>
      </c>
      <c r="C2924">
        <v>0.39200000000000002</v>
      </c>
      <c r="D2924">
        <v>0.126</v>
      </c>
      <c r="E2924">
        <v>2.54046070408005E-13</v>
      </c>
      <c r="F2924">
        <v>5</v>
      </c>
      <c r="G2924" t="s">
        <v>5973</v>
      </c>
      <c r="H2924" t="s">
        <v>5974</v>
      </c>
      <c r="I2924" t="str">
        <f>HYPERLINK("https://zfin.org/ZDB-GENE-040426-1726")</f>
        <v>https://zfin.org/ZDB-GENE-040426-1726</v>
      </c>
      <c r="J2924" t="s">
        <v>5975</v>
      </c>
    </row>
    <row r="2925" spans="1:10" x14ac:dyDescent="0.2">
      <c r="A2925">
        <v>1.9904998602432299E-17</v>
      </c>
      <c r="B2925">
        <v>0.41264337468505902</v>
      </c>
      <c r="C2925">
        <v>0.51400000000000001</v>
      </c>
      <c r="D2925">
        <v>0.19600000000000001</v>
      </c>
      <c r="E2925">
        <v>2.76639670576604E-13</v>
      </c>
      <c r="F2925">
        <v>5</v>
      </c>
      <c r="G2925" t="s">
        <v>5976</v>
      </c>
      <c r="H2925" t="s">
        <v>5977</v>
      </c>
      <c r="I2925" t="str">
        <f>HYPERLINK("https://zfin.org/ZDB-GENE-030131-6989")</f>
        <v>https://zfin.org/ZDB-GENE-030131-6989</v>
      </c>
      <c r="J2925" t="s">
        <v>5978</v>
      </c>
    </row>
    <row r="2926" spans="1:10" x14ac:dyDescent="0.2">
      <c r="A2926">
        <v>1.9947278616525699E-17</v>
      </c>
      <c r="B2926">
        <v>0.30089406589217299</v>
      </c>
      <c r="C2926">
        <v>0.223</v>
      </c>
      <c r="D2926">
        <v>5.0999999999999997E-2</v>
      </c>
      <c r="E2926">
        <v>2.7722727821247502E-13</v>
      </c>
      <c r="F2926">
        <v>5</v>
      </c>
      <c r="G2926" t="s">
        <v>5979</v>
      </c>
      <c r="H2926" t="s">
        <v>5980</v>
      </c>
      <c r="I2926" t="str">
        <f>HYPERLINK("https://zfin.org/ZDB-GENE-040426-2533")</f>
        <v>https://zfin.org/ZDB-GENE-040426-2533</v>
      </c>
      <c r="J2926" t="s">
        <v>5981</v>
      </c>
    </row>
    <row r="2927" spans="1:10" x14ac:dyDescent="0.2">
      <c r="A2927">
        <v>2.0273418316772501E-17</v>
      </c>
      <c r="B2927">
        <v>0.421742343659674</v>
      </c>
      <c r="C2927">
        <v>0.33800000000000002</v>
      </c>
      <c r="D2927">
        <v>0.104</v>
      </c>
      <c r="E2927">
        <v>2.81759967766504E-13</v>
      </c>
      <c r="F2927">
        <v>5</v>
      </c>
      <c r="G2927" t="s">
        <v>4070</v>
      </c>
      <c r="H2927" t="s">
        <v>4071</v>
      </c>
      <c r="I2927" t="str">
        <f>HYPERLINK("https://zfin.org/ZDB-GENE-040426-2761")</f>
        <v>https://zfin.org/ZDB-GENE-040426-2761</v>
      </c>
      <c r="J2927" t="s">
        <v>4072</v>
      </c>
    </row>
    <row r="2928" spans="1:10" x14ac:dyDescent="0.2">
      <c r="A2928">
        <v>2.0479464560845999E-17</v>
      </c>
      <c r="B2928">
        <v>0.49312312815707199</v>
      </c>
      <c r="C2928">
        <v>0.42599999999999999</v>
      </c>
      <c r="D2928">
        <v>0.154</v>
      </c>
      <c r="E2928">
        <v>2.8462359846663798E-13</v>
      </c>
      <c r="F2928">
        <v>5</v>
      </c>
      <c r="G2928" t="s">
        <v>5982</v>
      </c>
      <c r="H2928" t="s">
        <v>5983</v>
      </c>
      <c r="I2928" t="str">
        <f>HYPERLINK("https://zfin.org/ZDB-GENE-060518-1")</f>
        <v>https://zfin.org/ZDB-GENE-060518-1</v>
      </c>
      <c r="J2928" t="s">
        <v>5984</v>
      </c>
    </row>
    <row r="2929" spans="1:10" x14ac:dyDescent="0.2">
      <c r="A2929">
        <v>2.5585563426080601E-17</v>
      </c>
      <c r="B2929">
        <v>0.33284812906343098</v>
      </c>
      <c r="C2929">
        <v>1</v>
      </c>
      <c r="D2929">
        <v>0.98799999999999999</v>
      </c>
      <c r="E2929">
        <v>3.5558816049566802E-13</v>
      </c>
      <c r="F2929">
        <v>5</v>
      </c>
      <c r="G2929" t="s">
        <v>2126</v>
      </c>
      <c r="H2929" t="s">
        <v>2127</v>
      </c>
      <c r="I2929" t="str">
        <f>HYPERLINK("https://zfin.org/ZDB-GENE-040426-2454")</f>
        <v>https://zfin.org/ZDB-GENE-040426-2454</v>
      </c>
      <c r="J2929" t="s">
        <v>2128</v>
      </c>
    </row>
    <row r="2930" spans="1:10" x14ac:dyDescent="0.2">
      <c r="A2930">
        <v>3.5454545368411E-17</v>
      </c>
      <c r="B2930">
        <v>0.53827865176701795</v>
      </c>
      <c r="C2930">
        <v>0.40500000000000003</v>
      </c>
      <c r="D2930">
        <v>0.14799999999999999</v>
      </c>
      <c r="E2930">
        <v>4.9274727153017699E-13</v>
      </c>
      <c r="F2930">
        <v>5</v>
      </c>
      <c r="G2930" t="s">
        <v>5090</v>
      </c>
      <c r="H2930" t="s">
        <v>5091</v>
      </c>
      <c r="I2930" t="str">
        <f>HYPERLINK("https://zfin.org/ZDB-GENE-050417-290")</f>
        <v>https://zfin.org/ZDB-GENE-050417-290</v>
      </c>
      <c r="J2930" t="s">
        <v>5092</v>
      </c>
    </row>
    <row r="2931" spans="1:10" x14ac:dyDescent="0.2">
      <c r="A2931">
        <v>3.6892647459538299E-17</v>
      </c>
      <c r="B2931">
        <v>0.26061826338337502</v>
      </c>
      <c r="C2931">
        <v>0.17599999999999999</v>
      </c>
      <c r="D2931">
        <v>3.3000000000000002E-2</v>
      </c>
      <c r="E2931">
        <v>5.1273401439266302E-13</v>
      </c>
      <c r="F2931">
        <v>5</v>
      </c>
      <c r="G2931" t="s">
        <v>5985</v>
      </c>
      <c r="H2931" t="s">
        <v>5986</v>
      </c>
      <c r="I2931" t="str">
        <f>HYPERLINK("https://zfin.org/ZDB-GENE-040426-836")</f>
        <v>https://zfin.org/ZDB-GENE-040426-836</v>
      </c>
      <c r="J2931" t="s">
        <v>5987</v>
      </c>
    </row>
    <row r="2932" spans="1:10" x14ac:dyDescent="0.2">
      <c r="A2932">
        <v>4.4332145225669198E-17</v>
      </c>
      <c r="B2932">
        <v>0.52986695832141895</v>
      </c>
      <c r="C2932">
        <v>0.16200000000000001</v>
      </c>
      <c r="D2932">
        <v>0.03</v>
      </c>
      <c r="E2932">
        <v>6.1612815434635102E-13</v>
      </c>
      <c r="F2932">
        <v>5</v>
      </c>
      <c r="G2932" t="s">
        <v>3480</v>
      </c>
      <c r="H2932" t="s">
        <v>3481</v>
      </c>
      <c r="I2932" t="str">
        <f>HYPERLINK("https://zfin.org/ZDB-GENE-061215-70")</f>
        <v>https://zfin.org/ZDB-GENE-061215-70</v>
      </c>
      <c r="J2932" t="s">
        <v>3482</v>
      </c>
    </row>
    <row r="2933" spans="1:10" x14ac:dyDescent="0.2">
      <c r="A2933">
        <v>4.5263561694352702E-17</v>
      </c>
      <c r="B2933">
        <v>0.34708875725663202</v>
      </c>
      <c r="C2933">
        <v>1</v>
      </c>
      <c r="D2933">
        <v>0.94099999999999995</v>
      </c>
      <c r="E2933">
        <v>6.2907298042811303E-13</v>
      </c>
      <c r="F2933">
        <v>5</v>
      </c>
      <c r="G2933" t="s">
        <v>2367</v>
      </c>
      <c r="H2933" t="s">
        <v>2368</v>
      </c>
      <c r="I2933" t="str">
        <f>HYPERLINK("https://zfin.org/ZDB-GENE-030131-8512")</f>
        <v>https://zfin.org/ZDB-GENE-030131-8512</v>
      </c>
      <c r="J2933" t="s">
        <v>2369</v>
      </c>
    </row>
    <row r="2934" spans="1:10" x14ac:dyDescent="0.2">
      <c r="A2934">
        <v>5.3620140824660599E-17</v>
      </c>
      <c r="B2934">
        <v>0.39757691265554701</v>
      </c>
      <c r="C2934">
        <v>0.30399999999999999</v>
      </c>
      <c r="D2934">
        <v>8.7999999999999995E-2</v>
      </c>
      <c r="E2934">
        <v>7.4521271718113299E-13</v>
      </c>
      <c r="F2934">
        <v>5</v>
      </c>
      <c r="G2934" t="s">
        <v>4991</v>
      </c>
      <c r="H2934" t="s">
        <v>4992</v>
      </c>
      <c r="I2934" t="str">
        <f>HYPERLINK("https://zfin.org/ZDB-GENE-990630-13")</f>
        <v>https://zfin.org/ZDB-GENE-990630-13</v>
      </c>
      <c r="J2934" t="s">
        <v>4993</v>
      </c>
    </row>
    <row r="2935" spans="1:10" x14ac:dyDescent="0.2">
      <c r="A2935">
        <v>5.5654643038788699E-17</v>
      </c>
      <c r="B2935">
        <v>0.38748371180875202</v>
      </c>
      <c r="C2935">
        <v>0.28399999999999997</v>
      </c>
      <c r="D2935">
        <v>7.9000000000000001E-2</v>
      </c>
      <c r="E2935">
        <v>7.7348822895308499E-13</v>
      </c>
      <c r="F2935">
        <v>5</v>
      </c>
      <c r="G2935" t="s">
        <v>5721</v>
      </c>
      <c r="H2935" t="s">
        <v>5722</v>
      </c>
      <c r="I2935" t="str">
        <f>HYPERLINK("https://zfin.org/ZDB-GENE-020809-3")</f>
        <v>https://zfin.org/ZDB-GENE-020809-3</v>
      </c>
      <c r="J2935" t="s">
        <v>5723</v>
      </c>
    </row>
    <row r="2936" spans="1:10" x14ac:dyDescent="0.2">
      <c r="A2936">
        <v>5.7051053988073099E-17</v>
      </c>
      <c r="B2936">
        <v>0.58170637294250305</v>
      </c>
      <c r="C2936">
        <v>0.82399999999999995</v>
      </c>
      <c r="D2936">
        <v>0.53600000000000003</v>
      </c>
      <c r="E2936">
        <v>7.9289554832623996E-13</v>
      </c>
      <c r="F2936">
        <v>5</v>
      </c>
      <c r="G2936" t="s">
        <v>3297</v>
      </c>
      <c r="H2936" t="s">
        <v>3298</v>
      </c>
      <c r="I2936" t="str">
        <f>HYPERLINK("https://zfin.org/ZDB-GENE-030131-2221")</f>
        <v>https://zfin.org/ZDB-GENE-030131-2221</v>
      </c>
      <c r="J2936" t="s">
        <v>3299</v>
      </c>
    </row>
    <row r="2937" spans="1:10" x14ac:dyDescent="0.2">
      <c r="A2937">
        <v>5.7293019223561597E-17</v>
      </c>
      <c r="B2937">
        <v>0.46706435672962299</v>
      </c>
      <c r="C2937">
        <v>0.23599999999999999</v>
      </c>
      <c r="D2937">
        <v>5.8999999999999997E-2</v>
      </c>
      <c r="E2937">
        <v>7.9625838116905904E-13</v>
      </c>
      <c r="F2937">
        <v>5</v>
      </c>
      <c r="G2937" t="s">
        <v>4449</v>
      </c>
      <c r="H2937" t="s">
        <v>4450</v>
      </c>
      <c r="I2937" t="str">
        <f>HYPERLINK("https://zfin.org/ZDB-GENE-030826-1")</f>
        <v>https://zfin.org/ZDB-GENE-030826-1</v>
      </c>
      <c r="J2937" t="s">
        <v>4451</v>
      </c>
    </row>
    <row r="2938" spans="1:10" x14ac:dyDescent="0.2">
      <c r="A2938">
        <v>5.7681168112385899E-17</v>
      </c>
      <c r="B2938">
        <v>0.37009212912974698</v>
      </c>
      <c r="C2938">
        <v>0.35799999999999998</v>
      </c>
      <c r="D2938">
        <v>0.113</v>
      </c>
      <c r="E2938">
        <v>8.0165287442593904E-13</v>
      </c>
      <c r="F2938">
        <v>5</v>
      </c>
      <c r="G2938" t="s">
        <v>5988</v>
      </c>
      <c r="H2938" t="s">
        <v>5989</v>
      </c>
      <c r="I2938" t="str">
        <f>HYPERLINK("https://zfin.org/ZDB-GENE-040426-1287")</f>
        <v>https://zfin.org/ZDB-GENE-040426-1287</v>
      </c>
      <c r="J2938" t="s">
        <v>5990</v>
      </c>
    </row>
    <row r="2939" spans="1:10" x14ac:dyDescent="0.2">
      <c r="A2939">
        <v>6.1774161725680901E-17</v>
      </c>
      <c r="B2939">
        <v>0.50490554030847801</v>
      </c>
      <c r="C2939">
        <v>0.622</v>
      </c>
      <c r="D2939">
        <v>0.28899999999999998</v>
      </c>
      <c r="E2939">
        <v>8.5853729966351203E-13</v>
      </c>
      <c r="F2939">
        <v>5</v>
      </c>
      <c r="G2939" t="s">
        <v>3742</v>
      </c>
      <c r="H2939" t="s">
        <v>3743</v>
      </c>
      <c r="I2939" t="str">
        <f>HYPERLINK("https://zfin.org/ZDB-GENE-020419-5")</f>
        <v>https://zfin.org/ZDB-GENE-020419-5</v>
      </c>
      <c r="J2939" t="s">
        <v>3744</v>
      </c>
    </row>
    <row r="2940" spans="1:10" x14ac:dyDescent="0.2">
      <c r="A2940">
        <v>6.8552382241156398E-17</v>
      </c>
      <c r="B2940">
        <v>0.40315170992349297</v>
      </c>
      <c r="C2940">
        <v>0.98</v>
      </c>
      <c r="D2940">
        <v>0.84</v>
      </c>
      <c r="E2940">
        <v>9.5274100838759203E-13</v>
      </c>
      <c r="F2940">
        <v>5</v>
      </c>
      <c r="G2940" t="s">
        <v>2256</v>
      </c>
      <c r="H2940" t="s">
        <v>2257</v>
      </c>
      <c r="I2940" t="str">
        <f>HYPERLINK("https://zfin.org/ZDB-GENE-030131-7479")</f>
        <v>https://zfin.org/ZDB-GENE-030131-7479</v>
      </c>
      <c r="J2940" t="s">
        <v>2258</v>
      </c>
    </row>
    <row r="2941" spans="1:10" x14ac:dyDescent="0.2">
      <c r="A2941">
        <v>7.0204960844990805E-17</v>
      </c>
      <c r="B2941">
        <v>0.53231720996137799</v>
      </c>
      <c r="C2941">
        <v>0.60099999999999998</v>
      </c>
      <c r="D2941">
        <v>0.26400000000000001</v>
      </c>
      <c r="E2941">
        <v>9.7570854582368208E-13</v>
      </c>
      <c r="F2941">
        <v>5</v>
      </c>
      <c r="G2941" t="s">
        <v>4872</v>
      </c>
      <c r="H2941" t="s">
        <v>4873</v>
      </c>
      <c r="I2941" t="str">
        <f>HYPERLINK("https://zfin.org/ZDB-GENE-070820-18")</f>
        <v>https://zfin.org/ZDB-GENE-070820-18</v>
      </c>
      <c r="J2941" t="s">
        <v>4874</v>
      </c>
    </row>
    <row r="2942" spans="1:10" x14ac:dyDescent="0.2">
      <c r="A2942">
        <v>7.3220663134207795E-17</v>
      </c>
      <c r="B2942">
        <v>0.50805353124139796</v>
      </c>
      <c r="C2942">
        <v>0.628</v>
      </c>
      <c r="D2942">
        <v>0.29099999999999998</v>
      </c>
      <c r="E2942">
        <v>1.0176207762392201E-12</v>
      </c>
      <c r="F2942">
        <v>5</v>
      </c>
      <c r="G2942" t="s">
        <v>3637</v>
      </c>
      <c r="H2942" t="s">
        <v>3638</v>
      </c>
      <c r="I2942" t="str">
        <f>HYPERLINK("https://zfin.org/ZDB-GENE-990714-24")</f>
        <v>https://zfin.org/ZDB-GENE-990714-24</v>
      </c>
      <c r="J2942" t="s">
        <v>3639</v>
      </c>
    </row>
    <row r="2943" spans="1:10" x14ac:dyDescent="0.2">
      <c r="A2943">
        <v>8.0336000774404803E-17</v>
      </c>
      <c r="B2943">
        <v>0.52916572481103696</v>
      </c>
      <c r="C2943">
        <v>0.66200000000000003</v>
      </c>
      <c r="D2943">
        <v>0.32400000000000001</v>
      </c>
      <c r="E2943">
        <v>1.11650973876268E-12</v>
      </c>
      <c r="F2943">
        <v>5</v>
      </c>
      <c r="G2943" t="s">
        <v>3336</v>
      </c>
      <c r="H2943" t="s">
        <v>3337</v>
      </c>
      <c r="I2943" t="str">
        <f>HYPERLINK("https://zfin.org/ZDB-GENE-040426-1976")</f>
        <v>https://zfin.org/ZDB-GENE-040426-1976</v>
      </c>
      <c r="J2943" t="s">
        <v>3338</v>
      </c>
    </row>
    <row r="2944" spans="1:10" x14ac:dyDescent="0.2">
      <c r="A2944">
        <v>8.0541068911757497E-17</v>
      </c>
      <c r="B2944">
        <v>0.33354705357544201</v>
      </c>
      <c r="C2944">
        <v>0.27700000000000002</v>
      </c>
      <c r="D2944">
        <v>7.4999999999999997E-2</v>
      </c>
      <c r="E2944">
        <v>1.11935977573561E-12</v>
      </c>
      <c r="F2944">
        <v>5</v>
      </c>
      <c r="G2944" t="s">
        <v>5784</v>
      </c>
      <c r="H2944" t="s">
        <v>5785</v>
      </c>
      <c r="I2944" t="str">
        <f>HYPERLINK("https://zfin.org/ZDB-GENE-040718-130")</f>
        <v>https://zfin.org/ZDB-GENE-040718-130</v>
      </c>
      <c r="J2944" t="s">
        <v>5786</v>
      </c>
    </row>
    <row r="2945" spans="1:10" x14ac:dyDescent="0.2">
      <c r="A2945">
        <v>8.3604884202206799E-17</v>
      </c>
      <c r="B2945">
        <v>0.47977850581255099</v>
      </c>
      <c r="C2945">
        <v>0.56100000000000005</v>
      </c>
      <c r="D2945">
        <v>0.24199999999999999</v>
      </c>
      <c r="E2945">
        <v>1.16194068064227E-12</v>
      </c>
      <c r="F2945">
        <v>5</v>
      </c>
      <c r="G2945" t="s">
        <v>4548</v>
      </c>
      <c r="H2945" t="s">
        <v>4549</v>
      </c>
      <c r="I2945" t="str">
        <f>HYPERLINK("https://zfin.org/ZDB-GENE-030131-533")</f>
        <v>https://zfin.org/ZDB-GENE-030131-533</v>
      </c>
      <c r="J2945" t="s">
        <v>4550</v>
      </c>
    </row>
    <row r="2946" spans="1:10" x14ac:dyDescent="0.2">
      <c r="A2946">
        <v>8.7143636086202705E-17</v>
      </c>
      <c r="B2946">
        <v>0.44345512531991899</v>
      </c>
      <c r="C2946">
        <v>0.311</v>
      </c>
      <c r="D2946">
        <v>9.2999999999999999E-2</v>
      </c>
      <c r="E2946">
        <v>1.2111222543260501E-12</v>
      </c>
      <c r="F2946">
        <v>5</v>
      </c>
      <c r="G2946" t="s">
        <v>5991</v>
      </c>
      <c r="H2946" t="s">
        <v>5992</v>
      </c>
      <c r="I2946" t="str">
        <f>HYPERLINK("https://zfin.org/ZDB-GENE-040724-77")</f>
        <v>https://zfin.org/ZDB-GENE-040724-77</v>
      </c>
      <c r="J2946" t="s">
        <v>5993</v>
      </c>
    </row>
    <row r="2947" spans="1:10" x14ac:dyDescent="0.2">
      <c r="A2947">
        <v>1.2411511155810999E-16</v>
      </c>
      <c r="B2947">
        <v>0.28970035007237099</v>
      </c>
      <c r="C2947">
        <v>0.17599999999999999</v>
      </c>
      <c r="D2947">
        <v>3.5000000000000003E-2</v>
      </c>
      <c r="E2947">
        <v>1.72495182043462E-12</v>
      </c>
      <c r="F2947">
        <v>5</v>
      </c>
      <c r="G2947" t="s">
        <v>5994</v>
      </c>
      <c r="H2947" t="s">
        <v>5995</v>
      </c>
      <c r="I2947" t="str">
        <f>HYPERLINK("https://zfin.org/ZDB-GENE-040426-2286")</f>
        <v>https://zfin.org/ZDB-GENE-040426-2286</v>
      </c>
      <c r="J2947" t="s">
        <v>5996</v>
      </c>
    </row>
    <row r="2948" spans="1:10" x14ac:dyDescent="0.2">
      <c r="A2948">
        <v>1.4013695062274901E-16</v>
      </c>
      <c r="B2948">
        <v>0.50849566159043302</v>
      </c>
      <c r="C2948">
        <v>0.54700000000000004</v>
      </c>
      <c r="D2948">
        <v>0.23400000000000001</v>
      </c>
      <c r="E2948">
        <v>1.9476233397549598E-12</v>
      </c>
      <c r="F2948">
        <v>5</v>
      </c>
      <c r="G2948" t="s">
        <v>3429</v>
      </c>
      <c r="H2948" t="s">
        <v>3430</v>
      </c>
      <c r="I2948" t="str">
        <f>HYPERLINK("https://zfin.org/ZDB-GENE-061215-102")</f>
        <v>https://zfin.org/ZDB-GENE-061215-102</v>
      </c>
      <c r="J2948" t="s">
        <v>3431</v>
      </c>
    </row>
    <row r="2949" spans="1:10" x14ac:dyDescent="0.2">
      <c r="A2949">
        <v>1.43556201192086E-16</v>
      </c>
      <c r="B2949">
        <v>0.26397758100933899</v>
      </c>
      <c r="C2949">
        <v>0.17599999999999999</v>
      </c>
      <c r="D2949">
        <v>3.5000000000000003E-2</v>
      </c>
      <c r="E2949">
        <v>1.99514408416762E-12</v>
      </c>
      <c r="F2949">
        <v>5</v>
      </c>
      <c r="G2949" t="s">
        <v>5997</v>
      </c>
      <c r="H2949" t="s">
        <v>5998</v>
      </c>
      <c r="I2949" t="str">
        <f>HYPERLINK("https://zfin.org/ZDB-GENE-021031-3")</f>
        <v>https://zfin.org/ZDB-GENE-021031-3</v>
      </c>
      <c r="J2949" t="s">
        <v>5999</v>
      </c>
    </row>
    <row r="2950" spans="1:10" x14ac:dyDescent="0.2">
      <c r="A2950">
        <v>1.4479372138546199E-16</v>
      </c>
      <c r="B2950">
        <v>0.477843184540518</v>
      </c>
      <c r="C2950">
        <v>0.86499999999999999</v>
      </c>
      <c r="D2950">
        <v>0.55300000000000005</v>
      </c>
      <c r="E2950">
        <v>2.0123431398151502E-12</v>
      </c>
      <c r="F2950">
        <v>5</v>
      </c>
      <c r="G2950" t="s">
        <v>2816</v>
      </c>
      <c r="H2950" t="s">
        <v>2817</v>
      </c>
      <c r="I2950" t="str">
        <f>HYPERLINK("https://zfin.org/ZDB-GENE-060804-3")</f>
        <v>https://zfin.org/ZDB-GENE-060804-3</v>
      </c>
      <c r="J2950" t="s">
        <v>2818</v>
      </c>
    </row>
    <row r="2951" spans="1:10" x14ac:dyDescent="0.2">
      <c r="A2951">
        <v>1.4776901209998499E-16</v>
      </c>
      <c r="B2951">
        <v>0.41051897865214398</v>
      </c>
      <c r="C2951">
        <v>0.96599999999999997</v>
      </c>
      <c r="D2951">
        <v>0.77100000000000002</v>
      </c>
      <c r="E2951">
        <v>2.0536937301655899E-12</v>
      </c>
      <c r="F2951">
        <v>5</v>
      </c>
      <c r="G2951" t="s">
        <v>6000</v>
      </c>
      <c r="H2951" t="s">
        <v>6001</v>
      </c>
      <c r="I2951" t="str">
        <f>HYPERLINK("https://zfin.org/ZDB-GENE-030131-5161")</f>
        <v>https://zfin.org/ZDB-GENE-030131-5161</v>
      </c>
      <c r="J2951" t="s">
        <v>6002</v>
      </c>
    </row>
    <row r="2952" spans="1:10" x14ac:dyDescent="0.2">
      <c r="A2952">
        <v>1.63788643105799E-16</v>
      </c>
      <c r="B2952">
        <v>0.51161285574676296</v>
      </c>
      <c r="C2952">
        <v>0.74299999999999999</v>
      </c>
      <c r="D2952">
        <v>0.40899999999999997</v>
      </c>
      <c r="E2952">
        <v>2.2763345618843899E-12</v>
      </c>
      <c r="F2952">
        <v>5</v>
      </c>
      <c r="G2952" t="s">
        <v>2436</v>
      </c>
      <c r="H2952" t="s">
        <v>2437</v>
      </c>
      <c r="I2952" t="str">
        <f>HYPERLINK("https://zfin.org/ZDB-GENE-030131-977")</f>
        <v>https://zfin.org/ZDB-GENE-030131-977</v>
      </c>
      <c r="J2952" t="s">
        <v>2438</v>
      </c>
    </row>
    <row r="2953" spans="1:10" x14ac:dyDescent="0.2">
      <c r="A2953">
        <v>1.7889538947704101E-16</v>
      </c>
      <c r="B2953">
        <v>0.297890232871935</v>
      </c>
      <c r="C2953">
        <v>0.189</v>
      </c>
      <c r="D2953">
        <v>4.1000000000000002E-2</v>
      </c>
      <c r="E2953">
        <v>2.4862881229519101E-12</v>
      </c>
      <c r="F2953">
        <v>5</v>
      </c>
      <c r="G2953" t="s">
        <v>3688</v>
      </c>
      <c r="H2953" t="s">
        <v>3689</v>
      </c>
      <c r="I2953" t="str">
        <f>HYPERLINK("https://zfin.org/ZDB-GENE-030131-5923")</f>
        <v>https://zfin.org/ZDB-GENE-030131-5923</v>
      </c>
      <c r="J2953" t="s">
        <v>3690</v>
      </c>
    </row>
    <row r="2954" spans="1:10" x14ac:dyDescent="0.2">
      <c r="A2954">
        <v>1.94446775692846E-16</v>
      </c>
      <c r="B2954">
        <v>0.49419699249698301</v>
      </c>
      <c r="C2954">
        <v>0.91200000000000003</v>
      </c>
      <c r="D2954">
        <v>0.59199999999999997</v>
      </c>
      <c r="E2954">
        <v>2.7024212885791698E-12</v>
      </c>
      <c r="F2954">
        <v>5</v>
      </c>
      <c r="G2954" t="s">
        <v>2942</v>
      </c>
      <c r="H2954" t="s">
        <v>2943</v>
      </c>
      <c r="I2954" t="str">
        <f>HYPERLINK("https://zfin.org/ZDB-GENE-030131-6154")</f>
        <v>https://zfin.org/ZDB-GENE-030131-6154</v>
      </c>
      <c r="J2954" t="s">
        <v>2944</v>
      </c>
    </row>
    <row r="2955" spans="1:10" x14ac:dyDescent="0.2">
      <c r="A2955">
        <v>2.6885058059110601E-16</v>
      </c>
      <c r="B2955">
        <v>0.41062169331653797</v>
      </c>
      <c r="C2955">
        <v>0.39200000000000002</v>
      </c>
      <c r="D2955">
        <v>0.13500000000000001</v>
      </c>
      <c r="E2955">
        <v>3.7364853690551904E-12</v>
      </c>
      <c r="F2955">
        <v>5</v>
      </c>
      <c r="G2955" t="s">
        <v>6003</v>
      </c>
      <c r="H2955" t="s">
        <v>6004</v>
      </c>
      <c r="I2955" t="str">
        <f>HYPERLINK("https://zfin.org/ZDB-GENE-040426-2766")</f>
        <v>https://zfin.org/ZDB-GENE-040426-2766</v>
      </c>
      <c r="J2955" t="s">
        <v>6005</v>
      </c>
    </row>
    <row r="2956" spans="1:10" x14ac:dyDescent="0.2">
      <c r="A2956">
        <v>3.0602283559406198E-16</v>
      </c>
      <c r="B2956">
        <v>0.41601846287797101</v>
      </c>
      <c r="C2956">
        <v>0.36499999999999999</v>
      </c>
      <c r="D2956">
        <v>0.123</v>
      </c>
      <c r="E2956">
        <v>4.2531053690862798E-12</v>
      </c>
      <c r="F2956">
        <v>5</v>
      </c>
      <c r="G2956" t="s">
        <v>6006</v>
      </c>
      <c r="H2956" t="s">
        <v>6007</v>
      </c>
      <c r="I2956" t="str">
        <f>HYPERLINK("https://zfin.org/ZDB-GENE-030131-2799")</f>
        <v>https://zfin.org/ZDB-GENE-030131-2799</v>
      </c>
      <c r="J2956" t="s">
        <v>6008</v>
      </c>
    </row>
    <row r="2957" spans="1:10" x14ac:dyDescent="0.2">
      <c r="A2957">
        <v>3.1087927513093599E-16</v>
      </c>
      <c r="B2957">
        <v>0.496449201719176</v>
      </c>
      <c r="C2957">
        <v>0.49299999999999999</v>
      </c>
      <c r="D2957">
        <v>0.19800000000000001</v>
      </c>
      <c r="E2957">
        <v>4.3206001657697501E-12</v>
      </c>
      <c r="F2957">
        <v>5</v>
      </c>
      <c r="G2957" t="s">
        <v>3136</v>
      </c>
      <c r="H2957" t="s">
        <v>3137</v>
      </c>
      <c r="I2957" t="str">
        <f>HYPERLINK("https://zfin.org/ZDB-GENE-020416-1")</f>
        <v>https://zfin.org/ZDB-GENE-020416-1</v>
      </c>
      <c r="J2957" t="s">
        <v>3138</v>
      </c>
    </row>
    <row r="2958" spans="1:10" x14ac:dyDescent="0.2">
      <c r="A2958">
        <v>3.4588027144785698E-16</v>
      </c>
      <c r="B2958">
        <v>0.31269804243089</v>
      </c>
      <c r="C2958">
        <v>0.20300000000000001</v>
      </c>
      <c r="D2958">
        <v>4.5999999999999999E-2</v>
      </c>
      <c r="E2958">
        <v>4.8070440125823198E-12</v>
      </c>
      <c r="F2958">
        <v>5</v>
      </c>
      <c r="G2958" t="s">
        <v>6009</v>
      </c>
      <c r="H2958" t="s">
        <v>6010</v>
      </c>
      <c r="I2958" t="str">
        <f>HYPERLINK("https://zfin.org/ZDB-GENE-021206-1")</f>
        <v>https://zfin.org/ZDB-GENE-021206-1</v>
      </c>
      <c r="J2958" t="s">
        <v>6011</v>
      </c>
    </row>
    <row r="2959" spans="1:10" x14ac:dyDescent="0.2">
      <c r="A2959">
        <v>3.5594445833179999E-16</v>
      </c>
      <c r="B2959">
        <v>0.49153775501749503</v>
      </c>
      <c r="C2959">
        <v>0.81100000000000005</v>
      </c>
      <c r="D2959">
        <v>0.46800000000000003</v>
      </c>
      <c r="E2959">
        <v>4.9469160818953597E-12</v>
      </c>
      <c r="F2959">
        <v>5</v>
      </c>
      <c r="G2959" t="s">
        <v>3231</v>
      </c>
      <c r="H2959" t="s">
        <v>3232</v>
      </c>
      <c r="I2959" t="str">
        <f>HYPERLINK("https://zfin.org/ZDB-GENE-030131-5219")</f>
        <v>https://zfin.org/ZDB-GENE-030131-5219</v>
      </c>
      <c r="J2959" t="s">
        <v>3233</v>
      </c>
    </row>
    <row r="2960" spans="1:10" x14ac:dyDescent="0.2">
      <c r="A2960">
        <v>3.6197821029211198E-16</v>
      </c>
      <c r="B2960">
        <v>0.34783655259313201</v>
      </c>
      <c r="C2960">
        <v>0.98599999999999999</v>
      </c>
      <c r="D2960">
        <v>0.97699999999999998</v>
      </c>
      <c r="E2960">
        <v>5.0307731666397702E-12</v>
      </c>
      <c r="F2960">
        <v>5</v>
      </c>
      <c r="G2960" t="s">
        <v>2250</v>
      </c>
      <c r="H2960" t="s">
        <v>2251</v>
      </c>
      <c r="I2960" t="str">
        <f>HYPERLINK("https://zfin.org/ZDB-GENE-030131-8654")</f>
        <v>https://zfin.org/ZDB-GENE-030131-8654</v>
      </c>
      <c r="J2960" t="s">
        <v>2252</v>
      </c>
    </row>
    <row r="2961" spans="1:10" x14ac:dyDescent="0.2">
      <c r="A2961">
        <v>4.1610979545618101E-16</v>
      </c>
      <c r="B2961">
        <v>0.34722126063145797</v>
      </c>
      <c r="C2961">
        <v>0.99299999999999999</v>
      </c>
      <c r="D2961">
        <v>0.92500000000000004</v>
      </c>
      <c r="E2961">
        <v>5.7830939372499996E-12</v>
      </c>
      <c r="F2961">
        <v>5</v>
      </c>
      <c r="G2961" t="s">
        <v>3802</v>
      </c>
      <c r="H2961" t="s">
        <v>3803</v>
      </c>
      <c r="I2961" t="str">
        <f>HYPERLINK("https://zfin.org/ZDB-GENE-990415-95")</f>
        <v>https://zfin.org/ZDB-GENE-990415-95</v>
      </c>
      <c r="J2961" t="s">
        <v>3804</v>
      </c>
    </row>
    <row r="2962" spans="1:10" x14ac:dyDescent="0.2">
      <c r="A2962">
        <v>4.4363332130263001E-16</v>
      </c>
      <c r="B2962">
        <v>0.29019209987815398</v>
      </c>
      <c r="C2962">
        <v>0.20300000000000001</v>
      </c>
      <c r="D2962">
        <v>4.5999999999999999E-2</v>
      </c>
      <c r="E2962">
        <v>6.1656158994639399E-12</v>
      </c>
      <c r="F2962">
        <v>5</v>
      </c>
      <c r="G2962" t="s">
        <v>6012</v>
      </c>
      <c r="H2962" t="s">
        <v>6013</v>
      </c>
      <c r="I2962" t="str">
        <f>HYPERLINK("https://zfin.org/ZDB-GENE-030131-464")</f>
        <v>https://zfin.org/ZDB-GENE-030131-464</v>
      </c>
      <c r="J2962" t="s">
        <v>6014</v>
      </c>
    </row>
    <row r="2963" spans="1:10" x14ac:dyDescent="0.2">
      <c r="A2963">
        <v>4.7858248296301897E-16</v>
      </c>
      <c r="B2963">
        <v>0.43541948302064698</v>
      </c>
      <c r="C2963">
        <v>0.318</v>
      </c>
      <c r="D2963">
        <v>0.1</v>
      </c>
      <c r="E2963">
        <v>6.65133934822004E-12</v>
      </c>
      <c r="F2963">
        <v>5</v>
      </c>
      <c r="G2963" t="s">
        <v>4247</v>
      </c>
      <c r="H2963" t="s">
        <v>4248</v>
      </c>
      <c r="I2963" t="str">
        <f>HYPERLINK("https://zfin.org/ZDB-GENE-021125-1")</f>
        <v>https://zfin.org/ZDB-GENE-021125-1</v>
      </c>
      <c r="J2963" t="s">
        <v>4249</v>
      </c>
    </row>
    <row r="2964" spans="1:10" x14ac:dyDescent="0.2">
      <c r="A2964">
        <v>4.7895190502145699E-16</v>
      </c>
      <c r="B2964">
        <v>0.41659404484247903</v>
      </c>
      <c r="C2964">
        <v>0.27700000000000002</v>
      </c>
      <c r="D2964">
        <v>7.9000000000000001E-2</v>
      </c>
      <c r="E2964">
        <v>6.6564735759882097E-12</v>
      </c>
      <c r="F2964">
        <v>5</v>
      </c>
      <c r="G2964" t="s">
        <v>5243</v>
      </c>
      <c r="H2964" t="s">
        <v>5244</v>
      </c>
      <c r="I2964" t="str">
        <f>HYPERLINK("https://zfin.org/ZDB-GENE-040426-987")</f>
        <v>https://zfin.org/ZDB-GENE-040426-987</v>
      </c>
      <c r="J2964" t="s">
        <v>5245</v>
      </c>
    </row>
    <row r="2965" spans="1:10" x14ac:dyDescent="0.2">
      <c r="A2965">
        <v>5.7138835621043301E-16</v>
      </c>
      <c r="B2965">
        <v>-0.93857634197626305</v>
      </c>
      <c r="C2965">
        <v>0.69599999999999995</v>
      </c>
      <c r="D2965">
        <v>0.75900000000000001</v>
      </c>
      <c r="E2965">
        <v>7.9411553746125994E-12</v>
      </c>
      <c r="F2965">
        <v>5</v>
      </c>
      <c r="G2965" t="s">
        <v>2093</v>
      </c>
      <c r="H2965" t="s">
        <v>2094</v>
      </c>
      <c r="I2965" t="str">
        <f>HYPERLINK("https://zfin.org/ZDB-GENE-040426-2931")</f>
        <v>https://zfin.org/ZDB-GENE-040426-2931</v>
      </c>
      <c r="J2965" t="s">
        <v>2095</v>
      </c>
    </row>
    <row r="2966" spans="1:10" x14ac:dyDescent="0.2">
      <c r="A2966">
        <v>5.9379027538100698E-16</v>
      </c>
      <c r="B2966">
        <v>0.43476958032569502</v>
      </c>
      <c r="C2966">
        <v>0.93899999999999995</v>
      </c>
      <c r="D2966">
        <v>0.71599999999999997</v>
      </c>
      <c r="E2966">
        <v>8.2524972472452392E-12</v>
      </c>
      <c r="F2966">
        <v>5</v>
      </c>
      <c r="G2966" t="s">
        <v>2544</v>
      </c>
      <c r="H2966" t="s">
        <v>2545</v>
      </c>
      <c r="I2966" t="str">
        <f>HYPERLINK("https://zfin.org/ZDB-GENE-030131-185")</f>
        <v>https://zfin.org/ZDB-GENE-030131-185</v>
      </c>
      <c r="J2966" t="s">
        <v>2546</v>
      </c>
    </row>
    <row r="2967" spans="1:10" x14ac:dyDescent="0.2">
      <c r="A2967">
        <v>6.2808884801940005E-16</v>
      </c>
      <c r="B2967">
        <v>0.41120251988496198</v>
      </c>
      <c r="C2967">
        <v>0.318</v>
      </c>
      <c r="D2967">
        <v>9.9000000000000005E-2</v>
      </c>
      <c r="E2967">
        <v>8.7291788097736296E-12</v>
      </c>
      <c r="F2967">
        <v>5</v>
      </c>
      <c r="G2967" t="s">
        <v>6015</v>
      </c>
      <c r="H2967" t="s">
        <v>6016</v>
      </c>
      <c r="I2967" t="str">
        <f>HYPERLINK("https://zfin.org/ZDB-GENE-011212-5")</f>
        <v>https://zfin.org/ZDB-GENE-011212-5</v>
      </c>
      <c r="J2967" t="s">
        <v>6017</v>
      </c>
    </row>
    <row r="2968" spans="1:10" x14ac:dyDescent="0.2">
      <c r="A2968">
        <v>6.6451420454853999E-16</v>
      </c>
      <c r="B2968">
        <v>0.453825486732443</v>
      </c>
      <c r="C2968">
        <v>0.14199999999999999</v>
      </c>
      <c r="D2968">
        <v>2.5000000000000001E-2</v>
      </c>
      <c r="E2968">
        <v>9.2354184148156095E-12</v>
      </c>
      <c r="F2968">
        <v>5</v>
      </c>
      <c r="G2968" t="s">
        <v>3486</v>
      </c>
      <c r="H2968" t="s">
        <v>3487</v>
      </c>
      <c r="I2968" t="str">
        <f>HYPERLINK("https://zfin.org/ZDB-GENE-041111-308")</f>
        <v>https://zfin.org/ZDB-GENE-041111-308</v>
      </c>
      <c r="J2968" t="s">
        <v>3488</v>
      </c>
    </row>
    <row r="2969" spans="1:10" x14ac:dyDescent="0.2">
      <c r="A2969">
        <v>7.6292546106399999E-16</v>
      </c>
      <c r="B2969">
        <v>0.45313569222464201</v>
      </c>
      <c r="C2969">
        <v>0.95299999999999996</v>
      </c>
      <c r="D2969">
        <v>0.745</v>
      </c>
      <c r="E2969">
        <v>1.06031380578675E-11</v>
      </c>
      <c r="F2969">
        <v>5</v>
      </c>
      <c r="G2969" t="s">
        <v>3100</v>
      </c>
      <c r="H2969" t="s">
        <v>3101</v>
      </c>
      <c r="I2969" t="str">
        <f>HYPERLINK("https://zfin.org/ZDB-GENE-040426-1852")</f>
        <v>https://zfin.org/ZDB-GENE-040426-1852</v>
      </c>
      <c r="J2969" t="s">
        <v>3102</v>
      </c>
    </row>
    <row r="2970" spans="1:10" x14ac:dyDescent="0.2">
      <c r="A2970">
        <v>7.6787332929654303E-16</v>
      </c>
      <c r="B2970">
        <v>0.36902633155918302</v>
      </c>
      <c r="C2970">
        <v>0.30399999999999999</v>
      </c>
      <c r="D2970">
        <v>0.09</v>
      </c>
      <c r="E2970">
        <v>1.06719035305634E-11</v>
      </c>
      <c r="F2970">
        <v>5</v>
      </c>
      <c r="G2970" t="s">
        <v>6018</v>
      </c>
      <c r="H2970" t="s">
        <v>6019</v>
      </c>
      <c r="I2970" t="str">
        <f>HYPERLINK("https://zfin.org/ZDB-GENE-040426-1035")</f>
        <v>https://zfin.org/ZDB-GENE-040426-1035</v>
      </c>
      <c r="J2970" t="s">
        <v>6020</v>
      </c>
    </row>
    <row r="2971" spans="1:10" x14ac:dyDescent="0.2">
      <c r="A2971">
        <v>9.77670375431083E-16</v>
      </c>
      <c r="B2971">
        <v>0.44479823818870101</v>
      </c>
      <c r="C2971">
        <v>0.223</v>
      </c>
      <c r="D2971">
        <v>5.6000000000000001E-2</v>
      </c>
      <c r="E2971">
        <v>1.35876628777412E-11</v>
      </c>
      <c r="F2971">
        <v>5</v>
      </c>
      <c r="G2971" t="s">
        <v>6021</v>
      </c>
      <c r="H2971" t="s">
        <v>6022</v>
      </c>
      <c r="I2971" t="str">
        <f>HYPERLINK("https://zfin.org/ZDB-GENE-021209-1")</f>
        <v>https://zfin.org/ZDB-GENE-021209-1</v>
      </c>
      <c r="J2971" t="s">
        <v>6023</v>
      </c>
    </row>
    <row r="2972" spans="1:10" x14ac:dyDescent="0.2">
      <c r="A2972">
        <v>1.12587498191305E-15</v>
      </c>
      <c r="B2972">
        <v>0.46355540047031202</v>
      </c>
      <c r="C2972">
        <v>0.17599999999999999</v>
      </c>
      <c r="D2972">
        <v>3.6999999999999998E-2</v>
      </c>
      <c r="E2972">
        <v>1.5647410498627501E-11</v>
      </c>
      <c r="F2972">
        <v>5</v>
      </c>
      <c r="G2972" t="s">
        <v>4082</v>
      </c>
      <c r="H2972" t="s">
        <v>4083</v>
      </c>
      <c r="I2972" t="str">
        <f>HYPERLINK("https://zfin.org/ZDB-GENE-020418-1")</f>
        <v>https://zfin.org/ZDB-GENE-020418-1</v>
      </c>
      <c r="J2972" t="s">
        <v>4084</v>
      </c>
    </row>
    <row r="2973" spans="1:10" x14ac:dyDescent="0.2">
      <c r="A2973">
        <v>1.52528091560344E-15</v>
      </c>
      <c r="B2973">
        <v>0.47139257506403498</v>
      </c>
      <c r="C2973">
        <v>0.75</v>
      </c>
      <c r="D2973">
        <v>0.39800000000000002</v>
      </c>
      <c r="E2973">
        <v>2.11983541650567E-11</v>
      </c>
      <c r="F2973">
        <v>5</v>
      </c>
      <c r="G2973" t="s">
        <v>6024</v>
      </c>
      <c r="H2973" t="s">
        <v>6025</v>
      </c>
      <c r="I2973" t="str">
        <f>HYPERLINK("https://zfin.org/ZDB-GENE-030131-6986")</f>
        <v>https://zfin.org/ZDB-GENE-030131-6986</v>
      </c>
      <c r="J2973" t="s">
        <v>6026</v>
      </c>
    </row>
    <row r="2974" spans="1:10" x14ac:dyDescent="0.2">
      <c r="A2974">
        <v>1.5648685293792199E-15</v>
      </c>
      <c r="B2974">
        <v>0.52899232083566705</v>
      </c>
      <c r="C2974">
        <v>0.93899999999999995</v>
      </c>
      <c r="D2974">
        <v>0.70299999999999996</v>
      </c>
      <c r="E2974">
        <v>2.17485428213124E-11</v>
      </c>
      <c r="F2974">
        <v>5</v>
      </c>
      <c r="G2974" t="s">
        <v>3599</v>
      </c>
      <c r="H2974" t="s">
        <v>3600</v>
      </c>
      <c r="I2974" t="str">
        <f>HYPERLINK("https://zfin.org/ZDB-GENE-030131-5841")</f>
        <v>https://zfin.org/ZDB-GENE-030131-5841</v>
      </c>
      <c r="J2974" t="s">
        <v>3601</v>
      </c>
    </row>
    <row r="2975" spans="1:10" x14ac:dyDescent="0.2">
      <c r="A2975">
        <v>1.60453045004753E-15</v>
      </c>
      <c r="B2975">
        <v>0.379421490341314</v>
      </c>
      <c r="C2975">
        <v>0.32400000000000001</v>
      </c>
      <c r="D2975">
        <v>0.10199999999999999</v>
      </c>
      <c r="E2975">
        <v>2.2299764194760599E-11</v>
      </c>
      <c r="F2975">
        <v>5</v>
      </c>
      <c r="G2975" t="s">
        <v>6027</v>
      </c>
      <c r="H2975" t="s">
        <v>6028</v>
      </c>
      <c r="I2975" t="str">
        <f>HYPERLINK("https://zfin.org/ZDB-GENE-050809-125")</f>
        <v>https://zfin.org/ZDB-GENE-050809-125</v>
      </c>
      <c r="J2975" t="s">
        <v>6029</v>
      </c>
    </row>
    <row r="2976" spans="1:10" x14ac:dyDescent="0.2">
      <c r="A2976">
        <v>1.75724374292755E-15</v>
      </c>
      <c r="B2976">
        <v>0.45052954254973798</v>
      </c>
      <c r="C2976">
        <v>0.72299999999999998</v>
      </c>
      <c r="D2976">
        <v>0.36899999999999999</v>
      </c>
      <c r="E2976">
        <v>2.44221735392071E-11</v>
      </c>
      <c r="F2976">
        <v>5</v>
      </c>
      <c r="G2976" t="s">
        <v>4351</v>
      </c>
      <c r="H2976" t="s">
        <v>4352</v>
      </c>
      <c r="I2976" t="str">
        <f>HYPERLINK("https://zfin.org/ZDB-GENE-020419-1")</f>
        <v>https://zfin.org/ZDB-GENE-020419-1</v>
      </c>
      <c r="J2976" t="s">
        <v>4353</v>
      </c>
    </row>
    <row r="2977" spans="1:10" x14ac:dyDescent="0.2">
      <c r="A2977">
        <v>1.8775201076515198E-15</v>
      </c>
      <c r="B2977">
        <v>0.30385502692480998</v>
      </c>
      <c r="C2977">
        <v>0.23</v>
      </c>
      <c r="D2977">
        <v>5.8999999999999997E-2</v>
      </c>
      <c r="E2977">
        <v>2.6093774456140801E-11</v>
      </c>
      <c r="F2977">
        <v>5</v>
      </c>
      <c r="G2977" t="s">
        <v>6030</v>
      </c>
      <c r="H2977" t="s">
        <v>6031</v>
      </c>
      <c r="I2977" t="str">
        <f>HYPERLINK("https://zfin.org/ZDB-GENE-030131-7176")</f>
        <v>https://zfin.org/ZDB-GENE-030131-7176</v>
      </c>
      <c r="J2977" t="s">
        <v>6032</v>
      </c>
    </row>
    <row r="2978" spans="1:10" x14ac:dyDescent="0.2">
      <c r="A2978">
        <v>2.1667509513528501E-15</v>
      </c>
      <c r="B2978">
        <v>0.29777019327209098</v>
      </c>
      <c r="C2978">
        <v>0.23599999999999999</v>
      </c>
      <c r="D2978">
        <v>6.0999999999999999E-2</v>
      </c>
      <c r="E2978">
        <v>3.0113504721901898E-11</v>
      </c>
      <c r="F2978">
        <v>5</v>
      </c>
      <c r="G2978" t="s">
        <v>4776</v>
      </c>
      <c r="H2978" t="s">
        <v>4777</v>
      </c>
      <c r="I2978" t="str">
        <f>HYPERLINK("https://zfin.org/ZDB-GENE-080204-34")</f>
        <v>https://zfin.org/ZDB-GENE-080204-34</v>
      </c>
      <c r="J2978" t="s">
        <v>4778</v>
      </c>
    </row>
    <row r="2979" spans="1:10" x14ac:dyDescent="0.2">
      <c r="A2979">
        <v>2.1995625413534101E-15</v>
      </c>
      <c r="B2979">
        <v>0.432651124180645</v>
      </c>
      <c r="C2979">
        <v>0.51400000000000001</v>
      </c>
      <c r="D2979">
        <v>0.214</v>
      </c>
      <c r="E2979">
        <v>3.0569520199729698E-11</v>
      </c>
      <c r="F2979">
        <v>5</v>
      </c>
      <c r="G2979" t="s">
        <v>6033</v>
      </c>
      <c r="H2979" t="s">
        <v>6034</v>
      </c>
      <c r="I2979" t="str">
        <f>HYPERLINK("https://zfin.org/ZDB-GENE-031118-110")</f>
        <v>https://zfin.org/ZDB-GENE-031118-110</v>
      </c>
      <c r="J2979" t="s">
        <v>6035</v>
      </c>
    </row>
    <row r="2980" spans="1:10" x14ac:dyDescent="0.2">
      <c r="A2980">
        <v>2.7714859047521E-15</v>
      </c>
      <c r="B2980">
        <v>0.50773067543318995</v>
      </c>
      <c r="C2980">
        <v>0.872</v>
      </c>
      <c r="D2980">
        <v>0.627</v>
      </c>
      <c r="E2980">
        <v>3.8518111104244702E-11</v>
      </c>
      <c r="F2980">
        <v>5</v>
      </c>
      <c r="G2980" t="s">
        <v>3276</v>
      </c>
      <c r="H2980" t="s">
        <v>3277</v>
      </c>
      <c r="I2980" t="str">
        <f>HYPERLINK("https://zfin.org/ZDB-GENE-990415-88")</f>
        <v>https://zfin.org/ZDB-GENE-990415-88</v>
      </c>
      <c r="J2980" t="s">
        <v>3278</v>
      </c>
    </row>
    <row r="2981" spans="1:10" x14ac:dyDescent="0.2">
      <c r="A2981">
        <v>2.7929379243715701E-15</v>
      </c>
      <c r="B2981">
        <v>0.4402967681985</v>
      </c>
      <c r="C2981">
        <v>0.85799999999999998</v>
      </c>
      <c r="D2981">
        <v>0.53400000000000003</v>
      </c>
      <c r="E2981">
        <v>3.8816251272915999E-11</v>
      </c>
      <c r="F2981">
        <v>5</v>
      </c>
      <c r="G2981" t="s">
        <v>3712</v>
      </c>
      <c r="H2981" t="s">
        <v>3713</v>
      </c>
      <c r="I2981" t="str">
        <f>HYPERLINK("https://zfin.org/ZDB-GENE-071005-2")</f>
        <v>https://zfin.org/ZDB-GENE-071005-2</v>
      </c>
      <c r="J2981" t="s">
        <v>3714</v>
      </c>
    </row>
    <row r="2982" spans="1:10" x14ac:dyDescent="0.2">
      <c r="A2982">
        <v>2.9122903041384801E-15</v>
      </c>
      <c r="B2982">
        <v>0.433405555327319</v>
      </c>
      <c r="C2982">
        <v>0.27</v>
      </c>
      <c r="D2982">
        <v>7.9000000000000001E-2</v>
      </c>
      <c r="E2982">
        <v>4.0475010646916599E-11</v>
      </c>
      <c r="F2982">
        <v>5</v>
      </c>
      <c r="G2982" t="s">
        <v>6036</v>
      </c>
      <c r="H2982" t="s">
        <v>6037</v>
      </c>
      <c r="I2982" t="str">
        <f>HYPERLINK("https://zfin.org/ZDB-GENE-040426-1588")</f>
        <v>https://zfin.org/ZDB-GENE-040426-1588</v>
      </c>
      <c r="J2982" t="s">
        <v>6038</v>
      </c>
    </row>
    <row r="2983" spans="1:10" x14ac:dyDescent="0.2">
      <c r="A2983">
        <v>3.0310066317692199E-15</v>
      </c>
      <c r="B2983">
        <v>0.44148192008966602</v>
      </c>
      <c r="C2983">
        <v>0.73</v>
      </c>
      <c r="D2983">
        <v>0.376</v>
      </c>
      <c r="E2983">
        <v>4.21249301683286E-11</v>
      </c>
      <c r="F2983">
        <v>5</v>
      </c>
      <c r="G2983" t="s">
        <v>1438</v>
      </c>
      <c r="H2983" t="s">
        <v>1439</v>
      </c>
      <c r="I2983" t="str">
        <f>HYPERLINK("https://zfin.org/ZDB-GENE-040625-38")</f>
        <v>https://zfin.org/ZDB-GENE-040625-38</v>
      </c>
      <c r="J2983" t="s">
        <v>1440</v>
      </c>
    </row>
    <row r="2984" spans="1:10" x14ac:dyDescent="0.2">
      <c r="A2984">
        <v>3.0546374346206099E-15</v>
      </c>
      <c r="B2984">
        <v>0.50983330665424198</v>
      </c>
      <c r="C2984">
        <v>0.50700000000000001</v>
      </c>
      <c r="D2984">
        <v>0.222</v>
      </c>
      <c r="E2984">
        <v>4.2453351066357199E-11</v>
      </c>
      <c r="F2984">
        <v>5</v>
      </c>
      <c r="G2984" t="s">
        <v>3432</v>
      </c>
      <c r="H2984" t="s">
        <v>3433</v>
      </c>
      <c r="I2984" t="str">
        <f>HYPERLINK("https://zfin.org/ZDB-GENE-030131-8279")</f>
        <v>https://zfin.org/ZDB-GENE-030131-8279</v>
      </c>
      <c r="J2984" t="s">
        <v>3434</v>
      </c>
    </row>
    <row r="2985" spans="1:10" x14ac:dyDescent="0.2">
      <c r="A2985">
        <v>3.33087554926174E-15</v>
      </c>
      <c r="B2985">
        <v>0.336361411644582</v>
      </c>
      <c r="C2985">
        <v>0.30399999999999999</v>
      </c>
      <c r="D2985">
        <v>9.5000000000000001E-2</v>
      </c>
      <c r="E2985">
        <v>4.6292508383639598E-11</v>
      </c>
      <c r="F2985">
        <v>5</v>
      </c>
      <c r="G2985" t="s">
        <v>6039</v>
      </c>
      <c r="H2985" t="s">
        <v>6040</v>
      </c>
      <c r="I2985" t="str">
        <f>HYPERLINK("https://zfin.org/ZDB-GENE-030131-5265")</f>
        <v>https://zfin.org/ZDB-GENE-030131-5265</v>
      </c>
      <c r="J2985" t="s">
        <v>6041</v>
      </c>
    </row>
    <row r="2986" spans="1:10" x14ac:dyDescent="0.2">
      <c r="A2986">
        <v>4.30440570579343E-15</v>
      </c>
      <c r="B2986">
        <v>0.258240625371919</v>
      </c>
      <c r="C2986">
        <v>0.24299999999999999</v>
      </c>
      <c r="D2986">
        <v>6.5000000000000002E-2</v>
      </c>
      <c r="E2986">
        <v>5.9822630499117098E-11</v>
      </c>
      <c r="F2986">
        <v>5</v>
      </c>
      <c r="G2986" t="s">
        <v>3838</v>
      </c>
      <c r="H2986" t="s">
        <v>3839</v>
      </c>
      <c r="I2986" t="str">
        <f>HYPERLINK("https://zfin.org/ZDB-GENE-040625-21")</f>
        <v>https://zfin.org/ZDB-GENE-040625-21</v>
      </c>
      <c r="J2986" t="s">
        <v>3840</v>
      </c>
    </row>
    <row r="2987" spans="1:10" x14ac:dyDescent="0.2">
      <c r="A2987">
        <v>4.4854407817817603E-15</v>
      </c>
      <c r="B2987">
        <v>0.29610411827543798</v>
      </c>
      <c r="C2987">
        <v>0.20300000000000001</v>
      </c>
      <c r="D2987">
        <v>4.8000000000000001E-2</v>
      </c>
      <c r="E2987">
        <v>6.2338655985202903E-11</v>
      </c>
      <c r="F2987">
        <v>5</v>
      </c>
      <c r="G2987" t="s">
        <v>6042</v>
      </c>
      <c r="H2987" t="s">
        <v>6043</v>
      </c>
      <c r="I2987" t="str">
        <f>HYPERLINK("https://zfin.org/ZDB-GENE-030131-3762")</f>
        <v>https://zfin.org/ZDB-GENE-030131-3762</v>
      </c>
      <c r="J2987" t="s">
        <v>6044</v>
      </c>
    </row>
    <row r="2988" spans="1:10" x14ac:dyDescent="0.2">
      <c r="A2988">
        <v>5.3225114123101503E-15</v>
      </c>
      <c r="B2988">
        <v>0.40244076041786098</v>
      </c>
      <c r="C2988">
        <v>0.39900000000000002</v>
      </c>
      <c r="D2988">
        <v>0.14499999999999999</v>
      </c>
      <c r="E2988">
        <v>7.3972263608286494E-11</v>
      </c>
      <c r="F2988">
        <v>5</v>
      </c>
      <c r="G2988" t="s">
        <v>3865</v>
      </c>
      <c r="H2988" t="s">
        <v>3866</v>
      </c>
      <c r="I2988" t="str">
        <f>HYPERLINK("https://zfin.org/ZDB-GENE-050517-31")</f>
        <v>https://zfin.org/ZDB-GENE-050517-31</v>
      </c>
      <c r="J2988" t="s">
        <v>3867</v>
      </c>
    </row>
    <row r="2989" spans="1:10" x14ac:dyDescent="0.2">
      <c r="A2989">
        <v>5.3696718428629498E-15</v>
      </c>
      <c r="B2989">
        <v>0.39713852523172399</v>
      </c>
      <c r="C2989">
        <v>0.95899999999999996</v>
      </c>
      <c r="D2989">
        <v>0.79800000000000004</v>
      </c>
      <c r="E2989">
        <v>7.4627699272109297E-11</v>
      </c>
      <c r="F2989">
        <v>5</v>
      </c>
      <c r="G2989" t="s">
        <v>2460</v>
      </c>
      <c r="H2989" t="s">
        <v>2461</v>
      </c>
      <c r="I2989" t="str">
        <f>HYPERLINK("https://zfin.org/ZDB-GENE-030131-9034")</f>
        <v>https://zfin.org/ZDB-GENE-030131-9034</v>
      </c>
      <c r="J2989" t="s">
        <v>2462</v>
      </c>
    </row>
    <row r="2990" spans="1:10" x14ac:dyDescent="0.2">
      <c r="A2990">
        <v>5.4197079444971298E-15</v>
      </c>
      <c r="B2990">
        <v>0.38136603600222801</v>
      </c>
      <c r="C2990">
        <v>0.33100000000000002</v>
      </c>
      <c r="D2990">
        <v>0.11</v>
      </c>
      <c r="E2990">
        <v>7.5323101012621204E-11</v>
      </c>
      <c r="F2990">
        <v>5</v>
      </c>
      <c r="G2990" t="s">
        <v>3799</v>
      </c>
      <c r="H2990" t="s">
        <v>3800</v>
      </c>
      <c r="I2990" t="str">
        <f>HYPERLINK("https://zfin.org/ZDB-GENE-050417-398")</f>
        <v>https://zfin.org/ZDB-GENE-050417-398</v>
      </c>
      <c r="J2990" t="s">
        <v>3801</v>
      </c>
    </row>
    <row r="2991" spans="1:10" x14ac:dyDescent="0.2">
      <c r="A2991">
        <v>5.7749703820016801E-15</v>
      </c>
      <c r="B2991">
        <v>0.43885055305360698</v>
      </c>
      <c r="C2991">
        <v>0.73</v>
      </c>
      <c r="D2991">
        <v>0.372</v>
      </c>
      <c r="E2991">
        <v>8.0260538369059403E-11</v>
      </c>
      <c r="F2991">
        <v>5</v>
      </c>
      <c r="G2991" t="s">
        <v>2882</v>
      </c>
      <c r="H2991" t="s">
        <v>2883</v>
      </c>
      <c r="I2991" t="str">
        <f>HYPERLINK("https://zfin.org/ZDB-GENE-021219-3")</f>
        <v>https://zfin.org/ZDB-GENE-021219-3</v>
      </c>
      <c r="J2991" t="s">
        <v>2884</v>
      </c>
    </row>
    <row r="2992" spans="1:10" x14ac:dyDescent="0.2">
      <c r="A2992">
        <v>6.65552313793808E-15</v>
      </c>
      <c r="B2992">
        <v>0.39167166166844902</v>
      </c>
      <c r="C2992">
        <v>0.372</v>
      </c>
      <c r="D2992">
        <v>0.13300000000000001</v>
      </c>
      <c r="E2992">
        <v>9.2498460571063504E-11</v>
      </c>
      <c r="F2992">
        <v>5</v>
      </c>
      <c r="G2992" t="s">
        <v>5171</v>
      </c>
      <c r="H2992" t="s">
        <v>5172</v>
      </c>
      <c r="I2992" t="str">
        <f>HYPERLINK("https://zfin.org/ZDB-GENE-060825-216")</f>
        <v>https://zfin.org/ZDB-GENE-060825-216</v>
      </c>
      <c r="J2992" t="s">
        <v>5173</v>
      </c>
    </row>
    <row r="2993" spans="1:10" x14ac:dyDescent="0.2">
      <c r="A2993">
        <v>7.0259651001760203E-15</v>
      </c>
      <c r="B2993">
        <v>0.46454892743403298</v>
      </c>
      <c r="C2993">
        <v>0.872</v>
      </c>
      <c r="D2993">
        <v>0.61499999999999999</v>
      </c>
      <c r="E2993">
        <v>9.7646862962246299E-11</v>
      </c>
      <c r="F2993">
        <v>5</v>
      </c>
      <c r="G2993" t="s">
        <v>2819</v>
      </c>
      <c r="H2993" t="s">
        <v>2820</v>
      </c>
      <c r="I2993" t="str">
        <f>HYPERLINK("https://zfin.org/ZDB-GENE-031113-14")</f>
        <v>https://zfin.org/ZDB-GENE-031113-14</v>
      </c>
      <c r="J2993" t="s">
        <v>2821</v>
      </c>
    </row>
    <row r="2994" spans="1:10" x14ac:dyDescent="0.2">
      <c r="A2994">
        <v>8.2526891577861405E-15</v>
      </c>
      <c r="B2994">
        <v>0.43533793437826701</v>
      </c>
      <c r="C2994">
        <v>0.39900000000000002</v>
      </c>
      <c r="D2994">
        <v>0.152</v>
      </c>
      <c r="E2994">
        <v>1.14695873914912E-10</v>
      </c>
      <c r="F2994">
        <v>5</v>
      </c>
      <c r="G2994" t="s">
        <v>1560</v>
      </c>
      <c r="H2994" t="s">
        <v>1561</v>
      </c>
      <c r="I2994" t="str">
        <f>HYPERLINK("https://zfin.org/ZDB-GENE-030109-2")</f>
        <v>https://zfin.org/ZDB-GENE-030109-2</v>
      </c>
      <c r="J2994" t="s">
        <v>1562</v>
      </c>
    </row>
    <row r="2995" spans="1:10" x14ac:dyDescent="0.2">
      <c r="A2995">
        <v>8.7060502883819795E-15</v>
      </c>
      <c r="B2995">
        <v>0.43054902290047697</v>
      </c>
      <c r="C2995">
        <v>0.34499999999999997</v>
      </c>
      <c r="D2995">
        <v>0.11899999999999999</v>
      </c>
      <c r="E2995">
        <v>1.2099668690793299E-10</v>
      </c>
      <c r="F2995">
        <v>5</v>
      </c>
      <c r="G2995" t="s">
        <v>5616</v>
      </c>
      <c r="H2995" t="s">
        <v>5617</v>
      </c>
      <c r="I2995" t="str">
        <f>HYPERLINK("https://zfin.org/ZDB-GENE-040426-930")</f>
        <v>https://zfin.org/ZDB-GENE-040426-930</v>
      </c>
      <c r="J2995" t="s">
        <v>5618</v>
      </c>
    </row>
    <row r="2996" spans="1:10" x14ac:dyDescent="0.2">
      <c r="A2996">
        <v>9.06644644218003E-15</v>
      </c>
      <c r="B2996">
        <v>0.39938004076608802</v>
      </c>
      <c r="C2996">
        <v>0.41199999999999998</v>
      </c>
      <c r="D2996">
        <v>0.152</v>
      </c>
      <c r="E2996">
        <v>1.26005472653418E-10</v>
      </c>
      <c r="F2996">
        <v>5</v>
      </c>
      <c r="G2996" t="s">
        <v>5162</v>
      </c>
      <c r="H2996" t="s">
        <v>5163</v>
      </c>
      <c r="I2996" t="str">
        <f>HYPERLINK("https://zfin.org/ZDB-GENE-030131-2182")</f>
        <v>https://zfin.org/ZDB-GENE-030131-2182</v>
      </c>
      <c r="J2996" t="s">
        <v>5164</v>
      </c>
    </row>
    <row r="2997" spans="1:10" x14ac:dyDescent="0.2">
      <c r="A2997">
        <v>1.04601753550436E-14</v>
      </c>
      <c r="B2997">
        <v>0.35006460197316802</v>
      </c>
      <c r="C2997">
        <v>0.25700000000000001</v>
      </c>
      <c r="D2997">
        <v>7.2999999999999995E-2</v>
      </c>
      <c r="E2997">
        <v>1.4537551708439601E-10</v>
      </c>
      <c r="F2997">
        <v>5</v>
      </c>
      <c r="G2997" t="s">
        <v>1728</v>
      </c>
      <c r="H2997" t="s">
        <v>1729</v>
      </c>
      <c r="I2997" t="str">
        <f>HYPERLINK("https://zfin.org/ZDB-GENE-050522-152")</f>
        <v>https://zfin.org/ZDB-GENE-050522-152</v>
      </c>
      <c r="J2997" t="s">
        <v>1730</v>
      </c>
    </row>
    <row r="2998" spans="1:10" x14ac:dyDescent="0.2">
      <c r="A2998">
        <v>1.06394170807046E-14</v>
      </c>
      <c r="B2998">
        <v>0.27386429793330302</v>
      </c>
      <c r="C2998">
        <v>0.16200000000000001</v>
      </c>
      <c r="D2998">
        <v>3.3000000000000002E-2</v>
      </c>
      <c r="E2998">
        <v>1.47866618587632E-10</v>
      </c>
      <c r="F2998">
        <v>5</v>
      </c>
      <c r="G2998" t="s">
        <v>6045</v>
      </c>
      <c r="H2998" t="s">
        <v>6046</v>
      </c>
      <c r="I2998" t="str">
        <f>HYPERLINK("https://zfin.org/ZDB-GENE-080204-2")</f>
        <v>https://zfin.org/ZDB-GENE-080204-2</v>
      </c>
      <c r="J2998" t="s">
        <v>6047</v>
      </c>
    </row>
    <row r="2999" spans="1:10" x14ac:dyDescent="0.2">
      <c r="A2999">
        <v>1.31232887581028E-14</v>
      </c>
      <c r="B2999">
        <v>0.25228152043060798</v>
      </c>
      <c r="C2999">
        <v>0.20300000000000001</v>
      </c>
      <c r="D2999">
        <v>4.9000000000000002E-2</v>
      </c>
      <c r="E2999">
        <v>1.82387467160113E-10</v>
      </c>
      <c r="F2999">
        <v>5</v>
      </c>
      <c r="G2999" t="s">
        <v>6048</v>
      </c>
      <c r="H2999" t="s">
        <v>6049</v>
      </c>
      <c r="I2999" t="str">
        <f>HYPERLINK("https://zfin.org/ZDB-GENE-030131-9878")</f>
        <v>https://zfin.org/ZDB-GENE-030131-9878</v>
      </c>
      <c r="J2999" t="s">
        <v>6050</v>
      </c>
    </row>
    <row r="3000" spans="1:10" x14ac:dyDescent="0.2">
      <c r="A3000">
        <v>1.3483999170017499E-14</v>
      </c>
      <c r="B3000">
        <v>0.38309891077608599</v>
      </c>
      <c r="C3000">
        <v>0.311</v>
      </c>
      <c r="D3000">
        <v>0.1</v>
      </c>
      <c r="E3000">
        <v>1.87400620464903E-10</v>
      </c>
      <c r="F3000">
        <v>5</v>
      </c>
      <c r="G3000" t="s">
        <v>4112</v>
      </c>
      <c r="H3000" t="s">
        <v>4113</v>
      </c>
      <c r="I3000" t="str">
        <f>HYPERLINK("https://zfin.org/ZDB-GENE-061110-82")</f>
        <v>https://zfin.org/ZDB-GENE-061110-82</v>
      </c>
      <c r="J3000" t="s">
        <v>4114</v>
      </c>
    </row>
    <row r="3001" spans="1:10" x14ac:dyDescent="0.2">
      <c r="A3001">
        <v>1.36264656269846E-14</v>
      </c>
      <c r="B3001">
        <v>0.46726180484406699</v>
      </c>
      <c r="C3001">
        <v>0.70299999999999996</v>
      </c>
      <c r="D3001">
        <v>0.38700000000000001</v>
      </c>
      <c r="E3001">
        <v>1.8938061928383201E-10</v>
      </c>
      <c r="F3001">
        <v>5</v>
      </c>
      <c r="G3001" t="s">
        <v>3300</v>
      </c>
      <c r="H3001" t="s">
        <v>3301</v>
      </c>
      <c r="I3001" t="str">
        <f>HYPERLINK("https://zfin.org/ZDB-GENE-080515-6")</f>
        <v>https://zfin.org/ZDB-GENE-080515-6</v>
      </c>
      <c r="J3001" t="s">
        <v>3302</v>
      </c>
    </row>
    <row r="3002" spans="1:10" x14ac:dyDescent="0.2">
      <c r="A3002">
        <v>1.39135182099404E-14</v>
      </c>
      <c r="B3002">
        <v>0.25978059985128499</v>
      </c>
      <c r="C3002">
        <v>0.182</v>
      </c>
      <c r="D3002">
        <v>4.1000000000000002E-2</v>
      </c>
      <c r="E3002">
        <v>1.9337007608175201E-10</v>
      </c>
      <c r="F3002">
        <v>5</v>
      </c>
      <c r="G3002" t="s">
        <v>6051</v>
      </c>
      <c r="H3002" t="s">
        <v>6052</v>
      </c>
      <c r="I3002" t="str">
        <f>HYPERLINK("https://zfin.org/ZDB-GENE-040718-363")</f>
        <v>https://zfin.org/ZDB-GENE-040718-363</v>
      </c>
      <c r="J3002" t="s">
        <v>6053</v>
      </c>
    </row>
    <row r="3003" spans="1:10" x14ac:dyDescent="0.2">
      <c r="A3003">
        <v>1.6264567538754101E-14</v>
      </c>
      <c r="B3003">
        <v>0.34498880349998801</v>
      </c>
      <c r="C3003">
        <v>0.29099999999999998</v>
      </c>
      <c r="D3003">
        <v>0.09</v>
      </c>
      <c r="E3003">
        <v>2.2604495965360501E-10</v>
      </c>
      <c r="F3003">
        <v>5</v>
      </c>
      <c r="G3003" t="s">
        <v>6054</v>
      </c>
      <c r="H3003" t="s">
        <v>6055</v>
      </c>
      <c r="I3003" t="str">
        <f>HYPERLINK("https://zfin.org/ZDB-GENE-031118-96")</f>
        <v>https://zfin.org/ZDB-GENE-031118-96</v>
      </c>
      <c r="J3003" t="s">
        <v>6056</v>
      </c>
    </row>
    <row r="3004" spans="1:10" x14ac:dyDescent="0.2">
      <c r="A3004">
        <v>1.6599180476450201E-14</v>
      </c>
      <c r="B3004">
        <v>0.451884013650101</v>
      </c>
      <c r="C3004">
        <v>0.50700000000000001</v>
      </c>
      <c r="D3004">
        <v>0.22</v>
      </c>
      <c r="E3004">
        <v>2.3069541026170499E-10</v>
      </c>
      <c r="F3004">
        <v>5</v>
      </c>
      <c r="G3004" t="s">
        <v>3157</v>
      </c>
      <c r="H3004" t="s">
        <v>3158</v>
      </c>
      <c r="I3004" t="str">
        <f>HYPERLINK("https://zfin.org/ZDB-GENE-031030-2")</f>
        <v>https://zfin.org/ZDB-GENE-031030-2</v>
      </c>
      <c r="J3004" t="s">
        <v>3159</v>
      </c>
    </row>
    <row r="3005" spans="1:10" x14ac:dyDescent="0.2">
      <c r="A3005">
        <v>1.7269397112530901E-14</v>
      </c>
      <c r="B3005">
        <v>0.34666696574443101</v>
      </c>
      <c r="C3005">
        <v>0.27</v>
      </c>
      <c r="D3005">
        <v>8.1000000000000003E-2</v>
      </c>
      <c r="E3005">
        <v>2.40010081069955E-10</v>
      </c>
      <c r="F3005">
        <v>5</v>
      </c>
      <c r="G3005" t="s">
        <v>5006</v>
      </c>
      <c r="H3005" t="s">
        <v>5007</v>
      </c>
      <c r="I3005" t="str">
        <f>HYPERLINK("https://zfin.org/ZDB-GENE-050417-105")</f>
        <v>https://zfin.org/ZDB-GENE-050417-105</v>
      </c>
      <c r="J3005" t="s">
        <v>5008</v>
      </c>
    </row>
    <row r="3006" spans="1:10" x14ac:dyDescent="0.2">
      <c r="A3006">
        <v>2.0157912287700901E-14</v>
      </c>
      <c r="B3006">
        <v>0.44063826255461702</v>
      </c>
      <c r="C3006">
        <v>0.83099999999999996</v>
      </c>
      <c r="D3006">
        <v>0.55100000000000005</v>
      </c>
      <c r="E3006">
        <v>2.8015466497446701E-10</v>
      </c>
      <c r="F3006">
        <v>5</v>
      </c>
      <c r="G3006" t="s">
        <v>2036</v>
      </c>
      <c r="H3006" t="s">
        <v>2037</v>
      </c>
      <c r="I3006" t="str">
        <f>HYPERLINK("https://zfin.org/ZDB-GENE-001208-4")</f>
        <v>https://zfin.org/ZDB-GENE-001208-4</v>
      </c>
      <c r="J3006" t="s">
        <v>2038</v>
      </c>
    </row>
    <row r="3007" spans="1:10" x14ac:dyDescent="0.2">
      <c r="A3007">
        <v>2.41236496996811E-14</v>
      </c>
      <c r="B3007">
        <v>0.42325720840452002</v>
      </c>
      <c r="C3007">
        <v>0.33800000000000002</v>
      </c>
      <c r="D3007">
        <v>0.12</v>
      </c>
      <c r="E3007">
        <v>3.3527048352616899E-10</v>
      </c>
      <c r="F3007">
        <v>5</v>
      </c>
      <c r="G3007" t="s">
        <v>5754</v>
      </c>
      <c r="H3007" t="s">
        <v>5755</v>
      </c>
      <c r="I3007" t="str">
        <f>HYPERLINK("https://zfin.org/ZDB-GENE-040426-2594")</f>
        <v>https://zfin.org/ZDB-GENE-040426-2594</v>
      </c>
      <c r="J3007" t="s">
        <v>5756</v>
      </c>
    </row>
    <row r="3008" spans="1:10" x14ac:dyDescent="0.2">
      <c r="A3008">
        <v>2.4651032387961501E-14</v>
      </c>
      <c r="B3008">
        <v>-0.94105193182335101</v>
      </c>
      <c r="C3008">
        <v>0.64200000000000002</v>
      </c>
      <c r="D3008">
        <v>0.748</v>
      </c>
      <c r="E3008">
        <v>3.4260004812788901E-10</v>
      </c>
      <c r="F3008">
        <v>5</v>
      </c>
      <c r="G3008" t="s">
        <v>2232</v>
      </c>
      <c r="H3008" t="s">
        <v>2233</v>
      </c>
      <c r="I3008" t="str">
        <f>HYPERLINK("https://zfin.org/ZDB-GENE-030131-8575")</f>
        <v>https://zfin.org/ZDB-GENE-030131-8575</v>
      </c>
      <c r="J3008" t="s">
        <v>2234</v>
      </c>
    </row>
    <row r="3009" spans="1:10" x14ac:dyDescent="0.2">
      <c r="A3009">
        <v>2.7772904311352301E-14</v>
      </c>
      <c r="B3009">
        <v>0.33230432062248999</v>
      </c>
      <c r="C3009">
        <v>0.223</v>
      </c>
      <c r="D3009">
        <v>5.8999999999999997E-2</v>
      </c>
      <c r="E3009">
        <v>3.8598782411917497E-10</v>
      </c>
      <c r="F3009">
        <v>5</v>
      </c>
      <c r="G3009" t="s">
        <v>6057</v>
      </c>
      <c r="H3009" t="s">
        <v>6058</v>
      </c>
      <c r="I3009" t="str">
        <f>HYPERLINK("https://zfin.org/ZDB-GENE-030131-8898")</f>
        <v>https://zfin.org/ZDB-GENE-030131-8898</v>
      </c>
      <c r="J3009" t="s">
        <v>6059</v>
      </c>
    </row>
    <row r="3010" spans="1:10" x14ac:dyDescent="0.2">
      <c r="A3010">
        <v>3.0026821443759102E-14</v>
      </c>
      <c r="B3010">
        <v>0.36990221364412601</v>
      </c>
      <c r="C3010">
        <v>0.51400000000000001</v>
      </c>
      <c r="D3010">
        <v>0.215</v>
      </c>
      <c r="E3010">
        <v>4.1731276442536398E-10</v>
      </c>
      <c r="F3010">
        <v>5</v>
      </c>
      <c r="G3010" t="s">
        <v>3817</v>
      </c>
      <c r="H3010" t="s">
        <v>3818</v>
      </c>
      <c r="I3010" t="str">
        <f>HYPERLINK("https://zfin.org/ZDB-GENE-011018-2")</f>
        <v>https://zfin.org/ZDB-GENE-011018-2</v>
      </c>
      <c r="J3010" t="s">
        <v>3819</v>
      </c>
    </row>
    <row r="3011" spans="1:10" x14ac:dyDescent="0.2">
      <c r="A3011">
        <v>3.1158212608841203E-14</v>
      </c>
      <c r="B3011">
        <v>0.46616365117333902</v>
      </c>
      <c r="C3011">
        <v>0.17599999999999999</v>
      </c>
      <c r="D3011">
        <v>0.04</v>
      </c>
      <c r="E3011">
        <v>4.3303683883767498E-10</v>
      </c>
      <c r="F3011">
        <v>5</v>
      </c>
      <c r="G3011" t="s">
        <v>5177</v>
      </c>
      <c r="H3011" t="s">
        <v>5178</v>
      </c>
      <c r="I3011" t="str">
        <f>HYPERLINK("https://zfin.org/ZDB-GENE-010320-1")</f>
        <v>https://zfin.org/ZDB-GENE-010320-1</v>
      </c>
      <c r="J3011" t="s">
        <v>5179</v>
      </c>
    </row>
    <row r="3012" spans="1:10" x14ac:dyDescent="0.2">
      <c r="A3012">
        <v>3.3933814120554899E-14</v>
      </c>
      <c r="B3012">
        <v>0.30567736323174499</v>
      </c>
      <c r="C3012">
        <v>0.122</v>
      </c>
      <c r="D3012">
        <v>2.1000000000000001E-2</v>
      </c>
      <c r="E3012">
        <v>4.7161214864747104E-10</v>
      </c>
      <c r="F3012">
        <v>5</v>
      </c>
      <c r="G3012" t="s">
        <v>5426</v>
      </c>
      <c r="H3012" t="s">
        <v>5427</v>
      </c>
      <c r="I3012" t="str">
        <f>HYPERLINK("https://zfin.org/ZDB-GENE-020419-21")</f>
        <v>https://zfin.org/ZDB-GENE-020419-21</v>
      </c>
      <c r="J3012" t="s">
        <v>5428</v>
      </c>
    </row>
    <row r="3013" spans="1:10" x14ac:dyDescent="0.2">
      <c r="A3013">
        <v>3.5157443458252902E-14</v>
      </c>
      <c r="B3013">
        <v>-0.80204525320702102</v>
      </c>
      <c r="C3013">
        <v>0.40500000000000003</v>
      </c>
      <c r="D3013">
        <v>0.62</v>
      </c>
      <c r="E3013">
        <v>4.8861814918279895E-10</v>
      </c>
      <c r="F3013">
        <v>5</v>
      </c>
      <c r="G3013" t="s">
        <v>2042</v>
      </c>
      <c r="H3013" t="s">
        <v>2043</v>
      </c>
      <c r="I3013" t="str">
        <f>HYPERLINK("https://zfin.org/ZDB-GENE-110411-217")</f>
        <v>https://zfin.org/ZDB-GENE-110411-217</v>
      </c>
      <c r="J3013" t="s">
        <v>2044</v>
      </c>
    </row>
    <row r="3014" spans="1:10" x14ac:dyDescent="0.2">
      <c r="A3014">
        <v>3.7553526758914197E-14</v>
      </c>
      <c r="B3014">
        <v>0.30890525536060898</v>
      </c>
      <c r="C3014">
        <v>0.155</v>
      </c>
      <c r="D3014">
        <v>3.2000000000000001E-2</v>
      </c>
      <c r="E3014">
        <v>5.2191891489539E-10</v>
      </c>
      <c r="F3014">
        <v>5</v>
      </c>
      <c r="G3014" t="s">
        <v>6060</v>
      </c>
      <c r="H3014" t="s">
        <v>6061</v>
      </c>
      <c r="I3014" t="str">
        <f>HYPERLINK("https://zfin.org/ZDB-GENE-041010-23")</f>
        <v>https://zfin.org/ZDB-GENE-041010-23</v>
      </c>
      <c r="J3014" t="s">
        <v>6062</v>
      </c>
    </row>
    <row r="3015" spans="1:10" x14ac:dyDescent="0.2">
      <c r="A3015">
        <v>4.2240410808695702E-14</v>
      </c>
      <c r="B3015">
        <v>0.52325588939224599</v>
      </c>
      <c r="C3015">
        <v>0.89200000000000002</v>
      </c>
      <c r="D3015">
        <v>0.66100000000000003</v>
      </c>
      <c r="E3015">
        <v>5.8705722941925304E-10</v>
      </c>
      <c r="F3015">
        <v>5</v>
      </c>
      <c r="G3015" t="s">
        <v>2514</v>
      </c>
      <c r="H3015" t="s">
        <v>2515</v>
      </c>
      <c r="I3015" t="str">
        <f>HYPERLINK("https://zfin.org/ZDB-GENE-000210-25")</f>
        <v>https://zfin.org/ZDB-GENE-000210-25</v>
      </c>
      <c r="J3015" t="s">
        <v>2516</v>
      </c>
    </row>
    <row r="3016" spans="1:10" x14ac:dyDescent="0.2">
      <c r="A3016">
        <v>4.2434841381715001E-14</v>
      </c>
      <c r="B3016">
        <v>0.57533773708476899</v>
      </c>
      <c r="C3016">
        <v>0.54100000000000004</v>
      </c>
      <c r="D3016">
        <v>0.27</v>
      </c>
      <c r="E3016">
        <v>5.8975942552307496E-10</v>
      </c>
      <c r="F3016">
        <v>5</v>
      </c>
      <c r="G3016" t="s">
        <v>5441</v>
      </c>
      <c r="H3016" t="s">
        <v>5442</v>
      </c>
      <c r="I3016" t="str">
        <f>HYPERLINK("https://zfin.org/ZDB-GENE-030131-6657")</f>
        <v>https://zfin.org/ZDB-GENE-030131-6657</v>
      </c>
      <c r="J3016" t="s">
        <v>5443</v>
      </c>
    </row>
    <row r="3017" spans="1:10" x14ac:dyDescent="0.2">
      <c r="A3017">
        <v>4.4952794341446498E-14</v>
      </c>
      <c r="B3017">
        <v>0.34667431681483402</v>
      </c>
      <c r="C3017">
        <v>0.29099999999999998</v>
      </c>
      <c r="D3017">
        <v>9.0999999999999998E-2</v>
      </c>
      <c r="E3017">
        <v>6.2475393575742405E-10</v>
      </c>
      <c r="F3017">
        <v>5</v>
      </c>
      <c r="G3017" t="s">
        <v>4878</v>
      </c>
      <c r="H3017" t="s">
        <v>4879</v>
      </c>
      <c r="I3017" t="str">
        <f>HYPERLINK("https://zfin.org/ZDB-GENE-030131-7158")</f>
        <v>https://zfin.org/ZDB-GENE-030131-7158</v>
      </c>
      <c r="J3017" t="s">
        <v>4880</v>
      </c>
    </row>
    <row r="3018" spans="1:10" x14ac:dyDescent="0.2">
      <c r="A3018">
        <v>4.6626833057906103E-14</v>
      </c>
      <c r="B3018">
        <v>-1.1383703850562801</v>
      </c>
      <c r="C3018">
        <v>0.223</v>
      </c>
      <c r="D3018">
        <v>0.49199999999999999</v>
      </c>
      <c r="E3018">
        <v>6.4801972583877998E-10</v>
      </c>
      <c r="F3018">
        <v>5</v>
      </c>
      <c r="G3018" t="s">
        <v>2319</v>
      </c>
      <c r="H3018" t="s">
        <v>2320</v>
      </c>
      <c r="I3018" t="str">
        <f>HYPERLINK("https://zfin.org/ZDB-GENE-041121-18")</f>
        <v>https://zfin.org/ZDB-GENE-041121-18</v>
      </c>
      <c r="J3018" t="s">
        <v>2321</v>
      </c>
    </row>
    <row r="3019" spans="1:10" x14ac:dyDescent="0.2">
      <c r="A3019">
        <v>5.2387121356237997E-14</v>
      </c>
      <c r="B3019">
        <v>0.282846802830507</v>
      </c>
      <c r="C3019">
        <v>0.25700000000000001</v>
      </c>
      <c r="D3019">
        <v>7.4999999999999997E-2</v>
      </c>
      <c r="E3019">
        <v>7.2807621260899497E-10</v>
      </c>
      <c r="F3019">
        <v>5</v>
      </c>
      <c r="G3019" t="s">
        <v>6063</v>
      </c>
      <c r="H3019" t="s">
        <v>6064</v>
      </c>
      <c r="I3019" t="str">
        <f>HYPERLINK("https://zfin.org/ZDB-GENE-060421-2909")</f>
        <v>https://zfin.org/ZDB-GENE-060421-2909</v>
      </c>
      <c r="J3019" t="s">
        <v>6065</v>
      </c>
    </row>
    <row r="3020" spans="1:10" x14ac:dyDescent="0.2">
      <c r="A3020">
        <v>5.2775484375251498E-14</v>
      </c>
      <c r="B3020">
        <v>0.44201959888974701</v>
      </c>
      <c r="C3020">
        <v>0.318</v>
      </c>
      <c r="D3020">
        <v>0.107</v>
      </c>
      <c r="E3020">
        <v>7.33473681847246E-10</v>
      </c>
      <c r="F3020">
        <v>5</v>
      </c>
      <c r="G3020" t="s">
        <v>3996</v>
      </c>
      <c r="H3020" t="s">
        <v>3997</v>
      </c>
      <c r="I3020" t="str">
        <f>HYPERLINK("https://zfin.org/ZDB-GENE-050208-448")</f>
        <v>https://zfin.org/ZDB-GENE-050208-448</v>
      </c>
      <c r="J3020" t="s">
        <v>3998</v>
      </c>
    </row>
    <row r="3021" spans="1:10" x14ac:dyDescent="0.2">
      <c r="A3021">
        <v>5.4093916558225298E-14</v>
      </c>
      <c r="B3021">
        <v>0.26062223388111999</v>
      </c>
      <c r="C3021">
        <v>0.14199999999999999</v>
      </c>
      <c r="D3021">
        <v>2.8000000000000001E-2</v>
      </c>
      <c r="E3021">
        <v>7.5179725232621498E-10</v>
      </c>
      <c r="F3021">
        <v>5</v>
      </c>
      <c r="G3021" t="s">
        <v>5330</v>
      </c>
      <c r="H3021" t="s">
        <v>5331</v>
      </c>
      <c r="I3021" t="str">
        <f>HYPERLINK("https://zfin.org/")</f>
        <v>https://zfin.org/</v>
      </c>
    </row>
    <row r="3022" spans="1:10" x14ac:dyDescent="0.2">
      <c r="A3022">
        <v>5.5961206778651902E-14</v>
      </c>
      <c r="B3022">
        <v>0.30074786545023402</v>
      </c>
      <c r="C3022">
        <v>0.98599999999999999</v>
      </c>
      <c r="D3022">
        <v>0.93200000000000005</v>
      </c>
      <c r="E3022">
        <v>7.7774885180970396E-10</v>
      </c>
      <c r="F3022">
        <v>5</v>
      </c>
      <c r="G3022" t="s">
        <v>2523</v>
      </c>
      <c r="H3022" t="s">
        <v>2524</v>
      </c>
      <c r="I3022" t="str">
        <f>HYPERLINK("https://zfin.org/ZDB-GENE-050320-15")</f>
        <v>https://zfin.org/ZDB-GENE-050320-15</v>
      </c>
      <c r="J3022" t="s">
        <v>2525</v>
      </c>
    </row>
    <row r="3023" spans="1:10" x14ac:dyDescent="0.2">
      <c r="A3023">
        <v>6.6754784790610198E-14</v>
      </c>
      <c r="B3023">
        <v>0.47672164962146901</v>
      </c>
      <c r="C3023">
        <v>0.35099999999999998</v>
      </c>
      <c r="D3023">
        <v>0.128</v>
      </c>
      <c r="E3023">
        <v>9.2775799901990098E-10</v>
      </c>
      <c r="F3023">
        <v>5</v>
      </c>
      <c r="G3023" t="s">
        <v>3558</v>
      </c>
      <c r="H3023" t="s">
        <v>3559</v>
      </c>
      <c r="I3023" t="str">
        <f>HYPERLINK("https://zfin.org/ZDB-GENE-030925-31")</f>
        <v>https://zfin.org/ZDB-GENE-030925-31</v>
      </c>
      <c r="J3023" t="s">
        <v>3560</v>
      </c>
    </row>
    <row r="3024" spans="1:10" x14ac:dyDescent="0.2">
      <c r="A3024">
        <v>6.8397419876055198E-14</v>
      </c>
      <c r="B3024">
        <v>0.27272346838806899</v>
      </c>
      <c r="C3024">
        <v>0.14899999999999999</v>
      </c>
      <c r="D3024">
        <v>0.03</v>
      </c>
      <c r="E3024">
        <v>9.5058734143741498E-10</v>
      </c>
      <c r="F3024">
        <v>5</v>
      </c>
      <c r="G3024" t="s">
        <v>6066</v>
      </c>
      <c r="H3024" t="s">
        <v>6067</v>
      </c>
      <c r="I3024" t="str">
        <f>HYPERLINK("https://zfin.org/ZDB-GENE-040426-879")</f>
        <v>https://zfin.org/ZDB-GENE-040426-879</v>
      </c>
      <c r="J3024" t="s">
        <v>6068</v>
      </c>
    </row>
    <row r="3025" spans="1:10" x14ac:dyDescent="0.2">
      <c r="A3025">
        <v>7.2603568586173902E-14</v>
      </c>
      <c r="B3025">
        <v>0.36662084499430703</v>
      </c>
      <c r="C3025">
        <v>0.24299999999999999</v>
      </c>
      <c r="D3025">
        <v>7.0000000000000007E-2</v>
      </c>
      <c r="E3025">
        <v>1.0090443962106399E-9</v>
      </c>
      <c r="F3025">
        <v>5</v>
      </c>
      <c r="G3025" t="s">
        <v>6069</v>
      </c>
      <c r="H3025" t="s">
        <v>6070</v>
      </c>
      <c r="I3025" t="str">
        <f>HYPERLINK("https://zfin.org/ZDB-GENE-050420-289")</f>
        <v>https://zfin.org/ZDB-GENE-050420-289</v>
      </c>
      <c r="J3025" t="s">
        <v>6071</v>
      </c>
    </row>
    <row r="3026" spans="1:10" x14ac:dyDescent="0.2">
      <c r="A3026">
        <v>9.5940595627537303E-14</v>
      </c>
      <c r="B3026">
        <v>0.25765896233568603</v>
      </c>
      <c r="C3026">
        <v>0.17599999999999999</v>
      </c>
      <c r="D3026">
        <v>4.1000000000000002E-2</v>
      </c>
      <c r="E3026">
        <v>1.3333823980315101E-9</v>
      </c>
      <c r="F3026">
        <v>5</v>
      </c>
      <c r="G3026" t="s">
        <v>5634</v>
      </c>
      <c r="H3026" t="s">
        <v>5635</v>
      </c>
      <c r="I3026" t="str">
        <f>HYPERLINK("https://zfin.org/ZDB-GENE-040426-900")</f>
        <v>https://zfin.org/ZDB-GENE-040426-900</v>
      </c>
      <c r="J3026" t="s">
        <v>5636</v>
      </c>
    </row>
    <row r="3027" spans="1:10" x14ac:dyDescent="0.2">
      <c r="A3027">
        <v>9.9208610426806704E-14</v>
      </c>
      <c r="B3027">
        <v>0.45441017663928002</v>
      </c>
      <c r="C3027">
        <v>0.93899999999999995</v>
      </c>
      <c r="D3027">
        <v>0.72099999999999997</v>
      </c>
      <c r="E3027">
        <v>1.37880126771176E-9</v>
      </c>
      <c r="F3027">
        <v>5</v>
      </c>
      <c r="G3027" t="s">
        <v>4779</v>
      </c>
      <c r="H3027" t="s">
        <v>4780</v>
      </c>
      <c r="I3027" t="str">
        <f>HYPERLINK("https://zfin.org/ZDB-GENE-051023-7")</f>
        <v>https://zfin.org/ZDB-GENE-051023-7</v>
      </c>
      <c r="J3027" t="s">
        <v>4781</v>
      </c>
    </row>
    <row r="3028" spans="1:10" x14ac:dyDescent="0.2">
      <c r="A3028">
        <v>1.00929019140236E-13</v>
      </c>
      <c r="B3028">
        <v>0.41574752962130501</v>
      </c>
      <c r="C3028">
        <v>0.60099999999999998</v>
      </c>
      <c r="D3028">
        <v>0.28799999999999998</v>
      </c>
      <c r="E3028">
        <v>1.4027115080110001E-9</v>
      </c>
      <c r="F3028">
        <v>5</v>
      </c>
      <c r="G3028" t="s">
        <v>3948</v>
      </c>
      <c r="H3028" t="s">
        <v>3949</v>
      </c>
      <c r="I3028" t="str">
        <f>HYPERLINK("https://zfin.org/ZDB-GENE-041216-1")</f>
        <v>https://zfin.org/ZDB-GENE-041216-1</v>
      </c>
      <c r="J3028" t="s">
        <v>3950</v>
      </c>
    </row>
    <row r="3029" spans="1:10" x14ac:dyDescent="0.2">
      <c r="A3029">
        <v>1.0093960637218201E-13</v>
      </c>
      <c r="B3029">
        <v>0.33995045571563398</v>
      </c>
      <c r="C3029">
        <v>0.439</v>
      </c>
      <c r="D3029">
        <v>0.17199999999999999</v>
      </c>
      <c r="E3029">
        <v>1.40285864936059E-9</v>
      </c>
      <c r="F3029">
        <v>5</v>
      </c>
      <c r="G3029" t="s">
        <v>3405</v>
      </c>
      <c r="H3029" t="s">
        <v>3406</v>
      </c>
      <c r="I3029" t="str">
        <f>HYPERLINK("https://zfin.org/ZDB-GENE-141222-32")</f>
        <v>https://zfin.org/ZDB-GENE-141222-32</v>
      </c>
      <c r="J3029" t="s">
        <v>3407</v>
      </c>
    </row>
    <row r="3030" spans="1:10" x14ac:dyDescent="0.2">
      <c r="A3030">
        <v>1.0467525775802501E-13</v>
      </c>
      <c r="B3030">
        <v>0.49447498568985998</v>
      </c>
      <c r="C3030">
        <v>0.70299999999999996</v>
      </c>
      <c r="D3030">
        <v>0.39</v>
      </c>
      <c r="E3030">
        <v>1.45477673232104E-9</v>
      </c>
      <c r="F3030">
        <v>5</v>
      </c>
      <c r="G3030" t="s">
        <v>3387</v>
      </c>
      <c r="H3030" t="s">
        <v>3388</v>
      </c>
      <c r="I3030" t="str">
        <f>HYPERLINK("https://zfin.org/ZDB-GENE-050522-181")</f>
        <v>https://zfin.org/ZDB-GENE-050522-181</v>
      </c>
      <c r="J3030" t="s">
        <v>3389</v>
      </c>
    </row>
    <row r="3031" spans="1:10" x14ac:dyDescent="0.2">
      <c r="A3031">
        <v>1.05585248743011E-13</v>
      </c>
      <c r="B3031">
        <v>0.46933997215211398</v>
      </c>
      <c r="C3031">
        <v>0.49299999999999999</v>
      </c>
      <c r="D3031">
        <v>0.22</v>
      </c>
      <c r="E3031">
        <v>1.4674237870303699E-9</v>
      </c>
      <c r="F3031">
        <v>5</v>
      </c>
      <c r="G3031" t="s">
        <v>6072</v>
      </c>
      <c r="H3031" t="s">
        <v>6073</v>
      </c>
      <c r="I3031" t="str">
        <f>HYPERLINK("https://zfin.org/ZDB-GENE-030605-1")</f>
        <v>https://zfin.org/ZDB-GENE-030605-1</v>
      </c>
      <c r="J3031" t="s">
        <v>6074</v>
      </c>
    </row>
    <row r="3032" spans="1:10" x14ac:dyDescent="0.2">
      <c r="A3032">
        <v>1.1330794362383699E-13</v>
      </c>
      <c r="B3032">
        <v>0.42668224308004998</v>
      </c>
      <c r="C3032">
        <v>0.81100000000000005</v>
      </c>
      <c r="D3032">
        <v>0.48399999999999999</v>
      </c>
      <c r="E3032">
        <v>1.57475380048409E-9</v>
      </c>
      <c r="F3032">
        <v>5</v>
      </c>
      <c r="G3032" t="s">
        <v>2481</v>
      </c>
      <c r="H3032" t="s">
        <v>2482</v>
      </c>
      <c r="I3032" t="str">
        <f>HYPERLINK("https://zfin.org/ZDB-GENE-030131-5162")</f>
        <v>https://zfin.org/ZDB-GENE-030131-5162</v>
      </c>
      <c r="J3032" t="s">
        <v>2483</v>
      </c>
    </row>
    <row r="3033" spans="1:10" x14ac:dyDescent="0.2">
      <c r="A3033">
        <v>1.17216133391058E-13</v>
      </c>
      <c r="B3033">
        <v>0.27523110652837801</v>
      </c>
      <c r="C3033">
        <v>0.16900000000000001</v>
      </c>
      <c r="D3033">
        <v>3.9E-2</v>
      </c>
      <c r="E3033">
        <v>1.6290698218689199E-9</v>
      </c>
      <c r="F3033">
        <v>5</v>
      </c>
      <c r="G3033" t="s">
        <v>6075</v>
      </c>
      <c r="H3033" t="s">
        <v>6076</v>
      </c>
      <c r="I3033" t="str">
        <f>HYPERLINK("https://zfin.org/ZDB-GENE-060503-297")</f>
        <v>https://zfin.org/ZDB-GENE-060503-297</v>
      </c>
      <c r="J3033" t="s">
        <v>6077</v>
      </c>
    </row>
    <row r="3034" spans="1:10" x14ac:dyDescent="0.2">
      <c r="A3034">
        <v>1.2869753106282099E-13</v>
      </c>
      <c r="B3034">
        <v>0.53481352180438202</v>
      </c>
      <c r="C3034">
        <v>0.41199999999999998</v>
      </c>
      <c r="D3034">
        <v>0.17199999999999999</v>
      </c>
      <c r="E3034">
        <v>1.78863828671108E-9</v>
      </c>
      <c r="F3034">
        <v>5</v>
      </c>
      <c r="G3034" t="s">
        <v>1872</v>
      </c>
      <c r="H3034" t="s">
        <v>1873</v>
      </c>
      <c r="I3034" t="str">
        <f>HYPERLINK("https://zfin.org/ZDB-GENE-081105-65")</f>
        <v>https://zfin.org/ZDB-GENE-081105-65</v>
      </c>
      <c r="J3034" t="s">
        <v>1874</v>
      </c>
    </row>
    <row r="3035" spans="1:10" x14ac:dyDescent="0.2">
      <c r="A3035">
        <v>1.30816237840596E-13</v>
      </c>
      <c r="B3035">
        <v>0.31446778207473902</v>
      </c>
      <c r="C3035">
        <v>0.20300000000000001</v>
      </c>
      <c r="D3035">
        <v>5.2999999999999999E-2</v>
      </c>
      <c r="E3035">
        <v>1.8180840735086099E-9</v>
      </c>
      <c r="F3035">
        <v>5</v>
      </c>
      <c r="G3035" t="s">
        <v>5207</v>
      </c>
      <c r="H3035" t="s">
        <v>5208</v>
      </c>
      <c r="I3035" t="str">
        <f>HYPERLINK("https://zfin.org/ZDB-GENE-100922-200")</f>
        <v>https://zfin.org/ZDB-GENE-100922-200</v>
      </c>
      <c r="J3035" t="s">
        <v>5209</v>
      </c>
    </row>
    <row r="3036" spans="1:10" x14ac:dyDescent="0.2">
      <c r="A3036">
        <v>1.3133612204585501E-13</v>
      </c>
      <c r="B3036">
        <v>0.38327521165817602</v>
      </c>
      <c r="C3036">
        <v>0.39900000000000002</v>
      </c>
      <c r="D3036">
        <v>0.155</v>
      </c>
      <c r="E3036">
        <v>1.82530942419329E-9</v>
      </c>
      <c r="F3036">
        <v>5</v>
      </c>
      <c r="G3036" t="s">
        <v>6078</v>
      </c>
      <c r="H3036" t="s">
        <v>6079</v>
      </c>
      <c r="I3036" t="str">
        <f>HYPERLINK("https://zfin.org/ZDB-GENE-030131-5532")</f>
        <v>https://zfin.org/ZDB-GENE-030131-5532</v>
      </c>
      <c r="J3036" t="s">
        <v>6080</v>
      </c>
    </row>
    <row r="3037" spans="1:10" x14ac:dyDescent="0.2">
      <c r="A3037">
        <v>1.54780145826548E-13</v>
      </c>
      <c r="B3037">
        <v>0.31895865643589999</v>
      </c>
      <c r="C3037">
        <v>0.41899999999999998</v>
      </c>
      <c r="D3037">
        <v>0.16200000000000001</v>
      </c>
      <c r="E3037">
        <v>2.1511344666973702E-9</v>
      </c>
      <c r="F3037">
        <v>5</v>
      </c>
      <c r="G3037" t="s">
        <v>3820</v>
      </c>
      <c r="H3037" t="s">
        <v>3821</v>
      </c>
      <c r="I3037" t="str">
        <f>HYPERLINK("https://zfin.org/ZDB-GENE-030131-2841")</f>
        <v>https://zfin.org/ZDB-GENE-030131-2841</v>
      </c>
      <c r="J3037" t="s">
        <v>3822</v>
      </c>
    </row>
    <row r="3038" spans="1:10" x14ac:dyDescent="0.2">
      <c r="A3038">
        <v>1.63501291558536E-13</v>
      </c>
      <c r="B3038">
        <v>0.28115880512800401</v>
      </c>
      <c r="C3038">
        <v>1</v>
      </c>
      <c r="D3038">
        <v>0.96099999999999997</v>
      </c>
      <c r="E3038">
        <v>2.2723409500805301E-9</v>
      </c>
      <c r="F3038">
        <v>5</v>
      </c>
      <c r="G3038" t="s">
        <v>1800</v>
      </c>
      <c r="H3038" t="s">
        <v>1801</v>
      </c>
      <c r="I3038" t="str">
        <f>HYPERLINK("https://zfin.org/ZDB-GENE-020423-1")</f>
        <v>https://zfin.org/ZDB-GENE-020423-1</v>
      </c>
      <c r="J3038" t="s">
        <v>1802</v>
      </c>
    </row>
    <row r="3039" spans="1:10" x14ac:dyDescent="0.2">
      <c r="A3039">
        <v>1.9114783655965999E-13</v>
      </c>
      <c r="B3039">
        <v>0.40075169084454398</v>
      </c>
      <c r="C3039">
        <v>0.378</v>
      </c>
      <c r="D3039">
        <v>0.14199999999999999</v>
      </c>
      <c r="E3039">
        <v>2.65657263250615E-9</v>
      </c>
      <c r="F3039">
        <v>5</v>
      </c>
      <c r="G3039" t="s">
        <v>6081</v>
      </c>
      <c r="H3039" t="s">
        <v>6082</v>
      </c>
      <c r="I3039" t="str">
        <f>HYPERLINK("https://zfin.org/ZDB-GENE-021231-3")</f>
        <v>https://zfin.org/ZDB-GENE-021231-3</v>
      </c>
      <c r="J3039" t="s">
        <v>6083</v>
      </c>
    </row>
    <row r="3040" spans="1:10" x14ac:dyDescent="0.2">
      <c r="A3040">
        <v>1.91661155990699E-13</v>
      </c>
      <c r="B3040">
        <v>-1.0116234862198299</v>
      </c>
      <c r="C3040">
        <v>0.63500000000000001</v>
      </c>
      <c r="D3040">
        <v>0.74299999999999999</v>
      </c>
      <c r="E3040">
        <v>2.6637067459587399E-9</v>
      </c>
      <c r="F3040">
        <v>5</v>
      </c>
      <c r="G3040" t="s">
        <v>2015</v>
      </c>
      <c r="H3040" t="s">
        <v>2016</v>
      </c>
      <c r="I3040" t="str">
        <f>HYPERLINK("https://zfin.org/ZDB-GENE-030131-12")</f>
        <v>https://zfin.org/ZDB-GENE-030131-12</v>
      </c>
      <c r="J3040" t="s">
        <v>2017</v>
      </c>
    </row>
    <row r="3041" spans="1:10" x14ac:dyDescent="0.2">
      <c r="A3041">
        <v>1.9878061780737699E-13</v>
      </c>
      <c r="B3041">
        <v>0.48247995357290402</v>
      </c>
      <c r="C3041">
        <v>0.66200000000000003</v>
      </c>
      <c r="D3041">
        <v>0.36399999999999999</v>
      </c>
      <c r="E3041">
        <v>2.76265302628693E-9</v>
      </c>
      <c r="F3041">
        <v>5</v>
      </c>
      <c r="G3041" t="s">
        <v>3091</v>
      </c>
      <c r="H3041" t="s">
        <v>3092</v>
      </c>
      <c r="I3041" t="str">
        <f>HYPERLINK("https://zfin.org/ZDB-GENE-020717-1")</f>
        <v>https://zfin.org/ZDB-GENE-020717-1</v>
      </c>
      <c r="J3041" t="s">
        <v>3093</v>
      </c>
    </row>
    <row r="3042" spans="1:10" x14ac:dyDescent="0.2">
      <c r="A3042">
        <v>2.29150882247086E-13</v>
      </c>
      <c r="B3042">
        <v>-0.924345096765392</v>
      </c>
      <c r="C3042">
        <v>0.28399999999999997</v>
      </c>
      <c r="D3042">
        <v>0.52100000000000002</v>
      </c>
      <c r="E3042">
        <v>3.1847389614699999E-9</v>
      </c>
      <c r="F3042">
        <v>5</v>
      </c>
      <c r="G3042" t="s">
        <v>1329</v>
      </c>
      <c r="H3042" t="s">
        <v>1330</v>
      </c>
      <c r="I3042" t="str">
        <f>HYPERLINK("https://zfin.org/ZDB-GENE-030131-8541")</f>
        <v>https://zfin.org/ZDB-GENE-030131-8541</v>
      </c>
      <c r="J3042" t="s">
        <v>1331</v>
      </c>
    </row>
    <row r="3043" spans="1:10" x14ac:dyDescent="0.2">
      <c r="A3043">
        <v>2.4358244220709198E-13</v>
      </c>
      <c r="B3043">
        <v>0.33501695251708602</v>
      </c>
      <c r="C3043">
        <v>0.36499999999999999</v>
      </c>
      <c r="D3043">
        <v>0.13400000000000001</v>
      </c>
      <c r="E3043">
        <v>3.3853087817941598E-9</v>
      </c>
      <c r="F3043">
        <v>5</v>
      </c>
      <c r="G3043" t="s">
        <v>6084</v>
      </c>
      <c r="H3043" t="s">
        <v>6085</v>
      </c>
      <c r="I3043" t="str">
        <f>HYPERLINK("https://zfin.org/ZDB-GENE-130603-67")</f>
        <v>https://zfin.org/ZDB-GENE-130603-67</v>
      </c>
      <c r="J3043" t="s">
        <v>6086</v>
      </c>
    </row>
    <row r="3044" spans="1:10" x14ac:dyDescent="0.2">
      <c r="A3044">
        <v>2.6070469369774002E-13</v>
      </c>
      <c r="B3044">
        <v>0.40926473307990502</v>
      </c>
      <c r="C3044">
        <v>0.63500000000000001</v>
      </c>
      <c r="D3044">
        <v>0.317</v>
      </c>
      <c r="E3044">
        <v>3.6232738330111901E-9</v>
      </c>
      <c r="F3044">
        <v>5</v>
      </c>
      <c r="G3044" t="s">
        <v>4566</v>
      </c>
      <c r="H3044" t="s">
        <v>4567</v>
      </c>
      <c r="I3044" t="str">
        <f>HYPERLINK("https://zfin.org/ZDB-GENE-040718-279")</f>
        <v>https://zfin.org/ZDB-GENE-040718-279</v>
      </c>
      <c r="J3044" t="s">
        <v>4568</v>
      </c>
    </row>
    <row r="3045" spans="1:10" x14ac:dyDescent="0.2">
      <c r="A3045">
        <v>2.8446318972635299E-13</v>
      </c>
      <c r="B3045">
        <v>0.27353002828776302</v>
      </c>
      <c r="C3045">
        <v>0.14199999999999999</v>
      </c>
      <c r="D3045">
        <v>2.9000000000000001E-2</v>
      </c>
      <c r="E3045">
        <v>3.9534694108168496E-9</v>
      </c>
      <c r="F3045">
        <v>5</v>
      </c>
      <c r="G3045" t="s">
        <v>4896</v>
      </c>
      <c r="H3045" t="s">
        <v>4897</v>
      </c>
      <c r="I3045" t="str">
        <f>HYPERLINK("https://zfin.org/ZDB-GENE-041114-171")</f>
        <v>https://zfin.org/ZDB-GENE-041114-171</v>
      </c>
      <c r="J3045" t="s">
        <v>4898</v>
      </c>
    </row>
    <row r="3046" spans="1:10" x14ac:dyDescent="0.2">
      <c r="A3046">
        <v>2.8451453919023E-13</v>
      </c>
      <c r="B3046">
        <v>0.37653081845234598</v>
      </c>
      <c r="C3046">
        <v>0.30399999999999999</v>
      </c>
      <c r="D3046">
        <v>0.104</v>
      </c>
      <c r="E3046">
        <v>3.9541830656658097E-9</v>
      </c>
      <c r="F3046">
        <v>5</v>
      </c>
      <c r="G3046" t="s">
        <v>6087</v>
      </c>
      <c r="H3046" t="s">
        <v>6088</v>
      </c>
      <c r="I3046" t="str">
        <f>HYPERLINK("https://zfin.org/ZDB-GENE-050417-408")</f>
        <v>https://zfin.org/ZDB-GENE-050417-408</v>
      </c>
      <c r="J3046" t="s">
        <v>6089</v>
      </c>
    </row>
    <row r="3047" spans="1:10" x14ac:dyDescent="0.2">
      <c r="A3047">
        <v>2.8453771895214101E-13</v>
      </c>
      <c r="B3047">
        <v>0.39152609133935901</v>
      </c>
      <c r="C3047">
        <v>0.36499999999999999</v>
      </c>
      <c r="D3047">
        <v>0.13700000000000001</v>
      </c>
      <c r="E3047">
        <v>3.9545052179968502E-9</v>
      </c>
      <c r="F3047">
        <v>5</v>
      </c>
      <c r="G3047" t="s">
        <v>3805</v>
      </c>
      <c r="H3047" t="s">
        <v>3806</v>
      </c>
      <c r="I3047" t="str">
        <f>HYPERLINK("https://zfin.org/ZDB-GENE-030131-9687")</f>
        <v>https://zfin.org/ZDB-GENE-030131-9687</v>
      </c>
      <c r="J3047" t="s">
        <v>3807</v>
      </c>
    </row>
    <row r="3048" spans="1:10" x14ac:dyDescent="0.2">
      <c r="A3048">
        <v>3.0346104532844201E-13</v>
      </c>
      <c r="B3048">
        <v>0.30477538091659501</v>
      </c>
      <c r="C3048">
        <v>0.25</v>
      </c>
      <c r="D3048">
        <v>7.4999999999999997E-2</v>
      </c>
      <c r="E3048">
        <v>4.2175016079746904E-9</v>
      </c>
      <c r="F3048">
        <v>5</v>
      </c>
      <c r="G3048" t="s">
        <v>6090</v>
      </c>
      <c r="H3048" t="s">
        <v>6091</v>
      </c>
      <c r="I3048" t="str">
        <f>HYPERLINK("https://zfin.org/ZDB-GENE-050706-140")</f>
        <v>https://zfin.org/ZDB-GENE-050706-140</v>
      </c>
      <c r="J3048" t="s">
        <v>4571</v>
      </c>
    </row>
    <row r="3049" spans="1:10" x14ac:dyDescent="0.2">
      <c r="A3049">
        <v>3.0378382218831801E-13</v>
      </c>
      <c r="B3049">
        <v>0.25644848083555999</v>
      </c>
      <c r="C3049">
        <v>0.155</v>
      </c>
      <c r="D3049">
        <v>3.4000000000000002E-2</v>
      </c>
      <c r="E3049">
        <v>4.2219875607732498E-9</v>
      </c>
      <c r="F3049">
        <v>5</v>
      </c>
      <c r="G3049" t="s">
        <v>6092</v>
      </c>
      <c r="H3049" t="s">
        <v>6093</v>
      </c>
      <c r="I3049" t="str">
        <f>HYPERLINK("https://zfin.org/ZDB-GENE-060503-706")</f>
        <v>https://zfin.org/ZDB-GENE-060503-706</v>
      </c>
      <c r="J3049" t="s">
        <v>6094</v>
      </c>
    </row>
    <row r="3050" spans="1:10" x14ac:dyDescent="0.2">
      <c r="A3050">
        <v>3.1835773982192902E-13</v>
      </c>
      <c r="B3050">
        <v>0.25745628807204501</v>
      </c>
      <c r="C3050">
        <v>0.27</v>
      </c>
      <c r="D3050">
        <v>8.3000000000000004E-2</v>
      </c>
      <c r="E3050">
        <v>4.4245358680451701E-9</v>
      </c>
      <c r="F3050">
        <v>5</v>
      </c>
      <c r="G3050" t="s">
        <v>6095</v>
      </c>
      <c r="H3050" t="s">
        <v>6096</v>
      </c>
      <c r="I3050" t="str">
        <f>HYPERLINK("https://zfin.org/ZDB-GENE-040912-163")</f>
        <v>https://zfin.org/ZDB-GENE-040912-163</v>
      </c>
      <c r="J3050" t="s">
        <v>6097</v>
      </c>
    </row>
    <row r="3051" spans="1:10" x14ac:dyDescent="0.2">
      <c r="A3051">
        <v>3.37116881681075E-13</v>
      </c>
      <c r="B3051">
        <v>0.39831594287126798</v>
      </c>
      <c r="C3051">
        <v>0.41199999999999998</v>
      </c>
      <c r="D3051">
        <v>0.16800000000000001</v>
      </c>
      <c r="E3051">
        <v>4.6852504216035801E-9</v>
      </c>
      <c r="F3051">
        <v>5</v>
      </c>
      <c r="G3051" t="s">
        <v>6098</v>
      </c>
      <c r="H3051" t="s">
        <v>6099</v>
      </c>
      <c r="I3051" t="str">
        <f>HYPERLINK("https://zfin.org/ZDB-GENE-031019-1")</f>
        <v>https://zfin.org/ZDB-GENE-031019-1</v>
      </c>
      <c r="J3051" t="s">
        <v>6100</v>
      </c>
    </row>
    <row r="3052" spans="1:10" x14ac:dyDescent="0.2">
      <c r="A3052">
        <v>3.5343132535031301E-13</v>
      </c>
      <c r="B3052">
        <v>0.25443224741871301</v>
      </c>
      <c r="C3052">
        <v>0.16200000000000001</v>
      </c>
      <c r="D3052">
        <v>3.6999999999999998E-2</v>
      </c>
      <c r="E3052">
        <v>4.9119885597186501E-9</v>
      </c>
      <c r="F3052">
        <v>5</v>
      </c>
      <c r="G3052" t="s">
        <v>6101</v>
      </c>
      <c r="H3052" t="s">
        <v>6102</v>
      </c>
      <c r="I3052" t="str">
        <f>HYPERLINK("https://zfin.org/ZDB-GENE-030131-9858")</f>
        <v>https://zfin.org/ZDB-GENE-030131-9858</v>
      </c>
      <c r="J3052" t="s">
        <v>6103</v>
      </c>
    </row>
    <row r="3053" spans="1:10" x14ac:dyDescent="0.2">
      <c r="A3053">
        <v>3.60607113943624E-13</v>
      </c>
      <c r="B3053">
        <v>-0.86807965274488097</v>
      </c>
      <c r="C3053">
        <v>0.378</v>
      </c>
      <c r="D3053">
        <v>0.57999999999999996</v>
      </c>
      <c r="E3053">
        <v>5.0117176695884904E-9</v>
      </c>
      <c r="F3053">
        <v>5</v>
      </c>
      <c r="G3053" t="s">
        <v>2535</v>
      </c>
      <c r="H3053" t="s">
        <v>2536</v>
      </c>
      <c r="I3053" t="str">
        <f>HYPERLINK("https://zfin.org/ZDB-GENE-030131-4042")</f>
        <v>https://zfin.org/ZDB-GENE-030131-4042</v>
      </c>
      <c r="J3053" t="s">
        <v>2537</v>
      </c>
    </row>
    <row r="3054" spans="1:10" x14ac:dyDescent="0.2">
      <c r="A3054">
        <v>3.6087419019237798E-13</v>
      </c>
      <c r="B3054">
        <v>0.39083714729260599</v>
      </c>
      <c r="C3054">
        <v>0.189</v>
      </c>
      <c r="D3054">
        <v>4.8000000000000001E-2</v>
      </c>
      <c r="E3054">
        <v>5.01542949529368E-9</v>
      </c>
      <c r="F3054">
        <v>5</v>
      </c>
      <c r="G3054" t="s">
        <v>4318</v>
      </c>
      <c r="H3054" t="s">
        <v>4319</v>
      </c>
      <c r="I3054" t="str">
        <f>HYPERLINK("https://zfin.org/ZDB-GENE-030131-9771")</f>
        <v>https://zfin.org/ZDB-GENE-030131-9771</v>
      </c>
      <c r="J3054" t="s">
        <v>4320</v>
      </c>
    </row>
    <row r="3055" spans="1:10" x14ac:dyDescent="0.2">
      <c r="A3055">
        <v>3.6376588735259602E-13</v>
      </c>
      <c r="B3055">
        <v>0.28199257509145298</v>
      </c>
      <c r="C3055">
        <v>0.20899999999999999</v>
      </c>
      <c r="D3055">
        <v>5.6000000000000001E-2</v>
      </c>
      <c r="E3055">
        <v>5.0556183024263803E-9</v>
      </c>
      <c r="F3055">
        <v>5</v>
      </c>
      <c r="G3055" t="s">
        <v>6104</v>
      </c>
      <c r="H3055" t="s">
        <v>6105</v>
      </c>
      <c r="I3055" t="str">
        <f>HYPERLINK("https://zfin.org/ZDB-GENE-040426-764")</f>
        <v>https://zfin.org/ZDB-GENE-040426-764</v>
      </c>
      <c r="J3055" t="s">
        <v>6106</v>
      </c>
    </row>
    <row r="3056" spans="1:10" x14ac:dyDescent="0.2">
      <c r="A3056">
        <v>3.9523893338910202E-13</v>
      </c>
      <c r="B3056">
        <v>0.40329367493289398</v>
      </c>
      <c r="C3056">
        <v>0.44600000000000001</v>
      </c>
      <c r="D3056">
        <v>0.186</v>
      </c>
      <c r="E3056">
        <v>5.4930306962417502E-9</v>
      </c>
      <c r="F3056">
        <v>5</v>
      </c>
      <c r="G3056" t="s">
        <v>6107</v>
      </c>
      <c r="H3056" t="s">
        <v>6108</v>
      </c>
      <c r="I3056" t="str">
        <f>HYPERLINK("https://zfin.org/ZDB-GENE-040625-177")</f>
        <v>https://zfin.org/ZDB-GENE-040625-177</v>
      </c>
      <c r="J3056" t="s">
        <v>6109</v>
      </c>
    </row>
    <row r="3057" spans="1:10" x14ac:dyDescent="0.2">
      <c r="A3057">
        <v>4.2392973683125698E-13</v>
      </c>
      <c r="B3057">
        <v>0.25672619119328399</v>
      </c>
      <c r="C3057">
        <v>0.29699999999999999</v>
      </c>
      <c r="D3057">
        <v>9.8000000000000004E-2</v>
      </c>
      <c r="E3057">
        <v>5.8917754824807997E-9</v>
      </c>
      <c r="F3057">
        <v>5</v>
      </c>
      <c r="G3057" t="s">
        <v>6110</v>
      </c>
      <c r="H3057" t="s">
        <v>6111</v>
      </c>
      <c r="I3057" t="str">
        <f>HYPERLINK("https://zfin.org/ZDB-GENE-030131-3756")</f>
        <v>https://zfin.org/ZDB-GENE-030131-3756</v>
      </c>
      <c r="J3057" t="s">
        <v>6112</v>
      </c>
    </row>
    <row r="3058" spans="1:10" x14ac:dyDescent="0.2">
      <c r="A3058">
        <v>4.2441968762402801E-13</v>
      </c>
      <c r="B3058">
        <v>0.37907689087743801</v>
      </c>
      <c r="C3058">
        <v>0.5</v>
      </c>
      <c r="D3058">
        <v>0.217</v>
      </c>
      <c r="E3058">
        <v>5.8985848185987404E-9</v>
      </c>
      <c r="F3058">
        <v>5</v>
      </c>
      <c r="G3058" t="s">
        <v>6113</v>
      </c>
      <c r="H3058" t="s">
        <v>6114</v>
      </c>
      <c r="I3058" t="str">
        <f>HYPERLINK("https://zfin.org/ZDB-GENE-040801-83")</f>
        <v>https://zfin.org/ZDB-GENE-040801-83</v>
      </c>
      <c r="J3058" t="s">
        <v>6115</v>
      </c>
    </row>
    <row r="3059" spans="1:10" x14ac:dyDescent="0.2">
      <c r="A3059">
        <v>4.3559746968276901E-13</v>
      </c>
      <c r="B3059">
        <v>-1.3606781514119</v>
      </c>
      <c r="C3059">
        <v>0.99299999999999999</v>
      </c>
      <c r="D3059">
        <v>0.998</v>
      </c>
      <c r="E3059">
        <v>6.0539336336511304E-9</v>
      </c>
      <c r="F3059">
        <v>5</v>
      </c>
      <c r="G3059" t="s">
        <v>752</v>
      </c>
      <c r="H3059" t="s">
        <v>753</v>
      </c>
      <c r="I3059" t="str">
        <f>HYPERLINK("https://zfin.org/ZDB-GENE-030805-3")</f>
        <v>https://zfin.org/ZDB-GENE-030805-3</v>
      </c>
      <c r="J3059" t="s">
        <v>754</v>
      </c>
    </row>
    <row r="3060" spans="1:10" x14ac:dyDescent="0.2">
      <c r="A3060">
        <v>4.4584345501559598E-13</v>
      </c>
      <c r="B3060">
        <v>-0.41038536264563003</v>
      </c>
      <c r="C3060">
        <v>0.98599999999999999</v>
      </c>
      <c r="D3060">
        <v>0.96699999999999997</v>
      </c>
      <c r="E3060">
        <v>6.1963323378067504E-9</v>
      </c>
      <c r="F3060">
        <v>5</v>
      </c>
      <c r="G3060" t="s">
        <v>957</v>
      </c>
      <c r="H3060" t="s">
        <v>958</v>
      </c>
      <c r="I3060" t="str">
        <f>HYPERLINK("https://zfin.org/ZDB-GENE-010328-2")</f>
        <v>https://zfin.org/ZDB-GENE-010328-2</v>
      </c>
      <c r="J3060" t="s">
        <v>959</v>
      </c>
    </row>
    <row r="3061" spans="1:10" x14ac:dyDescent="0.2">
      <c r="A3061">
        <v>4.6508064719896202E-13</v>
      </c>
      <c r="B3061">
        <v>0.34874523034848698</v>
      </c>
      <c r="C3061">
        <v>0.318</v>
      </c>
      <c r="D3061">
        <v>0.112</v>
      </c>
      <c r="E3061">
        <v>6.4636908347711697E-9</v>
      </c>
      <c r="F3061">
        <v>5</v>
      </c>
      <c r="G3061" t="s">
        <v>3180</v>
      </c>
      <c r="H3061" t="s">
        <v>3181</v>
      </c>
      <c r="I3061" t="str">
        <f>HYPERLINK("https://zfin.org/ZDB-GENE-040426-1995")</f>
        <v>https://zfin.org/ZDB-GENE-040426-1995</v>
      </c>
      <c r="J3061" t="s">
        <v>3182</v>
      </c>
    </row>
    <row r="3062" spans="1:10" x14ac:dyDescent="0.2">
      <c r="A3062">
        <v>4.9433932769690597E-13</v>
      </c>
      <c r="B3062">
        <v>0.409833879769751</v>
      </c>
      <c r="C3062">
        <v>0.57399999999999995</v>
      </c>
      <c r="D3062">
        <v>0.27300000000000002</v>
      </c>
      <c r="E3062">
        <v>6.8703279763315999E-9</v>
      </c>
      <c r="F3062">
        <v>5</v>
      </c>
      <c r="G3062" t="s">
        <v>6116</v>
      </c>
      <c r="H3062" t="s">
        <v>6117</v>
      </c>
      <c r="I3062" t="str">
        <f>HYPERLINK("https://zfin.org/ZDB-GENE-040724-90")</f>
        <v>https://zfin.org/ZDB-GENE-040724-90</v>
      </c>
      <c r="J3062" t="s">
        <v>6118</v>
      </c>
    </row>
    <row r="3063" spans="1:10" x14ac:dyDescent="0.2">
      <c r="A3063">
        <v>5.4252788547960803E-13</v>
      </c>
      <c r="B3063">
        <v>-0.75263345980569896</v>
      </c>
      <c r="C3063">
        <v>0.46600000000000003</v>
      </c>
      <c r="D3063">
        <v>0.65</v>
      </c>
      <c r="E3063">
        <v>7.5400525523955906E-9</v>
      </c>
      <c r="F3063">
        <v>5</v>
      </c>
      <c r="G3063" t="s">
        <v>2364</v>
      </c>
      <c r="H3063" t="s">
        <v>2365</v>
      </c>
      <c r="I3063" t="str">
        <f>HYPERLINK("https://zfin.org/ZDB-GENE-080204-124")</f>
        <v>https://zfin.org/ZDB-GENE-080204-124</v>
      </c>
      <c r="J3063" t="s">
        <v>2366</v>
      </c>
    </row>
    <row r="3064" spans="1:10" x14ac:dyDescent="0.2">
      <c r="A3064">
        <v>5.48776056532738E-13</v>
      </c>
      <c r="B3064">
        <v>0.32551582066350598</v>
      </c>
      <c r="C3064">
        <v>0.35799999999999998</v>
      </c>
      <c r="D3064">
        <v>0.13</v>
      </c>
      <c r="E3064">
        <v>7.6268896336919901E-9</v>
      </c>
      <c r="F3064">
        <v>5</v>
      </c>
      <c r="G3064" t="s">
        <v>6119</v>
      </c>
      <c r="H3064" t="s">
        <v>6120</v>
      </c>
      <c r="I3064" t="str">
        <f>HYPERLINK("https://zfin.org/ZDB-GENE-030131-9685")</f>
        <v>https://zfin.org/ZDB-GENE-030131-9685</v>
      </c>
      <c r="J3064" t="s">
        <v>6121</v>
      </c>
    </row>
    <row r="3065" spans="1:10" x14ac:dyDescent="0.2">
      <c r="A3065">
        <v>5.6805057932451298E-13</v>
      </c>
      <c r="B3065">
        <v>0.32872079044178798</v>
      </c>
      <c r="C3065">
        <v>0.27700000000000002</v>
      </c>
      <c r="D3065">
        <v>8.8999999999999996E-2</v>
      </c>
      <c r="E3065">
        <v>7.8947669514520807E-9</v>
      </c>
      <c r="F3065">
        <v>5</v>
      </c>
      <c r="G3065" t="s">
        <v>6122</v>
      </c>
      <c r="H3065" t="s">
        <v>6123</v>
      </c>
      <c r="I3065" t="str">
        <f>HYPERLINK("https://zfin.org/ZDB-GENE-081104-166")</f>
        <v>https://zfin.org/ZDB-GENE-081104-166</v>
      </c>
      <c r="J3065" t="s">
        <v>6124</v>
      </c>
    </row>
    <row r="3066" spans="1:10" x14ac:dyDescent="0.2">
      <c r="A3066">
        <v>5.7872079325914599E-13</v>
      </c>
      <c r="B3066">
        <v>0.356058428455923</v>
      </c>
      <c r="C3066">
        <v>0.60799999999999998</v>
      </c>
      <c r="D3066">
        <v>0.29299999999999998</v>
      </c>
      <c r="E3066">
        <v>8.0430615847156207E-9</v>
      </c>
      <c r="F3066">
        <v>5</v>
      </c>
      <c r="G3066" t="s">
        <v>4749</v>
      </c>
      <c r="H3066" t="s">
        <v>4750</v>
      </c>
      <c r="I3066" t="str">
        <f>HYPERLINK("https://zfin.org/ZDB-GENE-040426-1109")</f>
        <v>https://zfin.org/ZDB-GENE-040426-1109</v>
      </c>
      <c r="J3066" t="s">
        <v>4751</v>
      </c>
    </row>
    <row r="3067" spans="1:10" x14ac:dyDescent="0.2">
      <c r="A3067">
        <v>6.6967207126969998E-13</v>
      </c>
      <c r="B3067">
        <v>-0.90736444648860803</v>
      </c>
      <c r="C3067">
        <v>0.83799999999999997</v>
      </c>
      <c r="D3067">
        <v>0.84</v>
      </c>
      <c r="E3067">
        <v>9.3071024465062908E-9</v>
      </c>
      <c r="F3067">
        <v>5</v>
      </c>
      <c r="G3067" t="s">
        <v>1857</v>
      </c>
      <c r="H3067" t="s">
        <v>1858</v>
      </c>
      <c r="I3067" t="str">
        <f>HYPERLINK("https://zfin.org/ZDB-GENE-030131-8599")</f>
        <v>https://zfin.org/ZDB-GENE-030131-8599</v>
      </c>
      <c r="J3067" t="s">
        <v>1859</v>
      </c>
    </row>
    <row r="3068" spans="1:10" x14ac:dyDescent="0.2">
      <c r="A3068">
        <v>8.0513313073766997E-13</v>
      </c>
      <c r="B3068">
        <v>0.49974573292542601</v>
      </c>
      <c r="C3068">
        <v>0.78400000000000003</v>
      </c>
      <c r="D3068">
        <v>0.51700000000000002</v>
      </c>
      <c r="E3068">
        <v>1.1189740250992099E-8</v>
      </c>
      <c r="F3068">
        <v>5</v>
      </c>
      <c r="G3068" t="s">
        <v>3062</v>
      </c>
      <c r="H3068" t="s">
        <v>3063</v>
      </c>
      <c r="I3068" t="str">
        <f>HYPERLINK("https://zfin.org/ZDB-GENE-010502-1")</f>
        <v>https://zfin.org/ZDB-GENE-010502-1</v>
      </c>
      <c r="J3068" t="s">
        <v>3064</v>
      </c>
    </row>
    <row r="3069" spans="1:10" x14ac:dyDescent="0.2">
      <c r="A3069">
        <v>8.6895511772879805E-13</v>
      </c>
      <c r="B3069">
        <v>0.34579864738923499</v>
      </c>
      <c r="C3069">
        <v>0.32400000000000001</v>
      </c>
      <c r="D3069">
        <v>0.11799999999999999</v>
      </c>
      <c r="E3069">
        <v>1.20767382261948E-8</v>
      </c>
      <c r="F3069">
        <v>5</v>
      </c>
      <c r="G3069" t="s">
        <v>6125</v>
      </c>
      <c r="H3069" t="s">
        <v>6126</v>
      </c>
      <c r="I3069" t="str">
        <f>HYPERLINK("https://zfin.org/ZDB-GENE-030131-8767")</f>
        <v>https://zfin.org/ZDB-GENE-030131-8767</v>
      </c>
      <c r="J3069" t="s">
        <v>6127</v>
      </c>
    </row>
    <row r="3070" spans="1:10" x14ac:dyDescent="0.2">
      <c r="A3070">
        <v>8.7704025618780304E-13</v>
      </c>
      <c r="B3070">
        <v>0.28678625690290999</v>
      </c>
      <c r="C3070">
        <v>0.14199999999999999</v>
      </c>
      <c r="D3070">
        <v>0.03</v>
      </c>
      <c r="E3070">
        <v>1.21891054804981E-8</v>
      </c>
      <c r="F3070">
        <v>5</v>
      </c>
      <c r="G3070" t="s">
        <v>6128</v>
      </c>
      <c r="H3070" t="s">
        <v>6129</v>
      </c>
      <c r="I3070" t="str">
        <f>HYPERLINK("https://zfin.org/ZDB-GENE-030131-4663")</f>
        <v>https://zfin.org/ZDB-GENE-030131-4663</v>
      </c>
      <c r="J3070" t="s">
        <v>6130</v>
      </c>
    </row>
    <row r="3071" spans="1:10" x14ac:dyDescent="0.2">
      <c r="A3071">
        <v>9.3230310246509693E-13</v>
      </c>
      <c r="B3071">
        <v>0.28485262732159</v>
      </c>
      <c r="C3071">
        <v>0.25</v>
      </c>
      <c r="D3071">
        <v>7.5999999999999998E-2</v>
      </c>
      <c r="E3071">
        <v>1.29571485180599E-8</v>
      </c>
      <c r="F3071">
        <v>5</v>
      </c>
      <c r="G3071" t="s">
        <v>6131</v>
      </c>
      <c r="H3071" t="s">
        <v>6132</v>
      </c>
      <c r="I3071" t="str">
        <f>HYPERLINK("https://zfin.org/ZDB-GENE-050417-353")</f>
        <v>https://zfin.org/ZDB-GENE-050417-353</v>
      </c>
      <c r="J3071" t="s">
        <v>6133</v>
      </c>
    </row>
    <row r="3072" spans="1:10" x14ac:dyDescent="0.2">
      <c r="A3072">
        <v>9.3691544787588804E-13</v>
      </c>
      <c r="B3072">
        <v>0.29469675541360901</v>
      </c>
      <c r="C3072">
        <v>0.13500000000000001</v>
      </c>
      <c r="D3072">
        <v>2.8000000000000001E-2</v>
      </c>
      <c r="E3072">
        <v>1.30212508945791E-8</v>
      </c>
      <c r="F3072">
        <v>5</v>
      </c>
      <c r="G3072" t="s">
        <v>6134</v>
      </c>
      <c r="H3072" t="s">
        <v>6135</v>
      </c>
      <c r="I3072" t="str">
        <f>HYPERLINK("https://zfin.org/ZDB-GENE-021030-4")</f>
        <v>https://zfin.org/ZDB-GENE-021030-4</v>
      </c>
      <c r="J3072" t="s">
        <v>6136</v>
      </c>
    </row>
    <row r="3073" spans="1:10" x14ac:dyDescent="0.2">
      <c r="A3073">
        <v>1.01261986860328E-12</v>
      </c>
      <c r="B3073">
        <v>0.35375597693834399</v>
      </c>
      <c r="C3073">
        <v>0.51400000000000001</v>
      </c>
      <c r="D3073">
        <v>0.22800000000000001</v>
      </c>
      <c r="E3073">
        <v>1.40733909338484E-8</v>
      </c>
      <c r="F3073">
        <v>5</v>
      </c>
      <c r="G3073" t="s">
        <v>3927</v>
      </c>
      <c r="H3073" t="s">
        <v>3928</v>
      </c>
      <c r="I3073" t="str">
        <f>HYPERLINK("https://zfin.org/ZDB-GENE-030131-9071")</f>
        <v>https://zfin.org/ZDB-GENE-030131-9071</v>
      </c>
      <c r="J3073" t="s">
        <v>3929</v>
      </c>
    </row>
    <row r="3074" spans="1:10" x14ac:dyDescent="0.2">
      <c r="A3074">
        <v>1.1762826795665801E-12</v>
      </c>
      <c r="B3074">
        <v>0.33681211493838498</v>
      </c>
      <c r="C3074">
        <v>0.35799999999999998</v>
      </c>
      <c r="D3074">
        <v>0.13500000000000001</v>
      </c>
      <c r="E3074">
        <v>1.6347976680616299E-8</v>
      </c>
      <c r="F3074">
        <v>5</v>
      </c>
      <c r="G3074" t="s">
        <v>4142</v>
      </c>
      <c r="H3074" t="s">
        <v>4143</v>
      </c>
      <c r="I3074" t="str">
        <f>HYPERLINK("https://zfin.org/ZDB-GENE-030131-6422")</f>
        <v>https://zfin.org/ZDB-GENE-030131-6422</v>
      </c>
      <c r="J3074" t="s">
        <v>4144</v>
      </c>
    </row>
    <row r="3075" spans="1:10" x14ac:dyDescent="0.2">
      <c r="A3075">
        <v>1.2362777205679701E-12</v>
      </c>
      <c r="B3075">
        <v>-0.72615621060796598</v>
      </c>
      <c r="C3075">
        <v>0.56100000000000005</v>
      </c>
      <c r="D3075">
        <v>0.69199999999999995</v>
      </c>
      <c r="E3075">
        <v>1.7181787760453699E-8</v>
      </c>
      <c r="F3075">
        <v>5</v>
      </c>
      <c r="G3075" t="s">
        <v>1851</v>
      </c>
      <c r="H3075" t="s">
        <v>1852</v>
      </c>
      <c r="I3075" t="str">
        <f>HYPERLINK("https://zfin.org/ZDB-GENE-071205-8")</f>
        <v>https://zfin.org/ZDB-GENE-071205-8</v>
      </c>
      <c r="J3075" t="s">
        <v>1853</v>
      </c>
    </row>
    <row r="3076" spans="1:10" x14ac:dyDescent="0.2">
      <c r="A3076">
        <v>1.26775217033815E-12</v>
      </c>
      <c r="B3076">
        <v>0.30232532631431602</v>
      </c>
      <c r="C3076">
        <v>0.20300000000000001</v>
      </c>
      <c r="D3076">
        <v>5.5E-2</v>
      </c>
      <c r="E3076">
        <v>1.7619219663359601E-8</v>
      </c>
      <c r="F3076">
        <v>5</v>
      </c>
      <c r="G3076" t="s">
        <v>6137</v>
      </c>
      <c r="H3076" t="s">
        <v>6138</v>
      </c>
      <c r="I3076" t="str">
        <f>HYPERLINK("https://zfin.org/ZDB-GENE-030131-808")</f>
        <v>https://zfin.org/ZDB-GENE-030131-808</v>
      </c>
      <c r="J3076" t="s">
        <v>6139</v>
      </c>
    </row>
    <row r="3077" spans="1:10" x14ac:dyDescent="0.2">
      <c r="A3077">
        <v>1.39029885142291E-12</v>
      </c>
      <c r="B3077">
        <v>0.49850879545336801</v>
      </c>
      <c r="C3077">
        <v>0.439</v>
      </c>
      <c r="D3077">
        <v>0.191</v>
      </c>
      <c r="E3077">
        <v>1.9322373437075601E-8</v>
      </c>
      <c r="F3077">
        <v>5</v>
      </c>
      <c r="G3077" t="s">
        <v>3309</v>
      </c>
      <c r="H3077" t="s">
        <v>3310</v>
      </c>
      <c r="I3077" t="str">
        <f>HYPERLINK("https://zfin.org/ZDB-GENE-980526-466")</f>
        <v>https://zfin.org/ZDB-GENE-980526-466</v>
      </c>
      <c r="J3077" t="s">
        <v>3311</v>
      </c>
    </row>
    <row r="3078" spans="1:10" x14ac:dyDescent="0.2">
      <c r="A3078">
        <v>1.49421687775357E-12</v>
      </c>
      <c r="B3078">
        <v>0.25876695177984699</v>
      </c>
      <c r="C3078">
        <v>1</v>
      </c>
      <c r="D3078">
        <v>0.96299999999999997</v>
      </c>
      <c r="E3078">
        <v>2.0766626167019101E-8</v>
      </c>
      <c r="F3078">
        <v>5</v>
      </c>
      <c r="G3078" t="s">
        <v>1782</v>
      </c>
      <c r="H3078" t="s">
        <v>1783</v>
      </c>
      <c r="I3078" t="str">
        <f>HYPERLINK("https://zfin.org/ZDB-GENE-040930-10")</f>
        <v>https://zfin.org/ZDB-GENE-040930-10</v>
      </c>
      <c r="J3078" t="s">
        <v>1784</v>
      </c>
    </row>
    <row r="3079" spans="1:10" x14ac:dyDescent="0.2">
      <c r="A3079">
        <v>1.5610809722334799E-12</v>
      </c>
      <c r="B3079">
        <v>0.42431604827445302</v>
      </c>
      <c r="C3079">
        <v>0.56100000000000005</v>
      </c>
      <c r="D3079">
        <v>0.26800000000000002</v>
      </c>
      <c r="E3079">
        <v>2.1695903352100998E-8</v>
      </c>
      <c r="F3079">
        <v>5</v>
      </c>
      <c r="G3079" t="s">
        <v>6140</v>
      </c>
      <c r="H3079" t="s">
        <v>6141</v>
      </c>
      <c r="I3079" t="str">
        <f>HYPERLINK("https://zfin.org/ZDB-GENE-030131-475")</f>
        <v>https://zfin.org/ZDB-GENE-030131-475</v>
      </c>
      <c r="J3079" t="s">
        <v>6142</v>
      </c>
    </row>
    <row r="3080" spans="1:10" x14ac:dyDescent="0.2">
      <c r="A3080">
        <v>1.6356592126938E-12</v>
      </c>
      <c r="B3080">
        <v>0.28739569539686</v>
      </c>
      <c r="C3080">
        <v>0.27700000000000002</v>
      </c>
      <c r="D3080">
        <v>0.09</v>
      </c>
      <c r="E3080">
        <v>2.2732391738018401E-8</v>
      </c>
      <c r="F3080">
        <v>5</v>
      </c>
      <c r="G3080" t="s">
        <v>6143</v>
      </c>
      <c r="H3080" t="s">
        <v>6144</v>
      </c>
      <c r="I3080" t="str">
        <f>HYPERLINK("https://zfin.org/ZDB-GENE-990415-259")</f>
        <v>https://zfin.org/ZDB-GENE-990415-259</v>
      </c>
      <c r="J3080" t="s">
        <v>6145</v>
      </c>
    </row>
    <row r="3081" spans="1:10" x14ac:dyDescent="0.2">
      <c r="A3081">
        <v>1.6908373714925799E-12</v>
      </c>
      <c r="B3081">
        <v>0.36005685505493701</v>
      </c>
      <c r="C3081">
        <v>0.52</v>
      </c>
      <c r="D3081">
        <v>0.23599999999999999</v>
      </c>
      <c r="E3081">
        <v>2.3499257789003901E-8</v>
      </c>
      <c r="F3081">
        <v>5</v>
      </c>
      <c r="G3081" t="s">
        <v>4734</v>
      </c>
      <c r="H3081" t="s">
        <v>4735</v>
      </c>
      <c r="I3081" t="str">
        <f>HYPERLINK("https://zfin.org/ZDB-GENE-041010-154")</f>
        <v>https://zfin.org/ZDB-GENE-041010-154</v>
      </c>
      <c r="J3081" t="s">
        <v>4736</v>
      </c>
    </row>
    <row r="3082" spans="1:10" x14ac:dyDescent="0.2">
      <c r="A3082">
        <v>1.8369901911655301E-12</v>
      </c>
      <c r="B3082">
        <v>0.38038107569163199</v>
      </c>
      <c r="C3082">
        <v>0.42599999999999999</v>
      </c>
      <c r="D3082">
        <v>0.17899999999999999</v>
      </c>
      <c r="E3082">
        <v>2.5530489676818501E-8</v>
      </c>
      <c r="F3082">
        <v>5</v>
      </c>
      <c r="G3082" t="s">
        <v>6146</v>
      </c>
      <c r="H3082" t="s">
        <v>6147</v>
      </c>
      <c r="I3082" t="str">
        <f>HYPERLINK("https://zfin.org/ZDB-GENE-040426-1789")</f>
        <v>https://zfin.org/ZDB-GENE-040426-1789</v>
      </c>
      <c r="J3082" t="s">
        <v>6148</v>
      </c>
    </row>
    <row r="3083" spans="1:10" x14ac:dyDescent="0.2">
      <c r="A3083">
        <v>1.98905819310149E-12</v>
      </c>
      <c r="B3083">
        <v>0.38025117714640799</v>
      </c>
      <c r="C3083">
        <v>0.45300000000000001</v>
      </c>
      <c r="D3083">
        <v>0.19700000000000001</v>
      </c>
      <c r="E3083">
        <v>2.7643930767724601E-8</v>
      </c>
      <c r="F3083">
        <v>5</v>
      </c>
      <c r="G3083" t="s">
        <v>4461</v>
      </c>
      <c r="H3083" t="s">
        <v>4462</v>
      </c>
      <c r="I3083" t="str">
        <f>HYPERLINK("https://zfin.org/ZDB-GENE-040625-116")</f>
        <v>https://zfin.org/ZDB-GENE-040625-116</v>
      </c>
      <c r="J3083" t="s">
        <v>4463</v>
      </c>
    </row>
    <row r="3084" spans="1:10" x14ac:dyDescent="0.2">
      <c r="A3084">
        <v>2.1225632856514299E-12</v>
      </c>
      <c r="B3084">
        <v>0.34182053253134898</v>
      </c>
      <c r="C3084">
        <v>0.40500000000000003</v>
      </c>
      <c r="D3084">
        <v>0.16500000000000001</v>
      </c>
      <c r="E3084">
        <v>2.9499384543983599E-8</v>
      </c>
      <c r="F3084">
        <v>5</v>
      </c>
      <c r="G3084" t="s">
        <v>3880</v>
      </c>
      <c r="H3084" t="s">
        <v>3881</v>
      </c>
      <c r="I3084" t="str">
        <f>HYPERLINK("https://zfin.org/ZDB-GENE-040426-1415")</f>
        <v>https://zfin.org/ZDB-GENE-040426-1415</v>
      </c>
      <c r="J3084" t="s">
        <v>3882</v>
      </c>
    </row>
    <row r="3085" spans="1:10" x14ac:dyDescent="0.2">
      <c r="A3085">
        <v>2.1394534723418702E-12</v>
      </c>
      <c r="B3085">
        <v>0.31202047243110997</v>
      </c>
      <c r="C3085">
        <v>0.23599999999999999</v>
      </c>
      <c r="D3085">
        <v>7.1999999999999995E-2</v>
      </c>
      <c r="E3085">
        <v>2.97341243586073E-8</v>
      </c>
      <c r="F3085">
        <v>5</v>
      </c>
      <c r="G3085" t="s">
        <v>6149</v>
      </c>
      <c r="H3085" t="s">
        <v>6150</v>
      </c>
      <c r="I3085" t="str">
        <f>HYPERLINK("https://zfin.org/ZDB-GENE-050309-7")</f>
        <v>https://zfin.org/ZDB-GENE-050309-7</v>
      </c>
      <c r="J3085" t="s">
        <v>6151</v>
      </c>
    </row>
    <row r="3086" spans="1:10" x14ac:dyDescent="0.2">
      <c r="A3086">
        <v>2.14928856401563E-12</v>
      </c>
      <c r="B3086">
        <v>0.258137659175184</v>
      </c>
      <c r="C3086">
        <v>0.189</v>
      </c>
      <c r="D3086">
        <v>0.05</v>
      </c>
      <c r="E3086">
        <v>2.9870812462689203E-8</v>
      </c>
      <c r="F3086">
        <v>5</v>
      </c>
      <c r="G3086" t="s">
        <v>6152</v>
      </c>
      <c r="H3086" t="s">
        <v>6153</v>
      </c>
      <c r="I3086" t="str">
        <f>HYPERLINK("https://zfin.org/ZDB-GENE-030131-6363")</f>
        <v>https://zfin.org/ZDB-GENE-030131-6363</v>
      </c>
      <c r="J3086" t="s">
        <v>6154</v>
      </c>
    </row>
    <row r="3087" spans="1:10" x14ac:dyDescent="0.2">
      <c r="A3087">
        <v>2.5564157845280298E-12</v>
      </c>
      <c r="B3087">
        <v>0.28673533185267502</v>
      </c>
      <c r="C3087">
        <v>0.20300000000000001</v>
      </c>
      <c r="D3087">
        <v>5.6000000000000001E-2</v>
      </c>
      <c r="E3087">
        <v>3.5529066573370599E-8</v>
      </c>
      <c r="F3087">
        <v>5</v>
      </c>
      <c r="G3087" t="s">
        <v>6155</v>
      </c>
      <c r="H3087" t="s">
        <v>6156</v>
      </c>
      <c r="I3087" t="str">
        <f>HYPERLINK("https://zfin.org/ZDB-GENE-050417-29")</f>
        <v>https://zfin.org/ZDB-GENE-050417-29</v>
      </c>
      <c r="J3087" t="s">
        <v>6157</v>
      </c>
    </row>
    <row r="3088" spans="1:10" x14ac:dyDescent="0.2">
      <c r="A3088">
        <v>2.7952248278222698E-12</v>
      </c>
      <c r="B3088">
        <v>0.28722813636551903</v>
      </c>
      <c r="C3088">
        <v>0.98</v>
      </c>
      <c r="D3088">
        <v>0.89100000000000001</v>
      </c>
      <c r="E3088">
        <v>3.88480346570739E-8</v>
      </c>
      <c r="F3088">
        <v>5</v>
      </c>
      <c r="G3088" t="s">
        <v>2373</v>
      </c>
      <c r="H3088" t="s">
        <v>2374</v>
      </c>
      <c r="I3088" t="str">
        <f>HYPERLINK("https://zfin.org/ZDB-GENE-030131-8494")</f>
        <v>https://zfin.org/ZDB-GENE-030131-8494</v>
      </c>
      <c r="J3088" t="s">
        <v>2375</v>
      </c>
    </row>
    <row r="3089" spans="1:10" x14ac:dyDescent="0.2">
      <c r="A3089">
        <v>2.88987727809663E-12</v>
      </c>
      <c r="B3089">
        <v>0.27581776828402699</v>
      </c>
      <c r="C3089">
        <v>0.29699999999999999</v>
      </c>
      <c r="D3089">
        <v>0.10199999999999999</v>
      </c>
      <c r="E3089">
        <v>4.0163514410987002E-8</v>
      </c>
      <c r="F3089">
        <v>5</v>
      </c>
      <c r="G3089" t="s">
        <v>6158</v>
      </c>
      <c r="H3089" t="s">
        <v>6159</v>
      </c>
      <c r="I3089" t="str">
        <f>HYPERLINK("https://zfin.org/ZDB-GENE-040801-142")</f>
        <v>https://zfin.org/ZDB-GENE-040801-142</v>
      </c>
      <c r="J3089" t="s">
        <v>6160</v>
      </c>
    </row>
    <row r="3090" spans="1:10" x14ac:dyDescent="0.2">
      <c r="A3090">
        <v>3.0513493639494401E-12</v>
      </c>
      <c r="B3090">
        <v>0.29997675046289601</v>
      </c>
      <c r="C3090">
        <v>0.24299999999999999</v>
      </c>
      <c r="D3090">
        <v>7.5999999999999998E-2</v>
      </c>
      <c r="E3090">
        <v>4.2407653460169399E-8</v>
      </c>
      <c r="F3090">
        <v>5</v>
      </c>
      <c r="G3090" t="s">
        <v>528</v>
      </c>
      <c r="H3090" t="s">
        <v>529</v>
      </c>
      <c r="I3090" t="str">
        <f>HYPERLINK("https://zfin.org/ZDB-GENE-131126-80")</f>
        <v>https://zfin.org/ZDB-GENE-131126-80</v>
      </c>
      <c r="J3090" t="s">
        <v>530</v>
      </c>
    </row>
    <row r="3091" spans="1:10" x14ac:dyDescent="0.2">
      <c r="A3091">
        <v>3.1281355456091798E-12</v>
      </c>
      <c r="B3091">
        <v>0.32888736293298798</v>
      </c>
      <c r="C3091">
        <v>0.29099999999999998</v>
      </c>
      <c r="D3091">
        <v>0.1</v>
      </c>
      <c r="E3091">
        <v>4.3474827812876402E-8</v>
      </c>
      <c r="F3091">
        <v>5</v>
      </c>
      <c r="G3091" t="s">
        <v>6161</v>
      </c>
      <c r="H3091" t="s">
        <v>6162</v>
      </c>
      <c r="I3091" t="str">
        <f>HYPERLINK("https://zfin.org/ZDB-GENE-030131-4801")</f>
        <v>https://zfin.org/ZDB-GENE-030131-4801</v>
      </c>
      <c r="J3091" t="s">
        <v>6163</v>
      </c>
    </row>
    <row r="3092" spans="1:10" x14ac:dyDescent="0.2">
      <c r="A3092">
        <v>3.2492587582607902E-12</v>
      </c>
      <c r="B3092">
        <v>0.26319610560616502</v>
      </c>
      <c r="C3092">
        <v>0.13500000000000001</v>
      </c>
      <c r="D3092">
        <v>2.9000000000000001E-2</v>
      </c>
      <c r="E3092">
        <v>4.5158198222308499E-8</v>
      </c>
      <c r="F3092">
        <v>5</v>
      </c>
      <c r="G3092" t="s">
        <v>6164</v>
      </c>
      <c r="H3092" t="s">
        <v>6165</v>
      </c>
      <c r="I3092" t="str">
        <f>HYPERLINK("https://zfin.org/ZDB-GENE-041010-198")</f>
        <v>https://zfin.org/ZDB-GENE-041010-198</v>
      </c>
      <c r="J3092" t="s">
        <v>6166</v>
      </c>
    </row>
    <row r="3093" spans="1:10" x14ac:dyDescent="0.2">
      <c r="A3093">
        <v>3.2705702788321699E-12</v>
      </c>
      <c r="B3093">
        <v>0.429382222302645</v>
      </c>
      <c r="C3093">
        <v>0.26400000000000001</v>
      </c>
      <c r="D3093">
        <v>8.7999999999999995E-2</v>
      </c>
      <c r="E3093">
        <v>4.5454385735209502E-8</v>
      </c>
      <c r="F3093">
        <v>5</v>
      </c>
      <c r="G3093" t="s">
        <v>4062</v>
      </c>
      <c r="H3093" t="s">
        <v>4063</v>
      </c>
      <c r="I3093" t="str">
        <f>HYPERLINK("https://zfin.org/ZDB-GENE-031114-2")</f>
        <v>https://zfin.org/ZDB-GENE-031114-2</v>
      </c>
      <c r="J3093" t="s">
        <v>4064</v>
      </c>
    </row>
    <row r="3094" spans="1:10" x14ac:dyDescent="0.2">
      <c r="A3094">
        <v>3.2991170232383598E-12</v>
      </c>
      <c r="B3094">
        <v>0.34887050542531001</v>
      </c>
      <c r="C3094">
        <v>0.5</v>
      </c>
      <c r="D3094">
        <v>0.22600000000000001</v>
      </c>
      <c r="E3094">
        <v>4.58511283889667E-8</v>
      </c>
      <c r="F3094">
        <v>5</v>
      </c>
      <c r="G3094" t="s">
        <v>4650</v>
      </c>
      <c r="H3094" t="s">
        <v>4651</v>
      </c>
      <c r="I3094" t="str">
        <f>HYPERLINK("https://zfin.org/ZDB-GENE-040426-1950")</f>
        <v>https://zfin.org/ZDB-GENE-040426-1950</v>
      </c>
      <c r="J3094" t="s">
        <v>4652</v>
      </c>
    </row>
    <row r="3095" spans="1:10" x14ac:dyDescent="0.2">
      <c r="A3095">
        <v>3.3803956330525499E-12</v>
      </c>
      <c r="B3095">
        <v>0.41682382910447402</v>
      </c>
      <c r="C3095">
        <v>0.52700000000000002</v>
      </c>
      <c r="D3095">
        <v>0.25</v>
      </c>
      <c r="E3095">
        <v>4.6980738508164398E-8</v>
      </c>
      <c r="F3095">
        <v>5</v>
      </c>
      <c r="G3095" t="s">
        <v>4336</v>
      </c>
      <c r="H3095" t="s">
        <v>4337</v>
      </c>
      <c r="I3095" t="str">
        <f>HYPERLINK("https://zfin.org/ZDB-GENE-040625-144")</f>
        <v>https://zfin.org/ZDB-GENE-040625-144</v>
      </c>
      <c r="J3095" t="s">
        <v>4338</v>
      </c>
    </row>
    <row r="3096" spans="1:10" x14ac:dyDescent="0.2">
      <c r="A3096">
        <v>3.4128655615352199E-12</v>
      </c>
      <c r="B3096">
        <v>0.32669274892535</v>
      </c>
      <c r="C3096">
        <v>0.216</v>
      </c>
      <c r="D3096">
        <v>6.3E-2</v>
      </c>
      <c r="E3096">
        <v>4.7432005574216502E-8</v>
      </c>
      <c r="F3096">
        <v>5</v>
      </c>
      <c r="G3096" t="s">
        <v>5359</v>
      </c>
      <c r="H3096" t="s">
        <v>5360</v>
      </c>
      <c r="I3096" t="str">
        <f>HYPERLINK("https://zfin.org/ZDB-GENE-060512-191")</f>
        <v>https://zfin.org/ZDB-GENE-060512-191</v>
      </c>
      <c r="J3096" t="s">
        <v>5361</v>
      </c>
    </row>
    <row r="3097" spans="1:10" x14ac:dyDescent="0.2">
      <c r="A3097">
        <v>4.0369444754013701E-12</v>
      </c>
      <c r="B3097">
        <v>0.33119325616788697</v>
      </c>
      <c r="C3097">
        <v>0.35799999999999998</v>
      </c>
      <c r="D3097">
        <v>0.13900000000000001</v>
      </c>
      <c r="E3097">
        <v>5.6105454319128197E-8</v>
      </c>
      <c r="F3097">
        <v>5</v>
      </c>
      <c r="G3097" t="s">
        <v>4866</v>
      </c>
      <c r="H3097" t="s">
        <v>4867</v>
      </c>
      <c r="I3097" t="str">
        <f>HYPERLINK("https://zfin.org/ZDB-GENE-040801-175")</f>
        <v>https://zfin.org/ZDB-GENE-040801-175</v>
      </c>
      <c r="J3097" t="s">
        <v>4868</v>
      </c>
    </row>
    <row r="3098" spans="1:10" x14ac:dyDescent="0.2">
      <c r="A3098">
        <v>4.1920180651175697E-12</v>
      </c>
      <c r="B3098">
        <v>0.33596626845940603</v>
      </c>
      <c r="C3098">
        <v>0.54100000000000004</v>
      </c>
      <c r="D3098">
        <v>0.248</v>
      </c>
      <c r="E3098">
        <v>5.8260667069004E-8</v>
      </c>
      <c r="F3098">
        <v>5</v>
      </c>
      <c r="G3098" t="s">
        <v>3315</v>
      </c>
      <c r="H3098" t="s">
        <v>3316</v>
      </c>
      <c r="I3098" t="str">
        <f>HYPERLINK("https://zfin.org/ZDB-GENE-030131-275")</f>
        <v>https://zfin.org/ZDB-GENE-030131-275</v>
      </c>
      <c r="J3098" t="s">
        <v>3317</v>
      </c>
    </row>
    <row r="3099" spans="1:10" x14ac:dyDescent="0.2">
      <c r="A3099">
        <v>4.2406724065629198E-12</v>
      </c>
      <c r="B3099">
        <v>0.42351027575721101</v>
      </c>
      <c r="C3099">
        <v>0.39200000000000002</v>
      </c>
      <c r="D3099">
        <v>0.161</v>
      </c>
      <c r="E3099">
        <v>5.8936865106411499E-8</v>
      </c>
      <c r="F3099">
        <v>5</v>
      </c>
      <c r="G3099" t="s">
        <v>4229</v>
      </c>
      <c r="H3099" t="s">
        <v>4230</v>
      </c>
      <c r="I3099" t="str">
        <f>HYPERLINK("https://zfin.org/ZDB-GENE-040426-2213")</f>
        <v>https://zfin.org/ZDB-GENE-040426-2213</v>
      </c>
      <c r="J3099" t="s">
        <v>4231</v>
      </c>
    </row>
    <row r="3100" spans="1:10" x14ac:dyDescent="0.2">
      <c r="A3100">
        <v>4.4750654149512403E-12</v>
      </c>
      <c r="B3100">
        <v>0.29243627589749899</v>
      </c>
      <c r="C3100">
        <v>0.30399999999999999</v>
      </c>
      <c r="D3100">
        <v>0.107</v>
      </c>
      <c r="E3100">
        <v>6.2194459136992298E-8</v>
      </c>
      <c r="F3100">
        <v>5</v>
      </c>
      <c r="G3100" t="s">
        <v>6167</v>
      </c>
      <c r="H3100" t="s">
        <v>6168</v>
      </c>
      <c r="I3100" t="str">
        <f>HYPERLINK("https://zfin.org/ZDB-GENE-030131-848")</f>
        <v>https://zfin.org/ZDB-GENE-030131-848</v>
      </c>
      <c r="J3100" t="s">
        <v>6169</v>
      </c>
    </row>
    <row r="3101" spans="1:10" x14ac:dyDescent="0.2">
      <c r="A3101">
        <v>4.9632727197028497E-12</v>
      </c>
      <c r="B3101">
        <v>0.38167359371898502</v>
      </c>
      <c r="C3101">
        <v>0.85799999999999998</v>
      </c>
      <c r="D3101">
        <v>0.56799999999999995</v>
      </c>
      <c r="E3101">
        <v>6.8979564258430195E-8</v>
      </c>
      <c r="F3101">
        <v>5</v>
      </c>
      <c r="G3101" t="s">
        <v>3366</v>
      </c>
      <c r="H3101" t="s">
        <v>3367</v>
      </c>
      <c r="I3101" t="str">
        <f>HYPERLINK("https://zfin.org/ZDB-GENE-050913-120")</f>
        <v>https://zfin.org/ZDB-GENE-050913-120</v>
      </c>
      <c r="J3101" t="s">
        <v>3368</v>
      </c>
    </row>
    <row r="3102" spans="1:10" x14ac:dyDescent="0.2">
      <c r="A3102">
        <v>5.4537386781252299E-12</v>
      </c>
      <c r="B3102">
        <v>0.359417074490822</v>
      </c>
      <c r="C3102">
        <v>0.96599999999999997</v>
      </c>
      <c r="D3102">
        <v>0.84099999999999997</v>
      </c>
      <c r="E3102">
        <v>7.5796060148584394E-8</v>
      </c>
      <c r="F3102">
        <v>5</v>
      </c>
      <c r="G3102" t="s">
        <v>2298</v>
      </c>
      <c r="H3102" t="s">
        <v>2299</v>
      </c>
      <c r="I3102" t="str">
        <f>HYPERLINK("https://zfin.org/ZDB-GENE-060331-121")</f>
        <v>https://zfin.org/ZDB-GENE-060331-121</v>
      </c>
      <c r="J3102" t="s">
        <v>2300</v>
      </c>
    </row>
    <row r="3103" spans="1:10" x14ac:dyDescent="0.2">
      <c r="A3103">
        <v>5.8166728739648401E-12</v>
      </c>
      <c r="B3103">
        <v>-0.85573888845179302</v>
      </c>
      <c r="C3103">
        <v>0.25</v>
      </c>
      <c r="D3103">
        <v>0.49</v>
      </c>
      <c r="E3103">
        <v>8.08401196023634E-8</v>
      </c>
      <c r="F3103">
        <v>5</v>
      </c>
      <c r="G3103" t="s">
        <v>2472</v>
      </c>
      <c r="H3103" t="s">
        <v>2473</v>
      </c>
      <c r="I3103" t="str">
        <f>HYPERLINK("https://zfin.org/ZDB-GENE-000208-17")</f>
        <v>https://zfin.org/ZDB-GENE-000208-17</v>
      </c>
      <c r="J3103" t="s">
        <v>2474</v>
      </c>
    </row>
    <row r="3104" spans="1:10" x14ac:dyDescent="0.2">
      <c r="A3104">
        <v>6.7908916153386501E-12</v>
      </c>
      <c r="B3104">
        <v>0.27035955768394898</v>
      </c>
      <c r="C3104">
        <v>0.25</v>
      </c>
      <c r="D3104">
        <v>0.08</v>
      </c>
      <c r="E3104">
        <v>9.4379811669976504E-8</v>
      </c>
      <c r="F3104">
        <v>5</v>
      </c>
      <c r="G3104" t="s">
        <v>6170</v>
      </c>
      <c r="H3104" t="s">
        <v>6171</v>
      </c>
      <c r="I3104" t="str">
        <f>HYPERLINK("https://zfin.org/ZDB-GENE-060929-492")</f>
        <v>https://zfin.org/ZDB-GENE-060929-492</v>
      </c>
      <c r="J3104" t="s">
        <v>6172</v>
      </c>
    </row>
    <row r="3105" spans="1:10" x14ac:dyDescent="0.2">
      <c r="A3105">
        <v>6.8924733776411598E-12</v>
      </c>
      <c r="B3105">
        <v>0.30212887779941899</v>
      </c>
      <c r="C3105">
        <v>0.23</v>
      </c>
      <c r="D3105">
        <v>7.0999999999999994E-2</v>
      </c>
      <c r="E3105">
        <v>9.5791595002456794E-8</v>
      </c>
      <c r="F3105">
        <v>5</v>
      </c>
      <c r="G3105" t="s">
        <v>6173</v>
      </c>
      <c r="H3105" t="s">
        <v>6174</v>
      </c>
      <c r="I3105" t="str">
        <f>HYPERLINK("https://zfin.org/ZDB-GENE-040718-179")</f>
        <v>https://zfin.org/ZDB-GENE-040718-179</v>
      </c>
      <c r="J3105" t="s">
        <v>6175</v>
      </c>
    </row>
    <row r="3106" spans="1:10" x14ac:dyDescent="0.2">
      <c r="A3106">
        <v>6.9204293634683004E-12</v>
      </c>
      <c r="B3106">
        <v>0.28651026536927798</v>
      </c>
      <c r="C3106">
        <v>0.20300000000000001</v>
      </c>
      <c r="D3106">
        <v>5.8000000000000003E-2</v>
      </c>
      <c r="E3106">
        <v>9.61801272934824E-8</v>
      </c>
      <c r="F3106">
        <v>5</v>
      </c>
      <c r="G3106" t="s">
        <v>3892</v>
      </c>
      <c r="H3106" t="s">
        <v>3893</v>
      </c>
      <c r="I3106" t="str">
        <f>HYPERLINK("https://zfin.org/ZDB-GENE-040426-2832")</f>
        <v>https://zfin.org/ZDB-GENE-040426-2832</v>
      </c>
      <c r="J3106" t="s">
        <v>3894</v>
      </c>
    </row>
    <row r="3107" spans="1:10" x14ac:dyDescent="0.2">
      <c r="A3107">
        <v>6.9532039030192502E-12</v>
      </c>
      <c r="B3107">
        <v>-0.79425342687390799</v>
      </c>
      <c r="C3107">
        <v>0.32400000000000001</v>
      </c>
      <c r="D3107">
        <v>0.53100000000000003</v>
      </c>
      <c r="E3107">
        <v>9.6635627844161495E-8</v>
      </c>
      <c r="F3107">
        <v>5</v>
      </c>
      <c r="G3107" t="s">
        <v>2304</v>
      </c>
      <c r="H3107" t="s">
        <v>2305</v>
      </c>
      <c r="I3107" t="str">
        <f>HYPERLINK("https://zfin.org/ZDB-GENE-160728-87")</f>
        <v>https://zfin.org/ZDB-GENE-160728-87</v>
      </c>
      <c r="J3107" t="s">
        <v>2306</v>
      </c>
    </row>
    <row r="3108" spans="1:10" x14ac:dyDescent="0.2">
      <c r="A3108">
        <v>7.21646470798365E-12</v>
      </c>
      <c r="B3108">
        <v>0.32476183902200501</v>
      </c>
      <c r="C3108">
        <v>0.28399999999999997</v>
      </c>
      <c r="D3108">
        <v>9.9000000000000005E-2</v>
      </c>
      <c r="E3108">
        <v>1.0029442651155699E-7</v>
      </c>
      <c r="F3108">
        <v>5</v>
      </c>
      <c r="G3108" t="s">
        <v>6176</v>
      </c>
      <c r="H3108" t="s">
        <v>6177</v>
      </c>
      <c r="I3108" t="str">
        <f>HYPERLINK("https://zfin.org/ZDB-GENE-021231-4")</f>
        <v>https://zfin.org/ZDB-GENE-021231-4</v>
      </c>
      <c r="J3108" t="s">
        <v>6178</v>
      </c>
    </row>
    <row r="3109" spans="1:10" x14ac:dyDescent="0.2">
      <c r="A3109">
        <v>7.3725280724300007E-12</v>
      </c>
      <c r="B3109">
        <v>0.26485913256090499</v>
      </c>
      <c r="C3109">
        <v>0.23</v>
      </c>
      <c r="D3109">
        <v>7.0000000000000007E-2</v>
      </c>
      <c r="E3109">
        <v>1.02463395150632E-7</v>
      </c>
      <c r="F3109">
        <v>5</v>
      </c>
      <c r="G3109" t="s">
        <v>6179</v>
      </c>
      <c r="H3109" t="s">
        <v>6180</v>
      </c>
      <c r="I3109" t="str">
        <f>HYPERLINK("https://zfin.org/ZDB-GENE-040723-1")</f>
        <v>https://zfin.org/ZDB-GENE-040723-1</v>
      </c>
      <c r="J3109" t="s">
        <v>6181</v>
      </c>
    </row>
    <row r="3110" spans="1:10" x14ac:dyDescent="0.2">
      <c r="A3110">
        <v>7.5414519159101295E-12</v>
      </c>
      <c r="B3110">
        <v>0.56021834616807298</v>
      </c>
      <c r="C3110">
        <v>0.33100000000000002</v>
      </c>
      <c r="D3110">
        <v>0.128</v>
      </c>
      <c r="E3110">
        <v>1.04811098727319E-7</v>
      </c>
      <c r="F3110">
        <v>5</v>
      </c>
      <c r="G3110" t="s">
        <v>3068</v>
      </c>
      <c r="H3110" t="s">
        <v>3069</v>
      </c>
      <c r="I3110" t="str">
        <f>HYPERLINK("https://zfin.org/ZDB-GENE-060815-1")</f>
        <v>https://zfin.org/ZDB-GENE-060815-1</v>
      </c>
      <c r="J3110" t="s">
        <v>3028</v>
      </c>
    </row>
    <row r="3111" spans="1:10" x14ac:dyDescent="0.2">
      <c r="A3111">
        <v>8.3102046592141702E-12</v>
      </c>
      <c r="B3111">
        <v>0.30220898727335999</v>
      </c>
      <c r="C3111">
        <v>0.41199999999999998</v>
      </c>
      <c r="D3111">
        <v>0.17100000000000001</v>
      </c>
      <c r="E3111">
        <v>1.15495224353758E-7</v>
      </c>
      <c r="F3111">
        <v>5</v>
      </c>
      <c r="G3111" t="s">
        <v>6182</v>
      </c>
      <c r="H3111" t="s">
        <v>6183</v>
      </c>
      <c r="I3111" t="str">
        <f>HYPERLINK("https://zfin.org/ZDB-GENE-030131-4083")</f>
        <v>https://zfin.org/ZDB-GENE-030131-4083</v>
      </c>
      <c r="J3111" t="s">
        <v>6184</v>
      </c>
    </row>
    <row r="3112" spans="1:10" x14ac:dyDescent="0.2">
      <c r="A3112">
        <v>8.6113254020450805E-12</v>
      </c>
      <c r="B3112">
        <v>0.26089577285575699</v>
      </c>
      <c r="C3112">
        <v>1</v>
      </c>
      <c r="D3112">
        <v>0.94699999999999995</v>
      </c>
      <c r="E3112">
        <v>1.1968020043762299E-7</v>
      </c>
      <c r="F3112">
        <v>5</v>
      </c>
      <c r="G3112" t="s">
        <v>1611</v>
      </c>
      <c r="H3112" t="s">
        <v>1612</v>
      </c>
      <c r="I3112" t="str">
        <f>HYPERLINK("https://zfin.org/ZDB-GENE-030131-5297")</f>
        <v>https://zfin.org/ZDB-GENE-030131-5297</v>
      </c>
      <c r="J3112" t="s">
        <v>1613</v>
      </c>
    </row>
    <row r="3113" spans="1:10" x14ac:dyDescent="0.2">
      <c r="A3113">
        <v>8.7422286869191008E-12</v>
      </c>
      <c r="B3113">
        <v>0.27001876405530101</v>
      </c>
      <c r="C3113">
        <v>0.17599999999999999</v>
      </c>
      <c r="D3113">
        <v>4.5999999999999999E-2</v>
      </c>
      <c r="E3113">
        <v>1.2149949429080199E-7</v>
      </c>
      <c r="F3113">
        <v>5</v>
      </c>
      <c r="G3113" t="s">
        <v>6185</v>
      </c>
      <c r="H3113" t="s">
        <v>6186</v>
      </c>
      <c r="I3113" t="str">
        <f>HYPERLINK("https://zfin.org/ZDB-GENE-040718-125")</f>
        <v>https://zfin.org/ZDB-GENE-040718-125</v>
      </c>
      <c r="J3113" t="s">
        <v>6187</v>
      </c>
    </row>
    <row r="3114" spans="1:10" x14ac:dyDescent="0.2">
      <c r="A3114">
        <v>9.4328553286258892E-12</v>
      </c>
      <c r="B3114">
        <v>0.27304370336830502</v>
      </c>
      <c r="C3114">
        <v>0.33800000000000002</v>
      </c>
      <c r="D3114">
        <v>0.126</v>
      </c>
      <c r="E3114">
        <v>1.3109782335724299E-7</v>
      </c>
      <c r="F3114">
        <v>5</v>
      </c>
      <c r="G3114" t="s">
        <v>6188</v>
      </c>
      <c r="H3114" t="s">
        <v>6189</v>
      </c>
      <c r="I3114" t="str">
        <f>HYPERLINK("https://zfin.org/ZDB-GENE-040426-2051")</f>
        <v>https://zfin.org/ZDB-GENE-040426-2051</v>
      </c>
      <c r="J3114" t="s">
        <v>6190</v>
      </c>
    </row>
    <row r="3115" spans="1:10" x14ac:dyDescent="0.2">
      <c r="A3115">
        <v>9.8822618161046501E-12</v>
      </c>
      <c r="B3115">
        <v>0.28010810484243398</v>
      </c>
      <c r="C3115">
        <v>0.372</v>
      </c>
      <c r="D3115">
        <v>0.14399999999999999</v>
      </c>
      <c r="E3115">
        <v>1.37343674720222E-7</v>
      </c>
      <c r="F3115">
        <v>5</v>
      </c>
      <c r="G3115" t="s">
        <v>6191</v>
      </c>
      <c r="H3115" t="s">
        <v>6192</v>
      </c>
      <c r="I3115" t="str">
        <f>HYPERLINK("https://zfin.org/ZDB-GENE-120614-1")</f>
        <v>https://zfin.org/ZDB-GENE-120614-1</v>
      </c>
      <c r="J3115" t="s">
        <v>6193</v>
      </c>
    </row>
    <row r="3116" spans="1:10" x14ac:dyDescent="0.2">
      <c r="A3116">
        <v>9.8970325227888005E-12</v>
      </c>
      <c r="B3116">
        <v>0.39418935499919899</v>
      </c>
      <c r="C3116">
        <v>0.79100000000000004</v>
      </c>
      <c r="D3116">
        <v>0.49</v>
      </c>
      <c r="E3116">
        <v>1.3754895800171899E-7</v>
      </c>
      <c r="F3116">
        <v>5</v>
      </c>
      <c r="G3116" t="s">
        <v>4557</v>
      </c>
      <c r="H3116" t="s">
        <v>4558</v>
      </c>
      <c r="I3116" t="str">
        <f>HYPERLINK("https://zfin.org/ZDB-GENE-030912-14")</f>
        <v>https://zfin.org/ZDB-GENE-030912-14</v>
      </c>
      <c r="J3116" t="s">
        <v>4559</v>
      </c>
    </row>
    <row r="3117" spans="1:10" x14ac:dyDescent="0.2">
      <c r="A3117">
        <v>1.0231928287288E-11</v>
      </c>
      <c r="B3117">
        <v>0.41149558544641901</v>
      </c>
      <c r="C3117">
        <v>0.83099999999999996</v>
      </c>
      <c r="D3117">
        <v>0.60299999999999998</v>
      </c>
      <c r="E3117">
        <v>1.4220333933672901E-7</v>
      </c>
      <c r="F3117">
        <v>5</v>
      </c>
      <c r="G3117" t="s">
        <v>2873</v>
      </c>
      <c r="H3117" t="s">
        <v>2874</v>
      </c>
      <c r="I3117" t="str">
        <f>HYPERLINK("https://zfin.org/ZDB-GENE-050506-24")</f>
        <v>https://zfin.org/ZDB-GENE-050506-24</v>
      </c>
      <c r="J3117" t="s">
        <v>2875</v>
      </c>
    </row>
    <row r="3118" spans="1:10" x14ac:dyDescent="0.2">
      <c r="A3118">
        <v>1.0475702804099799E-11</v>
      </c>
      <c r="B3118">
        <v>0.306278227525483</v>
      </c>
      <c r="C3118">
        <v>0.96599999999999997</v>
      </c>
      <c r="D3118">
        <v>0.872</v>
      </c>
      <c r="E3118">
        <v>1.45591317571379E-7</v>
      </c>
      <c r="F3118">
        <v>5</v>
      </c>
      <c r="G3118" t="s">
        <v>2571</v>
      </c>
      <c r="H3118" t="s">
        <v>2572</v>
      </c>
      <c r="I3118" t="str">
        <f>HYPERLINK("https://zfin.org/ZDB-GENE-051113-276")</f>
        <v>https://zfin.org/ZDB-GENE-051113-276</v>
      </c>
      <c r="J3118" t="s">
        <v>2573</v>
      </c>
    </row>
    <row r="3119" spans="1:10" x14ac:dyDescent="0.2">
      <c r="A3119">
        <v>1.0608938752962E-11</v>
      </c>
      <c r="B3119">
        <v>0.25779373508480802</v>
      </c>
      <c r="C3119">
        <v>0.216</v>
      </c>
      <c r="D3119">
        <v>6.4000000000000001E-2</v>
      </c>
      <c r="E3119">
        <v>1.4744303078866601E-7</v>
      </c>
      <c r="F3119">
        <v>5</v>
      </c>
      <c r="G3119" t="s">
        <v>5691</v>
      </c>
      <c r="H3119" t="s">
        <v>5692</v>
      </c>
      <c r="I3119" t="str">
        <f>HYPERLINK("https://zfin.org/ZDB-GENE-040912-99")</f>
        <v>https://zfin.org/ZDB-GENE-040912-99</v>
      </c>
      <c r="J3119" t="s">
        <v>5693</v>
      </c>
    </row>
    <row r="3120" spans="1:10" x14ac:dyDescent="0.2">
      <c r="A3120">
        <v>1.07772538548448E-11</v>
      </c>
      <c r="B3120">
        <v>0.29976977106577102</v>
      </c>
      <c r="C3120">
        <v>0.97299999999999998</v>
      </c>
      <c r="D3120">
        <v>0.88800000000000001</v>
      </c>
      <c r="E3120">
        <v>1.49782274074633E-7</v>
      </c>
      <c r="F3120">
        <v>5</v>
      </c>
      <c r="G3120" t="s">
        <v>2577</v>
      </c>
      <c r="H3120" t="s">
        <v>2578</v>
      </c>
      <c r="I3120" t="str">
        <f>HYPERLINK("https://zfin.org/ZDB-GENE-030131-7310")</f>
        <v>https://zfin.org/ZDB-GENE-030131-7310</v>
      </c>
      <c r="J3120" t="s">
        <v>2579</v>
      </c>
    </row>
    <row r="3121" spans="1:10" x14ac:dyDescent="0.2">
      <c r="A3121">
        <v>1.1595404385661901E-11</v>
      </c>
      <c r="B3121">
        <v>0.27807447347395398</v>
      </c>
      <c r="C3121">
        <v>0.13500000000000001</v>
      </c>
      <c r="D3121">
        <v>0.03</v>
      </c>
      <c r="E3121">
        <v>1.6115293015192899E-7</v>
      </c>
      <c r="F3121">
        <v>5</v>
      </c>
      <c r="G3121" t="s">
        <v>6194</v>
      </c>
      <c r="H3121" t="s">
        <v>6195</v>
      </c>
      <c r="I3121" t="str">
        <f>HYPERLINK("https://zfin.org/ZDB-GENE-020711-1")</f>
        <v>https://zfin.org/ZDB-GENE-020711-1</v>
      </c>
      <c r="J3121" t="s">
        <v>6196</v>
      </c>
    </row>
    <row r="3122" spans="1:10" x14ac:dyDescent="0.2">
      <c r="A3122">
        <v>1.36923518701707E-11</v>
      </c>
      <c r="B3122">
        <v>0.30116824442196799</v>
      </c>
      <c r="C3122">
        <v>0.25</v>
      </c>
      <c r="D3122">
        <v>8.2000000000000003E-2</v>
      </c>
      <c r="E3122">
        <v>1.9029630629163201E-7</v>
      </c>
      <c r="F3122">
        <v>5</v>
      </c>
      <c r="G3122" t="s">
        <v>6197</v>
      </c>
      <c r="H3122" t="s">
        <v>6198</v>
      </c>
      <c r="I3122" t="str">
        <f>HYPERLINK("https://zfin.org/ZDB-GENE-030131-6067")</f>
        <v>https://zfin.org/ZDB-GENE-030131-6067</v>
      </c>
      <c r="J3122" t="s">
        <v>6199</v>
      </c>
    </row>
    <row r="3123" spans="1:10" x14ac:dyDescent="0.2">
      <c r="A3123">
        <v>1.3720080063486399E-11</v>
      </c>
      <c r="B3123">
        <v>0.401808755784404</v>
      </c>
      <c r="C3123">
        <v>0.72299999999999998</v>
      </c>
      <c r="D3123">
        <v>0.41599999999999998</v>
      </c>
      <c r="E3123">
        <v>1.9068167272233499E-7</v>
      </c>
      <c r="F3123">
        <v>5</v>
      </c>
      <c r="G3123" t="s">
        <v>3766</v>
      </c>
      <c r="H3123" t="s">
        <v>3767</v>
      </c>
      <c r="I3123" t="str">
        <f>HYPERLINK("https://zfin.org/ZDB-GENE-030131-4275")</f>
        <v>https://zfin.org/ZDB-GENE-030131-4275</v>
      </c>
      <c r="J3123" t="s">
        <v>3768</v>
      </c>
    </row>
    <row r="3124" spans="1:10" x14ac:dyDescent="0.2">
      <c r="A3124">
        <v>1.43846072630117E-11</v>
      </c>
      <c r="B3124">
        <v>0.61842915937951903</v>
      </c>
      <c r="C3124">
        <v>0.42599999999999999</v>
      </c>
      <c r="D3124">
        <v>0.19500000000000001</v>
      </c>
      <c r="E3124">
        <v>1.99917271741336E-7</v>
      </c>
      <c r="F3124">
        <v>5</v>
      </c>
      <c r="G3124" t="s">
        <v>3026</v>
      </c>
      <c r="H3124" t="s">
        <v>3027</v>
      </c>
      <c r="I3124" t="str">
        <f>HYPERLINK("https://zfin.org/ZDB-GENE-060815-1")</f>
        <v>https://zfin.org/ZDB-GENE-060815-1</v>
      </c>
      <c r="J3124" t="s">
        <v>3028</v>
      </c>
    </row>
    <row r="3125" spans="1:10" x14ac:dyDescent="0.2">
      <c r="A3125">
        <v>1.7558864173113E-11</v>
      </c>
      <c r="B3125">
        <v>0.38869182406449898</v>
      </c>
      <c r="C3125">
        <v>0.57399999999999995</v>
      </c>
      <c r="D3125">
        <v>0.28899999999999998</v>
      </c>
      <c r="E3125">
        <v>2.44033094277924E-7</v>
      </c>
      <c r="F3125">
        <v>5</v>
      </c>
      <c r="G3125" t="s">
        <v>2358</v>
      </c>
      <c r="H3125" t="s">
        <v>2359</v>
      </c>
      <c r="I3125" t="str">
        <f>HYPERLINK("https://zfin.org/ZDB-GENE-020326-1")</f>
        <v>https://zfin.org/ZDB-GENE-020326-1</v>
      </c>
      <c r="J3125" t="s">
        <v>2360</v>
      </c>
    </row>
    <row r="3126" spans="1:10" x14ac:dyDescent="0.2">
      <c r="A3126">
        <v>1.7846123204163701E-11</v>
      </c>
      <c r="B3126">
        <v>0.32957360266430702</v>
      </c>
      <c r="C3126">
        <v>0.25</v>
      </c>
      <c r="D3126">
        <v>8.4000000000000005E-2</v>
      </c>
      <c r="E3126">
        <v>2.48025420291468E-7</v>
      </c>
      <c r="F3126">
        <v>5</v>
      </c>
      <c r="G3126" t="s">
        <v>6200</v>
      </c>
      <c r="H3126" t="s">
        <v>6201</v>
      </c>
      <c r="I3126" t="str">
        <f>HYPERLINK("https://zfin.org/ZDB-GENE-050320-123")</f>
        <v>https://zfin.org/ZDB-GENE-050320-123</v>
      </c>
      <c r="J3126" t="s">
        <v>6202</v>
      </c>
    </row>
    <row r="3127" spans="1:10" x14ac:dyDescent="0.2">
      <c r="A3127">
        <v>1.9005691350894399E-11</v>
      </c>
      <c r="B3127">
        <v>0.35696099880948201</v>
      </c>
      <c r="C3127">
        <v>0.29699999999999999</v>
      </c>
      <c r="D3127">
        <v>0.11</v>
      </c>
      <c r="E3127">
        <v>2.6414109839473E-7</v>
      </c>
      <c r="F3127">
        <v>5</v>
      </c>
      <c r="G3127" t="s">
        <v>4411</v>
      </c>
      <c r="H3127" t="s">
        <v>4412</v>
      </c>
      <c r="I3127" t="str">
        <f>HYPERLINK("https://zfin.org/ZDB-GENE-040426-2256")</f>
        <v>https://zfin.org/ZDB-GENE-040426-2256</v>
      </c>
      <c r="J3127" t="s">
        <v>4413</v>
      </c>
    </row>
    <row r="3128" spans="1:10" x14ac:dyDescent="0.2">
      <c r="A3128">
        <v>1.9617886439012E-11</v>
      </c>
      <c r="B3128">
        <v>0.33540671246723702</v>
      </c>
      <c r="C3128">
        <v>0.46600000000000003</v>
      </c>
      <c r="D3128">
        <v>0.20899999999999999</v>
      </c>
      <c r="E3128">
        <v>2.7264938572938901E-7</v>
      </c>
      <c r="F3128">
        <v>5</v>
      </c>
      <c r="G3128" t="s">
        <v>6203</v>
      </c>
      <c r="H3128" t="s">
        <v>6204</v>
      </c>
      <c r="I3128" t="str">
        <f>HYPERLINK("https://zfin.org/ZDB-GENE-021029-1")</f>
        <v>https://zfin.org/ZDB-GENE-021029-1</v>
      </c>
      <c r="J3128" t="s">
        <v>6205</v>
      </c>
    </row>
    <row r="3129" spans="1:10" x14ac:dyDescent="0.2">
      <c r="A3129">
        <v>2.0898438356811001E-11</v>
      </c>
      <c r="B3129">
        <v>0.45993325485618802</v>
      </c>
      <c r="C3129">
        <v>0.57399999999999995</v>
      </c>
      <c r="D3129">
        <v>0.307</v>
      </c>
      <c r="E3129">
        <v>2.9044649628295999E-7</v>
      </c>
      <c r="F3129">
        <v>5</v>
      </c>
      <c r="G3129" t="s">
        <v>6206</v>
      </c>
      <c r="H3129" t="s">
        <v>6207</v>
      </c>
      <c r="I3129" t="str">
        <f>HYPERLINK("https://zfin.org/ZDB-GENE-050320-39")</f>
        <v>https://zfin.org/ZDB-GENE-050320-39</v>
      </c>
      <c r="J3129" t="s">
        <v>6208</v>
      </c>
    </row>
    <row r="3130" spans="1:10" x14ac:dyDescent="0.2">
      <c r="A3130">
        <v>2.0930742756197398E-11</v>
      </c>
      <c r="B3130">
        <v>0.30136614392389899</v>
      </c>
      <c r="C3130">
        <v>0.20899999999999999</v>
      </c>
      <c r="D3130">
        <v>6.3E-2</v>
      </c>
      <c r="E3130">
        <v>2.9089546282563202E-7</v>
      </c>
      <c r="F3130">
        <v>5</v>
      </c>
      <c r="G3130" t="s">
        <v>6209</v>
      </c>
      <c r="H3130" t="s">
        <v>6210</v>
      </c>
      <c r="I3130" t="str">
        <f>HYPERLINK("https://zfin.org/ZDB-GENE-040825-3")</f>
        <v>https://zfin.org/ZDB-GENE-040825-3</v>
      </c>
      <c r="J3130" t="s">
        <v>6211</v>
      </c>
    </row>
    <row r="3131" spans="1:10" x14ac:dyDescent="0.2">
      <c r="A3131">
        <v>2.5740203845932E-11</v>
      </c>
      <c r="B3131">
        <v>0.28371487385978</v>
      </c>
      <c r="C3131">
        <v>0.19600000000000001</v>
      </c>
      <c r="D3131">
        <v>5.6000000000000001E-2</v>
      </c>
      <c r="E3131">
        <v>3.5773735305076401E-7</v>
      </c>
      <c r="F3131">
        <v>5</v>
      </c>
      <c r="G3131" t="s">
        <v>6212</v>
      </c>
      <c r="H3131" t="s">
        <v>6213</v>
      </c>
      <c r="I3131" t="str">
        <f>HYPERLINK("https://zfin.org/ZDB-GENE-060720-2")</f>
        <v>https://zfin.org/ZDB-GENE-060720-2</v>
      </c>
      <c r="J3131" t="s">
        <v>6214</v>
      </c>
    </row>
    <row r="3132" spans="1:10" x14ac:dyDescent="0.2">
      <c r="A3132">
        <v>2.58596537133468E-11</v>
      </c>
      <c r="B3132">
        <v>0.43216254839470702</v>
      </c>
      <c r="C3132">
        <v>0.67600000000000005</v>
      </c>
      <c r="D3132">
        <v>0.38500000000000001</v>
      </c>
      <c r="E3132">
        <v>3.5939746730809402E-7</v>
      </c>
      <c r="F3132">
        <v>5</v>
      </c>
      <c r="G3132" t="s">
        <v>5096</v>
      </c>
      <c r="H3132" t="s">
        <v>5097</v>
      </c>
      <c r="I3132" t="str">
        <f>HYPERLINK("https://zfin.org/ZDB-GENE-040808-19")</f>
        <v>https://zfin.org/ZDB-GENE-040808-19</v>
      </c>
      <c r="J3132" t="s">
        <v>5098</v>
      </c>
    </row>
    <row r="3133" spans="1:10" x14ac:dyDescent="0.2">
      <c r="A3133">
        <v>2.5881588807918999E-11</v>
      </c>
      <c r="B3133">
        <v>-0.451735879745783</v>
      </c>
      <c r="C3133">
        <v>0.92600000000000005</v>
      </c>
      <c r="D3133">
        <v>0.9</v>
      </c>
      <c r="E3133">
        <v>3.5970232125245798E-7</v>
      </c>
      <c r="F3133">
        <v>5</v>
      </c>
      <c r="G3133" t="s">
        <v>1332</v>
      </c>
      <c r="H3133" t="s">
        <v>1333</v>
      </c>
      <c r="I3133" t="str">
        <f>HYPERLINK("https://zfin.org/ZDB-GENE-040426-2740")</f>
        <v>https://zfin.org/ZDB-GENE-040426-2740</v>
      </c>
      <c r="J3133" t="s">
        <v>1334</v>
      </c>
    </row>
    <row r="3134" spans="1:10" x14ac:dyDescent="0.2">
      <c r="A3134">
        <v>2.68065815696712E-11</v>
      </c>
      <c r="B3134">
        <v>0.44546675121566198</v>
      </c>
      <c r="C3134">
        <v>0.5</v>
      </c>
      <c r="D3134">
        <v>0.249</v>
      </c>
      <c r="E3134">
        <v>3.72557870655291E-7</v>
      </c>
      <c r="F3134">
        <v>5</v>
      </c>
      <c r="G3134" t="s">
        <v>5766</v>
      </c>
      <c r="H3134" t="s">
        <v>5767</v>
      </c>
      <c r="I3134" t="str">
        <f>HYPERLINK("https://zfin.org/ZDB-GENE-030516-2")</f>
        <v>https://zfin.org/ZDB-GENE-030516-2</v>
      </c>
      <c r="J3134" t="s">
        <v>5768</v>
      </c>
    </row>
    <row r="3135" spans="1:10" x14ac:dyDescent="0.2">
      <c r="A3135">
        <v>3.1546204299281897E-11</v>
      </c>
      <c r="B3135">
        <v>-0.86557020783031902</v>
      </c>
      <c r="C3135">
        <v>0.29099999999999998</v>
      </c>
      <c r="D3135">
        <v>0.50600000000000001</v>
      </c>
      <c r="E3135">
        <v>4.3842914735141901E-7</v>
      </c>
      <c r="F3135">
        <v>5</v>
      </c>
      <c r="G3135" t="s">
        <v>2325</v>
      </c>
      <c r="H3135" t="s">
        <v>2326</v>
      </c>
      <c r="I3135" t="str">
        <f>HYPERLINK("https://zfin.org/ZDB-GENE-060503-431")</f>
        <v>https://zfin.org/ZDB-GENE-060503-431</v>
      </c>
      <c r="J3135" t="s">
        <v>2327</v>
      </c>
    </row>
    <row r="3136" spans="1:10" x14ac:dyDescent="0.2">
      <c r="A3136">
        <v>3.3035034097892702E-11</v>
      </c>
      <c r="B3136">
        <v>-0.46803349279462603</v>
      </c>
      <c r="C3136">
        <v>1</v>
      </c>
      <c r="D3136">
        <v>1</v>
      </c>
      <c r="E3136">
        <v>4.5912090389251199E-7</v>
      </c>
      <c r="F3136">
        <v>5</v>
      </c>
      <c r="G3136" t="s">
        <v>1023</v>
      </c>
      <c r="H3136" t="s">
        <v>1024</v>
      </c>
      <c r="I3136" t="str">
        <f>HYPERLINK("https://zfin.org/ZDB-GENE-130603-61")</f>
        <v>https://zfin.org/ZDB-GENE-130603-61</v>
      </c>
      <c r="J3136" t="s">
        <v>1025</v>
      </c>
    </row>
    <row r="3137" spans="1:10" x14ac:dyDescent="0.2">
      <c r="A3137">
        <v>3.5260400131973501E-11</v>
      </c>
      <c r="B3137">
        <v>0.34818214290404298</v>
      </c>
      <c r="C3137">
        <v>0.60099999999999998</v>
      </c>
      <c r="D3137">
        <v>0.30099999999999999</v>
      </c>
      <c r="E3137">
        <v>4.9004904103416802E-7</v>
      </c>
      <c r="F3137">
        <v>5</v>
      </c>
      <c r="G3137" t="s">
        <v>5138</v>
      </c>
      <c r="H3137" t="s">
        <v>5139</v>
      </c>
      <c r="I3137" t="str">
        <f>HYPERLINK("https://zfin.org/ZDB-GENE-040718-450")</f>
        <v>https://zfin.org/ZDB-GENE-040718-450</v>
      </c>
      <c r="J3137" t="s">
        <v>5140</v>
      </c>
    </row>
    <row r="3138" spans="1:10" x14ac:dyDescent="0.2">
      <c r="A3138">
        <v>4.39148465942526E-11</v>
      </c>
      <c r="B3138">
        <v>0.286137870841153</v>
      </c>
      <c r="C3138">
        <v>0.32400000000000001</v>
      </c>
      <c r="D3138">
        <v>0.124</v>
      </c>
      <c r="E3138">
        <v>6.1032853796692196E-7</v>
      </c>
      <c r="F3138">
        <v>5</v>
      </c>
      <c r="G3138" t="s">
        <v>4300</v>
      </c>
      <c r="H3138" t="s">
        <v>4301</v>
      </c>
      <c r="I3138" t="str">
        <f>HYPERLINK("https://zfin.org/ZDB-GENE-031219-6")</f>
        <v>https://zfin.org/ZDB-GENE-031219-6</v>
      </c>
      <c r="J3138" t="s">
        <v>4302</v>
      </c>
    </row>
    <row r="3139" spans="1:10" x14ac:dyDescent="0.2">
      <c r="A3139">
        <v>4.5494389526977397E-11</v>
      </c>
      <c r="B3139">
        <v>-0.439291873005836</v>
      </c>
      <c r="C3139">
        <v>0.89200000000000002</v>
      </c>
      <c r="D3139">
        <v>0.90100000000000002</v>
      </c>
      <c r="E3139">
        <v>6.3228102564593203E-7</v>
      </c>
      <c r="F3139">
        <v>5</v>
      </c>
      <c r="G3139" t="s">
        <v>2096</v>
      </c>
      <c r="H3139" t="s">
        <v>2097</v>
      </c>
      <c r="I3139" t="str">
        <f>HYPERLINK("https://zfin.org/ZDB-GENE-030131-8417")</f>
        <v>https://zfin.org/ZDB-GENE-030131-8417</v>
      </c>
      <c r="J3139" t="s">
        <v>2098</v>
      </c>
    </row>
    <row r="3140" spans="1:10" x14ac:dyDescent="0.2">
      <c r="A3140">
        <v>4.8022049801319999E-11</v>
      </c>
      <c r="B3140">
        <v>0.34345995616297598</v>
      </c>
      <c r="C3140">
        <v>0.311</v>
      </c>
      <c r="D3140">
        <v>0.11899999999999999</v>
      </c>
      <c r="E3140">
        <v>6.6741044813874596E-7</v>
      </c>
      <c r="F3140">
        <v>5</v>
      </c>
      <c r="G3140" t="s">
        <v>6215</v>
      </c>
      <c r="H3140" t="s">
        <v>6216</v>
      </c>
      <c r="I3140" t="str">
        <f>HYPERLINK("https://zfin.org/ZDB-GENE-100729-2")</f>
        <v>https://zfin.org/ZDB-GENE-100729-2</v>
      </c>
      <c r="J3140" t="s">
        <v>6217</v>
      </c>
    </row>
    <row r="3141" spans="1:10" x14ac:dyDescent="0.2">
      <c r="A3141">
        <v>4.8514679112245503E-11</v>
      </c>
      <c r="B3141">
        <v>0.262965492106225</v>
      </c>
      <c r="C3141">
        <v>0.108</v>
      </c>
      <c r="D3141">
        <v>2.1000000000000001E-2</v>
      </c>
      <c r="E3141">
        <v>6.7425701030198796E-7</v>
      </c>
      <c r="F3141">
        <v>5</v>
      </c>
      <c r="G3141" t="s">
        <v>4716</v>
      </c>
      <c r="H3141" t="s">
        <v>4717</v>
      </c>
      <c r="I3141" t="str">
        <f>HYPERLINK("https://zfin.org/ZDB-GENE-070424-21")</f>
        <v>https://zfin.org/ZDB-GENE-070424-21</v>
      </c>
      <c r="J3141" t="s">
        <v>4718</v>
      </c>
    </row>
    <row r="3142" spans="1:10" x14ac:dyDescent="0.2">
      <c r="A3142">
        <v>4.9304004084854299E-11</v>
      </c>
      <c r="B3142">
        <v>0.278491969186135</v>
      </c>
      <c r="C3142">
        <v>0.33800000000000002</v>
      </c>
      <c r="D3142">
        <v>0.13100000000000001</v>
      </c>
      <c r="E3142">
        <v>6.8522704877130501E-7</v>
      </c>
      <c r="F3142">
        <v>5</v>
      </c>
      <c r="G3142" t="s">
        <v>6218</v>
      </c>
      <c r="H3142" t="s">
        <v>6219</v>
      </c>
      <c r="I3142" t="str">
        <f>HYPERLINK("https://zfin.org/ZDB-GENE-030131-1535")</f>
        <v>https://zfin.org/ZDB-GENE-030131-1535</v>
      </c>
      <c r="J3142" t="s">
        <v>6220</v>
      </c>
    </row>
    <row r="3143" spans="1:10" x14ac:dyDescent="0.2">
      <c r="A3143">
        <v>5.9127091095276706E-11</v>
      </c>
      <c r="B3143">
        <v>0.41554570745436198</v>
      </c>
      <c r="C3143">
        <v>0.61499999999999999</v>
      </c>
      <c r="D3143">
        <v>0.33700000000000002</v>
      </c>
      <c r="E3143">
        <v>8.2174831204215601E-7</v>
      </c>
      <c r="F3143">
        <v>5</v>
      </c>
      <c r="G3143" t="s">
        <v>6221</v>
      </c>
      <c r="H3143" t="s">
        <v>6222</v>
      </c>
      <c r="I3143" t="str">
        <f>HYPERLINK("https://zfin.org/ZDB-GENE-030131-34")</f>
        <v>https://zfin.org/ZDB-GENE-030131-34</v>
      </c>
      <c r="J3143" t="s">
        <v>6223</v>
      </c>
    </row>
    <row r="3144" spans="1:10" x14ac:dyDescent="0.2">
      <c r="A3144">
        <v>5.9826993202229004E-11</v>
      </c>
      <c r="B3144">
        <v>-1.02958327216717</v>
      </c>
      <c r="C3144">
        <v>0.49299999999999999</v>
      </c>
      <c r="D3144">
        <v>0.61199999999999999</v>
      </c>
      <c r="E3144">
        <v>8.3147555152457898E-7</v>
      </c>
      <c r="F3144">
        <v>5</v>
      </c>
      <c r="G3144" t="s">
        <v>2153</v>
      </c>
      <c r="H3144" t="s">
        <v>2154</v>
      </c>
      <c r="I3144" t="str">
        <f>HYPERLINK("https://zfin.org/ZDB-GENE-031016-2")</f>
        <v>https://zfin.org/ZDB-GENE-031016-2</v>
      </c>
      <c r="J3144" t="s">
        <v>2155</v>
      </c>
    </row>
    <row r="3145" spans="1:10" x14ac:dyDescent="0.2">
      <c r="A3145">
        <v>6.1892292640340194E-11</v>
      </c>
      <c r="B3145">
        <v>0.274632178221967</v>
      </c>
      <c r="C3145">
        <v>0.378</v>
      </c>
      <c r="D3145">
        <v>0.156</v>
      </c>
      <c r="E3145">
        <v>8.6017908311544802E-7</v>
      </c>
      <c r="F3145">
        <v>5</v>
      </c>
      <c r="G3145" t="s">
        <v>4223</v>
      </c>
      <c r="H3145" t="s">
        <v>4224</v>
      </c>
      <c r="I3145" t="str">
        <f>HYPERLINK("https://zfin.org/ZDB-GENE-030131-713")</f>
        <v>https://zfin.org/ZDB-GENE-030131-713</v>
      </c>
      <c r="J3145" t="s">
        <v>4225</v>
      </c>
    </row>
    <row r="3146" spans="1:10" x14ac:dyDescent="0.2">
      <c r="A3146">
        <v>6.3212942364912303E-11</v>
      </c>
      <c r="B3146">
        <v>0.34655783206531499</v>
      </c>
      <c r="C3146">
        <v>0.45900000000000002</v>
      </c>
      <c r="D3146">
        <v>0.214</v>
      </c>
      <c r="E3146">
        <v>8.7853347298755096E-7</v>
      </c>
      <c r="F3146">
        <v>5</v>
      </c>
      <c r="G3146" t="s">
        <v>3324</v>
      </c>
      <c r="H3146" t="s">
        <v>3325</v>
      </c>
      <c r="I3146" t="str">
        <f>HYPERLINK("https://zfin.org/ZDB-GENE-030729-30")</f>
        <v>https://zfin.org/ZDB-GENE-030729-30</v>
      </c>
      <c r="J3146" t="s">
        <v>3326</v>
      </c>
    </row>
    <row r="3147" spans="1:10" x14ac:dyDescent="0.2">
      <c r="A3147">
        <v>6.4808067250082906E-11</v>
      </c>
      <c r="B3147">
        <v>0.261072506785827</v>
      </c>
      <c r="C3147">
        <v>0.40500000000000003</v>
      </c>
      <c r="D3147">
        <v>0.17199999999999999</v>
      </c>
      <c r="E3147">
        <v>9.0070251864165196E-7</v>
      </c>
      <c r="F3147">
        <v>5</v>
      </c>
      <c r="G3147" t="s">
        <v>6224</v>
      </c>
      <c r="H3147" t="s">
        <v>6225</v>
      </c>
      <c r="I3147" t="str">
        <f>HYPERLINK("https://zfin.org/ZDB-GENE-040426-1389")</f>
        <v>https://zfin.org/ZDB-GENE-040426-1389</v>
      </c>
      <c r="J3147" t="s">
        <v>6226</v>
      </c>
    </row>
    <row r="3148" spans="1:10" x14ac:dyDescent="0.2">
      <c r="A3148">
        <v>6.6168595782389997E-11</v>
      </c>
      <c r="B3148">
        <v>0.41776648077536999</v>
      </c>
      <c r="C3148">
        <v>0.439</v>
      </c>
      <c r="D3148">
        <v>0.20899999999999999</v>
      </c>
      <c r="E3148">
        <v>9.1961114418365605E-7</v>
      </c>
      <c r="F3148">
        <v>5</v>
      </c>
      <c r="G3148" t="s">
        <v>3969</v>
      </c>
      <c r="H3148" t="s">
        <v>3970</v>
      </c>
      <c r="I3148" t="str">
        <f>HYPERLINK("https://zfin.org/")</f>
        <v>https://zfin.org/</v>
      </c>
      <c r="J3148" t="s">
        <v>3971</v>
      </c>
    </row>
    <row r="3149" spans="1:10" x14ac:dyDescent="0.2">
      <c r="A3149">
        <v>6.8800978910067903E-11</v>
      </c>
      <c r="B3149">
        <v>-0.98865818953498796</v>
      </c>
      <c r="C3149">
        <v>0.48</v>
      </c>
      <c r="D3149">
        <v>0.61399999999999999</v>
      </c>
      <c r="E3149">
        <v>9.5619600489212407E-7</v>
      </c>
      <c r="F3149">
        <v>5</v>
      </c>
      <c r="G3149" t="s">
        <v>2511</v>
      </c>
      <c r="H3149" t="s">
        <v>2512</v>
      </c>
      <c r="I3149" t="str">
        <f>HYPERLINK("https://zfin.org/ZDB-GENE-000619-1")</f>
        <v>https://zfin.org/ZDB-GENE-000619-1</v>
      </c>
      <c r="J3149" t="s">
        <v>2513</v>
      </c>
    </row>
    <row r="3150" spans="1:10" x14ac:dyDescent="0.2">
      <c r="A3150">
        <v>7.0438201607451101E-11</v>
      </c>
      <c r="B3150">
        <v>0.30553989562077699</v>
      </c>
      <c r="C3150">
        <v>0.42599999999999999</v>
      </c>
      <c r="D3150">
        <v>0.189</v>
      </c>
      <c r="E3150">
        <v>9.789501259403549E-7</v>
      </c>
      <c r="F3150">
        <v>5</v>
      </c>
      <c r="G3150" t="s">
        <v>6227</v>
      </c>
      <c r="H3150" t="s">
        <v>6228</v>
      </c>
      <c r="I3150" t="str">
        <f>HYPERLINK("https://zfin.org/ZDB-GENE-030131-970")</f>
        <v>https://zfin.org/ZDB-GENE-030131-970</v>
      </c>
      <c r="J3150" t="s">
        <v>6229</v>
      </c>
    </row>
    <row r="3151" spans="1:10" x14ac:dyDescent="0.2">
      <c r="A3151">
        <v>7.6521825989230398E-11</v>
      </c>
      <c r="B3151">
        <v>0.32769272224490198</v>
      </c>
      <c r="C3151">
        <v>0.29099999999999998</v>
      </c>
      <c r="D3151">
        <v>0.109</v>
      </c>
      <c r="E3151">
        <v>1.0635003375983201E-6</v>
      </c>
      <c r="F3151">
        <v>5</v>
      </c>
      <c r="G3151" t="s">
        <v>5781</v>
      </c>
      <c r="H3151" t="s">
        <v>5782</v>
      </c>
      <c r="I3151" t="str">
        <f>HYPERLINK("https://zfin.org/ZDB-GENE-040426-1773")</f>
        <v>https://zfin.org/ZDB-GENE-040426-1773</v>
      </c>
      <c r="J3151" t="s">
        <v>5783</v>
      </c>
    </row>
    <row r="3152" spans="1:10" x14ac:dyDescent="0.2">
      <c r="A3152">
        <v>8.4431297168522403E-11</v>
      </c>
      <c r="B3152">
        <v>0.38519751551696801</v>
      </c>
      <c r="C3152">
        <v>0.59499999999999997</v>
      </c>
      <c r="D3152">
        <v>0.312</v>
      </c>
      <c r="E3152">
        <v>1.1734261680481201E-6</v>
      </c>
      <c r="F3152">
        <v>5</v>
      </c>
      <c r="G3152" t="s">
        <v>4961</v>
      </c>
      <c r="H3152" t="s">
        <v>4962</v>
      </c>
      <c r="I3152" t="str">
        <f>HYPERLINK("https://zfin.org/ZDB-GENE-030131-5553")</f>
        <v>https://zfin.org/ZDB-GENE-030131-5553</v>
      </c>
      <c r="J3152" t="s">
        <v>4963</v>
      </c>
    </row>
    <row r="3153" spans="1:10" x14ac:dyDescent="0.2">
      <c r="A3153">
        <v>9.2536822562688796E-11</v>
      </c>
      <c r="B3153">
        <v>0.26362478427959102</v>
      </c>
      <c r="C3153">
        <v>0.122</v>
      </c>
      <c r="D3153">
        <v>2.7E-2</v>
      </c>
      <c r="E3153">
        <v>1.2860767599762501E-6</v>
      </c>
      <c r="F3153">
        <v>5</v>
      </c>
      <c r="G3153" t="s">
        <v>4121</v>
      </c>
      <c r="H3153" t="s">
        <v>4122</v>
      </c>
      <c r="I3153" t="str">
        <f>HYPERLINK("https://zfin.org/ZDB-GENE-030131-9569")</f>
        <v>https://zfin.org/ZDB-GENE-030131-9569</v>
      </c>
      <c r="J3153" t="s">
        <v>4123</v>
      </c>
    </row>
    <row r="3154" spans="1:10" x14ac:dyDescent="0.2">
      <c r="A3154">
        <v>9.2666958580316304E-11</v>
      </c>
      <c r="B3154">
        <v>0.42138783805328101</v>
      </c>
      <c r="C3154">
        <v>0.52700000000000002</v>
      </c>
      <c r="D3154">
        <v>0.26900000000000002</v>
      </c>
      <c r="E3154">
        <v>1.2878853903492401E-6</v>
      </c>
      <c r="F3154">
        <v>5</v>
      </c>
      <c r="G3154" t="s">
        <v>5036</v>
      </c>
      <c r="H3154" t="s">
        <v>5037</v>
      </c>
      <c r="I3154" t="str">
        <f>HYPERLINK("https://zfin.org/ZDB-GENE-040426-915")</f>
        <v>https://zfin.org/ZDB-GENE-040426-915</v>
      </c>
      <c r="J3154" t="s">
        <v>5038</v>
      </c>
    </row>
    <row r="3155" spans="1:10" x14ac:dyDescent="0.2">
      <c r="A3155">
        <v>9.3456321101548798E-11</v>
      </c>
      <c r="B3155">
        <v>-0.65897098033522905</v>
      </c>
      <c r="C3155">
        <v>0.54700000000000004</v>
      </c>
      <c r="D3155">
        <v>0.64600000000000002</v>
      </c>
      <c r="E3155">
        <v>1.2988559506693299E-6</v>
      </c>
      <c r="F3155">
        <v>5</v>
      </c>
      <c r="G3155" t="s">
        <v>6230</v>
      </c>
      <c r="H3155" t="s">
        <v>6231</v>
      </c>
      <c r="I3155" t="str">
        <f>HYPERLINK("https://zfin.org/ZDB-GENE-030707-1")</f>
        <v>https://zfin.org/ZDB-GENE-030707-1</v>
      </c>
      <c r="J3155" t="s">
        <v>6232</v>
      </c>
    </row>
    <row r="3156" spans="1:10" x14ac:dyDescent="0.2">
      <c r="A3156">
        <v>9.3527695630165506E-11</v>
      </c>
      <c r="B3156">
        <v>0.35529384307559297</v>
      </c>
      <c r="C3156">
        <v>0.58099999999999996</v>
      </c>
      <c r="D3156">
        <v>0.29699999999999999</v>
      </c>
      <c r="E3156">
        <v>1.2998479138680401E-6</v>
      </c>
      <c r="F3156">
        <v>5</v>
      </c>
      <c r="G3156" t="s">
        <v>3856</v>
      </c>
      <c r="H3156" t="s">
        <v>3857</v>
      </c>
      <c r="I3156" t="str">
        <f>HYPERLINK("https://zfin.org/ZDB-GENE-040718-124")</f>
        <v>https://zfin.org/ZDB-GENE-040718-124</v>
      </c>
      <c r="J3156" t="s">
        <v>3858</v>
      </c>
    </row>
    <row r="3157" spans="1:10" x14ac:dyDescent="0.2">
      <c r="A3157">
        <v>1.05522443159156E-10</v>
      </c>
      <c r="B3157">
        <v>0.426004482127608</v>
      </c>
      <c r="C3157">
        <v>0.54700000000000004</v>
      </c>
      <c r="D3157">
        <v>0.29699999999999999</v>
      </c>
      <c r="E3157">
        <v>1.46655091502594E-6</v>
      </c>
      <c r="F3157">
        <v>5</v>
      </c>
      <c r="G3157" t="s">
        <v>3109</v>
      </c>
      <c r="H3157" t="s">
        <v>3110</v>
      </c>
      <c r="I3157" t="str">
        <f>HYPERLINK("https://zfin.org/ZDB-GENE-030131-719")</f>
        <v>https://zfin.org/ZDB-GENE-030131-719</v>
      </c>
      <c r="J3157" t="s">
        <v>3111</v>
      </c>
    </row>
    <row r="3158" spans="1:10" x14ac:dyDescent="0.2">
      <c r="A3158">
        <v>1.1172334872986001E-10</v>
      </c>
      <c r="B3158">
        <v>0.31315150265598302</v>
      </c>
      <c r="C3158">
        <v>0.99299999999999999</v>
      </c>
      <c r="D3158">
        <v>0.94499999999999995</v>
      </c>
      <c r="E3158">
        <v>1.5527311006476E-6</v>
      </c>
      <c r="F3158">
        <v>5</v>
      </c>
      <c r="G3158" t="s">
        <v>2057</v>
      </c>
      <c r="H3158" t="s">
        <v>2058</v>
      </c>
      <c r="I3158" t="str">
        <f>HYPERLINK("https://zfin.org/ZDB-GENE-011205-18")</f>
        <v>https://zfin.org/ZDB-GENE-011205-18</v>
      </c>
      <c r="J3158" t="s">
        <v>2059</v>
      </c>
    </row>
    <row r="3159" spans="1:10" x14ac:dyDescent="0.2">
      <c r="A3159">
        <v>1.16159449193282E-10</v>
      </c>
      <c r="B3159">
        <v>0.28601948360410201</v>
      </c>
      <c r="C3159">
        <v>0.20899999999999999</v>
      </c>
      <c r="D3159">
        <v>6.6000000000000003E-2</v>
      </c>
      <c r="E3159">
        <v>1.6143840248882299E-6</v>
      </c>
      <c r="F3159">
        <v>5</v>
      </c>
      <c r="G3159" t="s">
        <v>6233</v>
      </c>
      <c r="H3159" t="s">
        <v>6234</v>
      </c>
      <c r="I3159" t="str">
        <f>HYPERLINK("https://zfin.org/ZDB-GENE-030131-2146")</f>
        <v>https://zfin.org/ZDB-GENE-030131-2146</v>
      </c>
      <c r="J3159" t="s">
        <v>6235</v>
      </c>
    </row>
    <row r="3160" spans="1:10" x14ac:dyDescent="0.2">
      <c r="A3160">
        <v>1.18806290762908E-10</v>
      </c>
      <c r="B3160">
        <v>0.28662078488610099</v>
      </c>
      <c r="C3160">
        <v>0.20899999999999999</v>
      </c>
      <c r="D3160">
        <v>6.6000000000000003E-2</v>
      </c>
      <c r="E3160">
        <v>1.6511698290228899E-6</v>
      </c>
      <c r="F3160">
        <v>5</v>
      </c>
      <c r="G3160" t="s">
        <v>6236</v>
      </c>
      <c r="H3160" t="s">
        <v>6237</v>
      </c>
      <c r="I3160" t="str">
        <f>HYPERLINK("https://zfin.org/ZDB-GENE-030131-260")</f>
        <v>https://zfin.org/ZDB-GENE-030131-260</v>
      </c>
      <c r="J3160" t="s">
        <v>6238</v>
      </c>
    </row>
    <row r="3161" spans="1:10" x14ac:dyDescent="0.2">
      <c r="A3161">
        <v>1.2136603718498501E-10</v>
      </c>
      <c r="B3161">
        <v>0.33889003327203898</v>
      </c>
      <c r="C3161">
        <v>0.94599999999999995</v>
      </c>
      <c r="D3161">
        <v>0.746</v>
      </c>
      <c r="E3161">
        <v>1.68674518479693E-6</v>
      </c>
      <c r="F3161">
        <v>5</v>
      </c>
      <c r="G3161" t="s">
        <v>2173</v>
      </c>
      <c r="H3161" t="s">
        <v>2174</v>
      </c>
      <c r="I3161" t="str">
        <f>HYPERLINK("https://zfin.org/ZDB-GENE-040625-93")</f>
        <v>https://zfin.org/ZDB-GENE-040625-93</v>
      </c>
      <c r="J3161" t="s">
        <v>2175</v>
      </c>
    </row>
    <row r="3162" spans="1:10" x14ac:dyDescent="0.2">
      <c r="A3162">
        <v>1.21534421523309E-10</v>
      </c>
      <c r="B3162">
        <v>0.265214466331403</v>
      </c>
      <c r="C3162">
        <v>0.23</v>
      </c>
      <c r="D3162">
        <v>7.4999999999999997E-2</v>
      </c>
      <c r="E3162">
        <v>1.68908539033095E-6</v>
      </c>
      <c r="F3162">
        <v>5</v>
      </c>
      <c r="G3162" t="s">
        <v>4569</v>
      </c>
      <c r="H3162" t="s">
        <v>4570</v>
      </c>
      <c r="I3162" t="str">
        <f>HYPERLINK("https://zfin.org/ZDB-GENE-050706-140")</f>
        <v>https://zfin.org/ZDB-GENE-050706-140</v>
      </c>
      <c r="J3162" t="s">
        <v>4571</v>
      </c>
    </row>
    <row r="3163" spans="1:10" x14ac:dyDescent="0.2">
      <c r="A3163">
        <v>1.24814555428264E-10</v>
      </c>
      <c r="B3163">
        <v>0.272236327625765</v>
      </c>
      <c r="C3163">
        <v>0.35099999999999998</v>
      </c>
      <c r="D3163">
        <v>0.14199999999999999</v>
      </c>
      <c r="E3163">
        <v>1.7346726913420201E-6</v>
      </c>
      <c r="F3163">
        <v>5</v>
      </c>
      <c r="G3163" t="s">
        <v>3904</v>
      </c>
      <c r="H3163" t="s">
        <v>3905</v>
      </c>
      <c r="I3163" t="str">
        <f>HYPERLINK("https://zfin.org/ZDB-GENE-040426-1066")</f>
        <v>https://zfin.org/ZDB-GENE-040426-1066</v>
      </c>
      <c r="J3163" t="s">
        <v>3906</v>
      </c>
    </row>
    <row r="3164" spans="1:10" x14ac:dyDescent="0.2">
      <c r="A3164">
        <v>1.4826593310596899E-10</v>
      </c>
      <c r="B3164">
        <v>0.271654237906928</v>
      </c>
      <c r="C3164">
        <v>0.23</v>
      </c>
      <c r="D3164">
        <v>7.4999999999999997E-2</v>
      </c>
      <c r="E3164">
        <v>2.06059993830676E-6</v>
      </c>
      <c r="F3164">
        <v>5</v>
      </c>
      <c r="G3164" t="s">
        <v>3772</v>
      </c>
      <c r="H3164" t="s">
        <v>3773</v>
      </c>
      <c r="I3164" t="str">
        <f>HYPERLINK("https://zfin.org/ZDB-GENE-051030-48")</f>
        <v>https://zfin.org/ZDB-GENE-051030-48</v>
      </c>
      <c r="J3164" t="s">
        <v>3774</v>
      </c>
    </row>
    <row r="3165" spans="1:10" x14ac:dyDescent="0.2">
      <c r="A3165">
        <v>1.5836456524881901E-10</v>
      </c>
      <c r="B3165">
        <v>0.28467331944698399</v>
      </c>
      <c r="C3165">
        <v>0.24299999999999999</v>
      </c>
      <c r="D3165">
        <v>8.3000000000000004E-2</v>
      </c>
      <c r="E3165">
        <v>2.2009507278280902E-6</v>
      </c>
      <c r="F3165">
        <v>5</v>
      </c>
      <c r="G3165" t="s">
        <v>6239</v>
      </c>
      <c r="H3165" t="s">
        <v>6240</v>
      </c>
      <c r="I3165" t="str">
        <f>HYPERLINK("https://zfin.org/ZDB-GENE-060526-271")</f>
        <v>https://zfin.org/ZDB-GENE-060526-271</v>
      </c>
      <c r="J3165" t="s">
        <v>6241</v>
      </c>
    </row>
    <row r="3166" spans="1:10" x14ac:dyDescent="0.2">
      <c r="A3166">
        <v>1.58867468294041E-10</v>
      </c>
      <c r="B3166">
        <v>0.25118124526900498</v>
      </c>
      <c r="C3166">
        <v>0.98599999999999999</v>
      </c>
      <c r="D3166">
        <v>0.93500000000000005</v>
      </c>
      <c r="E3166">
        <v>2.2079400743505801E-6</v>
      </c>
      <c r="F3166">
        <v>5</v>
      </c>
      <c r="G3166" t="s">
        <v>6242</v>
      </c>
      <c r="H3166" t="s">
        <v>6243</v>
      </c>
      <c r="I3166" t="str">
        <f>HYPERLINK("https://zfin.org/ZDB-GENE-030131-8671")</f>
        <v>https://zfin.org/ZDB-GENE-030131-8671</v>
      </c>
      <c r="J3166" t="s">
        <v>6244</v>
      </c>
    </row>
    <row r="3167" spans="1:10" x14ac:dyDescent="0.2">
      <c r="A3167">
        <v>1.61737544546756E-10</v>
      </c>
      <c r="B3167">
        <v>0.284563822844625</v>
      </c>
      <c r="C3167">
        <v>0.38500000000000001</v>
      </c>
      <c r="D3167">
        <v>0.16200000000000001</v>
      </c>
      <c r="E3167">
        <v>2.24782839411082E-6</v>
      </c>
      <c r="F3167">
        <v>5</v>
      </c>
      <c r="G3167" t="s">
        <v>3381</v>
      </c>
      <c r="H3167" t="s">
        <v>3382</v>
      </c>
      <c r="I3167" t="str">
        <f>HYPERLINK("https://zfin.org/ZDB-GENE-061009-11")</f>
        <v>https://zfin.org/ZDB-GENE-061009-11</v>
      </c>
      <c r="J3167" t="s">
        <v>3383</v>
      </c>
    </row>
    <row r="3168" spans="1:10" x14ac:dyDescent="0.2">
      <c r="A3168">
        <v>1.6914972573670899E-10</v>
      </c>
      <c r="B3168">
        <v>0.35785734426405902</v>
      </c>
      <c r="C3168">
        <v>0.77700000000000002</v>
      </c>
      <c r="D3168">
        <v>0.51100000000000001</v>
      </c>
      <c r="E3168">
        <v>2.3508428882887799E-6</v>
      </c>
      <c r="F3168">
        <v>5</v>
      </c>
      <c r="G3168" t="s">
        <v>4130</v>
      </c>
      <c r="H3168" t="s">
        <v>4131</v>
      </c>
      <c r="I3168" t="str">
        <f>HYPERLINK("https://zfin.org/ZDB-GENE-040426-1679")</f>
        <v>https://zfin.org/ZDB-GENE-040426-1679</v>
      </c>
      <c r="J3168" t="s">
        <v>4132</v>
      </c>
    </row>
    <row r="3169" spans="1:10" x14ac:dyDescent="0.2">
      <c r="A3169">
        <v>1.7039065662363301E-10</v>
      </c>
      <c r="B3169">
        <v>0.34848614018170598</v>
      </c>
      <c r="C3169">
        <v>0.54700000000000004</v>
      </c>
      <c r="D3169">
        <v>0.28199999999999997</v>
      </c>
      <c r="E3169">
        <v>2.3680893457552502E-6</v>
      </c>
      <c r="F3169">
        <v>5</v>
      </c>
      <c r="G3169" t="s">
        <v>4145</v>
      </c>
      <c r="H3169" t="s">
        <v>4146</v>
      </c>
      <c r="I3169" t="str">
        <f>HYPERLINK("https://zfin.org/ZDB-GENE-040718-329")</f>
        <v>https://zfin.org/ZDB-GENE-040718-329</v>
      </c>
      <c r="J3169" t="s">
        <v>4147</v>
      </c>
    </row>
    <row r="3170" spans="1:10" x14ac:dyDescent="0.2">
      <c r="A3170">
        <v>1.7715733651746201E-10</v>
      </c>
      <c r="B3170">
        <v>0.25234935329881197</v>
      </c>
      <c r="C3170">
        <v>0.33800000000000002</v>
      </c>
      <c r="D3170">
        <v>0.13300000000000001</v>
      </c>
      <c r="E3170">
        <v>2.46213266291969E-6</v>
      </c>
      <c r="F3170">
        <v>5</v>
      </c>
      <c r="G3170" t="s">
        <v>6245</v>
      </c>
      <c r="H3170" t="s">
        <v>6246</v>
      </c>
      <c r="I3170" t="str">
        <f>HYPERLINK("https://zfin.org/ZDB-GENE-030131-5435")</f>
        <v>https://zfin.org/ZDB-GENE-030131-5435</v>
      </c>
      <c r="J3170" t="s">
        <v>6247</v>
      </c>
    </row>
    <row r="3171" spans="1:10" x14ac:dyDescent="0.2">
      <c r="A3171">
        <v>1.7963321241854599E-10</v>
      </c>
      <c r="B3171">
        <v>0.30223609817986602</v>
      </c>
      <c r="C3171">
        <v>0.46600000000000003</v>
      </c>
      <c r="D3171">
        <v>0.215</v>
      </c>
      <c r="E3171">
        <v>2.4965423861929498E-6</v>
      </c>
      <c r="F3171">
        <v>5</v>
      </c>
      <c r="G3171" t="s">
        <v>6248</v>
      </c>
      <c r="H3171" t="s">
        <v>6249</v>
      </c>
      <c r="I3171" t="str">
        <f>HYPERLINK("https://zfin.org/ZDB-GENE-050522-167")</f>
        <v>https://zfin.org/ZDB-GENE-050522-167</v>
      </c>
      <c r="J3171" t="s">
        <v>6250</v>
      </c>
    </row>
    <row r="3172" spans="1:10" x14ac:dyDescent="0.2">
      <c r="A3172">
        <v>1.9428492396298501E-10</v>
      </c>
      <c r="B3172">
        <v>0.263556550569024</v>
      </c>
      <c r="C3172">
        <v>0.33800000000000002</v>
      </c>
      <c r="D3172">
        <v>0.13700000000000001</v>
      </c>
      <c r="E3172">
        <v>2.7001718732375601E-6</v>
      </c>
      <c r="F3172">
        <v>5</v>
      </c>
      <c r="G3172" t="s">
        <v>4722</v>
      </c>
      <c r="H3172" t="s">
        <v>4723</v>
      </c>
      <c r="I3172" t="str">
        <f>HYPERLINK("https://zfin.org/ZDB-GENE-041010-77")</f>
        <v>https://zfin.org/ZDB-GENE-041010-77</v>
      </c>
      <c r="J3172" t="s">
        <v>4724</v>
      </c>
    </row>
    <row r="3173" spans="1:10" x14ac:dyDescent="0.2">
      <c r="A3173">
        <v>1.96936682178223E-10</v>
      </c>
      <c r="B3173">
        <v>0.29190581975087898</v>
      </c>
      <c r="C3173">
        <v>0.27</v>
      </c>
      <c r="D3173">
        <v>9.9000000000000005E-2</v>
      </c>
      <c r="E3173">
        <v>2.7370260089129399E-6</v>
      </c>
      <c r="F3173">
        <v>5</v>
      </c>
      <c r="G3173" t="s">
        <v>5655</v>
      </c>
      <c r="H3173" t="s">
        <v>5656</v>
      </c>
      <c r="I3173" t="str">
        <f>HYPERLINK("https://zfin.org/ZDB-GENE-030131-5753")</f>
        <v>https://zfin.org/ZDB-GENE-030131-5753</v>
      </c>
      <c r="J3173" t="s">
        <v>5657</v>
      </c>
    </row>
    <row r="3174" spans="1:10" x14ac:dyDescent="0.2">
      <c r="A3174">
        <v>2.00658176491375E-10</v>
      </c>
      <c r="B3174">
        <v>-0.58927727922129203</v>
      </c>
      <c r="C3174">
        <v>0.74299999999999999</v>
      </c>
      <c r="D3174">
        <v>0.76600000000000001</v>
      </c>
      <c r="E3174">
        <v>2.78874733687713E-6</v>
      </c>
      <c r="F3174">
        <v>5</v>
      </c>
      <c r="G3174" t="s">
        <v>4482</v>
      </c>
      <c r="H3174" t="s">
        <v>4483</v>
      </c>
      <c r="I3174" t="str">
        <f>HYPERLINK("https://zfin.org/ZDB-GENE-030131-8247")</f>
        <v>https://zfin.org/ZDB-GENE-030131-8247</v>
      </c>
      <c r="J3174" t="s">
        <v>4484</v>
      </c>
    </row>
    <row r="3175" spans="1:10" x14ac:dyDescent="0.2">
      <c r="A3175">
        <v>2.0850218294846699E-10</v>
      </c>
      <c r="B3175">
        <v>0.30906386085531201</v>
      </c>
      <c r="C3175">
        <v>0.25</v>
      </c>
      <c r="D3175">
        <v>8.7999999999999995E-2</v>
      </c>
      <c r="E3175">
        <v>2.8977633386177901E-6</v>
      </c>
      <c r="F3175">
        <v>5</v>
      </c>
      <c r="G3175" t="s">
        <v>6251</v>
      </c>
      <c r="H3175" t="s">
        <v>6252</v>
      </c>
      <c r="I3175" t="str">
        <f>HYPERLINK("https://zfin.org/ZDB-GENE-090313-145")</f>
        <v>https://zfin.org/ZDB-GENE-090313-145</v>
      </c>
      <c r="J3175" t="s">
        <v>6253</v>
      </c>
    </row>
    <row r="3176" spans="1:10" x14ac:dyDescent="0.2">
      <c r="A3176">
        <v>2.2824197039694701E-10</v>
      </c>
      <c r="B3176">
        <v>0.34322417940642302</v>
      </c>
      <c r="C3176">
        <v>0.54700000000000004</v>
      </c>
      <c r="D3176">
        <v>0.26900000000000002</v>
      </c>
      <c r="E3176">
        <v>3.1721069045767699E-6</v>
      </c>
      <c r="F3176">
        <v>5</v>
      </c>
      <c r="G3176" t="s">
        <v>6254</v>
      </c>
      <c r="H3176" t="s">
        <v>6255</v>
      </c>
      <c r="I3176" t="str">
        <f>HYPERLINK("https://zfin.org/ZDB-GENE-030131-2172")</f>
        <v>https://zfin.org/ZDB-GENE-030131-2172</v>
      </c>
      <c r="J3176" t="s">
        <v>6256</v>
      </c>
    </row>
    <row r="3177" spans="1:10" x14ac:dyDescent="0.2">
      <c r="A3177">
        <v>2.2954641845535999E-10</v>
      </c>
      <c r="B3177">
        <v>0.314216193361262</v>
      </c>
      <c r="C3177">
        <v>0.19600000000000001</v>
      </c>
      <c r="D3177">
        <v>6.0999999999999999E-2</v>
      </c>
      <c r="E3177">
        <v>3.1902361236925899E-6</v>
      </c>
      <c r="F3177">
        <v>5</v>
      </c>
      <c r="G3177" t="s">
        <v>6257</v>
      </c>
      <c r="H3177" t="s">
        <v>6258</v>
      </c>
      <c r="I3177" t="str">
        <f>HYPERLINK("https://zfin.org/ZDB-GENE-040426-2501")</f>
        <v>https://zfin.org/ZDB-GENE-040426-2501</v>
      </c>
      <c r="J3177" t="s">
        <v>6259</v>
      </c>
    </row>
    <row r="3178" spans="1:10" x14ac:dyDescent="0.2">
      <c r="A3178">
        <v>2.3896522515433601E-10</v>
      </c>
      <c r="B3178">
        <v>0.29719765993817399</v>
      </c>
      <c r="C3178">
        <v>0.35799999999999998</v>
      </c>
      <c r="D3178">
        <v>0.14799999999999999</v>
      </c>
      <c r="E3178">
        <v>3.32113869919496E-6</v>
      </c>
      <c r="F3178">
        <v>5</v>
      </c>
      <c r="G3178" t="s">
        <v>4226</v>
      </c>
      <c r="H3178" t="s">
        <v>4227</v>
      </c>
      <c r="I3178" t="str">
        <f>HYPERLINK("https://zfin.org/ZDB-GENE-030131-7828")</f>
        <v>https://zfin.org/ZDB-GENE-030131-7828</v>
      </c>
      <c r="J3178" t="s">
        <v>4228</v>
      </c>
    </row>
    <row r="3179" spans="1:10" x14ac:dyDescent="0.2">
      <c r="A3179">
        <v>2.4435515623866998E-10</v>
      </c>
      <c r="B3179">
        <v>0.29336735261198599</v>
      </c>
      <c r="C3179">
        <v>0.23</v>
      </c>
      <c r="D3179">
        <v>7.6999999999999999E-2</v>
      </c>
      <c r="E3179">
        <v>3.39604796140503E-6</v>
      </c>
      <c r="F3179">
        <v>5</v>
      </c>
      <c r="G3179" t="s">
        <v>6260</v>
      </c>
      <c r="H3179" t="s">
        <v>6261</v>
      </c>
      <c r="I3179" t="str">
        <f>HYPERLINK("https://zfin.org/ZDB-GENE-131121-245")</f>
        <v>https://zfin.org/ZDB-GENE-131121-245</v>
      </c>
      <c r="J3179" t="s">
        <v>6262</v>
      </c>
    </row>
    <row r="3180" spans="1:10" x14ac:dyDescent="0.2">
      <c r="A3180">
        <v>2.5202190712298999E-10</v>
      </c>
      <c r="B3180">
        <v>0.2599539691803</v>
      </c>
      <c r="C3180">
        <v>0.216</v>
      </c>
      <c r="D3180">
        <v>7.0000000000000007E-2</v>
      </c>
      <c r="E3180">
        <v>3.5026004651953199E-6</v>
      </c>
      <c r="F3180">
        <v>5</v>
      </c>
      <c r="G3180" t="s">
        <v>6263</v>
      </c>
      <c r="H3180" t="s">
        <v>6264</v>
      </c>
      <c r="I3180" t="str">
        <f>HYPERLINK("https://zfin.org/ZDB-GENE-040426-1049")</f>
        <v>https://zfin.org/ZDB-GENE-040426-1049</v>
      </c>
      <c r="J3180" t="s">
        <v>6265</v>
      </c>
    </row>
    <row r="3181" spans="1:10" x14ac:dyDescent="0.2">
      <c r="A3181">
        <v>2.5483635342418202E-10</v>
      </c>
      <c r="B3181">
        <v>-0.80788538327151405</v>
      </c>
      <c r="C3181">
        <v>0.35799999999999998</v>
      </c>
      <c r="D3181">
        <v>0.53100000000000003</v>
      </c>
      <c r="E3181">
        <v>3.54171563988928E-6</v>
      </c>
      <c r="F3181">
        <v>5</v>
      </c>
      <c r="G3181" t="s">
        <v>2334</v>
      </c>
      <c r="H3181" t="s">
        <v>2335</v>
      </c>
      <c r="I3181" t="str">
        <f>HYPERLINK("https://zfin.org/ZDB-GENE-030131-6757")</f>
        <v>https://zfin.org/ZDB-GENE-030131-6757</v>
      </c>
      <c r="J3181" t="s">
        <v>2336</v>
      </c>
    </row>
    <row r="3182" spans="1:10" x14ac:dyDescent="0.2">
      <c r="A3182">
        <v>2.5582014709221701E-10</v>
      </c>
      <c r="B3182">
        <v>0.34520735102698202</v>
      </c>
      <c r="C3182">
        <v>0.82399999999999995</v>
      </c>
      <c r="D3182">
        <v>0.50600000000000001</v>
      </c>
      <c r="E3182">
        <v>3.5553884042876301E-6</v>
      </c>
      <c r="F3182">
        <v>5</v>
      </c>
      <c r="G3182" t="s">
        <v>3613</v>
      </c>
      <c r="H3182" t="s">
        <v>3614</v>
      </c>
      <c r="I3182" t="str">
        <f>HYPERLINK("https://zfin.org/ZDB-GENE-040426-2682")</f>
        <v>https://zfin.org/ZDB-GENE-040426-2682</v>
      </c>
      <c r="J3182" t="s">
        <v>3615</v>
      </c>
    </row>
    <row r="3183" spans="1:10" x14ac:dyDescent="0.2">
      <c r="A3183">
        <v>2.6425758140381602E-10</v>
      </c>
      <c r="B3183">
        <v>0.28396407368611598</v>
      </c>
      <c r="C3183">
        <v>0.23599999999999999</v>
      </c>
      <c r="D3183">
        <v>8.1000000000000003E-2</v>
      </c>
      <c r="E3183">
        <v>3.67265186635023E-6</v>
      </c>
      <c r="F3183">
        <v>5</v>
      </c>
      <c r="G3183" t="s">
        <v>5760</v>
      </c>
      <c r="H3183" t="s">
        <v>5761</v>
      </c>
      <c r="I3183" t="str">
        <f>HYPERLINK("https://zfin.org/ZDB-GENE-030131-2579")</f>
        <v>https://zfin.org/ZDB-GENE-030131-2579</v>
      </c>
      <c r="J3183" t="s">
        <v>5762</v>
      </c>
    </row>
    <row r="3184" spans="1:10" x14ac:dyDescent="0.2">
      <c r="A3184">
        <v>2.7023188066988602E-10</v>
      </c>
      <c r="B3184">
        <v>0.30389890282781301</v>
      </c>
      <c r="C3184">
        <v>0.25</v>
      </c>
      <c r="D3184">
        <v>8.7999999999999995E-2</v>
      </c>
      <c r="E3184">
        <v>3.75568267755007E-6</v>
      </c>
      <c r="F3184">
        <v>5</v>
      </c>
      <c r="G3184" t="s">
        <v>6266</v>
      </c>
      <c r="H3184" t="s">
        <v>6267</v>
      </c>
      <c r="I3184" t="str">
        <f>HYPERLINK("https://zfin.org/ZDB-GENE-041001-118")</f>
        <v>https://zfin.org/ZDB-GENE-041001-118</v>
      </c>
      <c r="J3184" t="s">
        <v>6268</v>
      </c>
    </row>
    <row r="3185" spans="1:10" x14ac:dyDescent="0.2">
      <c r="A3185">
        <v>2.7739051889987698E-10</v>
      </c>
      <c r="B3185">
        <v>0.54847909218761004</v>
      </c>
      <c r="C3185">
        <v>0.74299999999999999</v>
      </c>
      <c r="D3185">
        <v>0.51100000000000001</v>
      </c>
      <c r="E3185">
        <v>3.8551734316704899E-6</v>
      </c>
      <c r="F3185">
        <v>5</v>
      </c>
      <c r="G3185" t="s">
        <v>4479</v>
      </c>
      <c r="H3185" t="s">
        <v>4480</v>
      </c>
      <c r="I3185" t="str">
        <f>HYPERLINK("https://zfin.org/ZDB-GENE-030131-8480")</f>
        <v>https://zfin.org/ZDB-GENE-030131-8480</v>
      </c>
      <c r="J3185" t="s">
        <v>4481</v>
      </c>
    </row>
    <row r="3186" spans="1:10" x14ac:dyDescent="0.2">
      <c r="A3186">
        <v>2.9231958626905501E-10</v>
      </c>
      <c r="B3186">
        <v>0.38416652274867102</v>
      </c>
      <c r="C3186">
        <v>0.878</v>
      </c>
      <c r="D3186">
        <v>0.66200000000000003</v>
      </c>
      <c r="E3186">
        <v>4.06265760996732E-6</v>
      </c>
      <c r="F3186">
        <v>5</v>
      </c>
      <c r="G3186" t="s">
        <v>2081</v>
      </c>
      <c r="H3186" t="s">
        <v>2082</v>
      </c>
      <c r="I3186" t="str">
        <f>HYPERLINK("https://zfin.org/ZDB-GENE-030131-5177")</f>
        <v>https://zfin.org/ZDB-GENE-030131-5177</v>
      </c>
      <c r="J3186" t="s">
        <v>2083</v>
      </c>
    </row>
    <row r="3187" spans="1:10" x14ac:dyDescent="0.2">
      <c r="A3187">
        <v>3.1661441752534899E-10</v>
      </c>
      <c r="B3187">
        <v>0.31407881741878402</v>
      </c>
      <c r="C3187">
        <v>0.13500000000000001</v>
      </c>
      <c r="D3187">
        <v>3.3000000000000002E-2</v>
      </c>
      <c r="E3187">
        <v>4.4003071747673001E-6</v>
      </c>
      <c r="F3187">
        <v>5</v>
      </c>
      <c r="G3187" t="s">
        <v>3784</v>
      </c>
      <c r="H3187" t="s">
        <v>3785</v>
      </c>
      <c r="I3187" t="str">
        <f>HYPERLINK("https://zfin.org/ZDB-GENE-050522-456")</f>
        <v>https://zfin.org/ZDB-GENE-050522-456</v>
      </c>
      <c r="J3187" t="s">
        <v>3786</v>
      </c>
    </row>
    <row r="3188" spans="1:10" x14ac:dyDescent="0.2">
      <c r="A3188">
        <v>3.2943325057204701E-10</v>
      </c>
      <c r="B3188">
        <v>0.2796994810199</v>
      </c>
      <c r="C3188">
        <v>0.189</v>
      </c>
      <c r="D3188">
        <v>5.7000000000000002E-2</v>
      </c>
      <c r="E3188">
        <v>4.5784633164503003E-6</v>
      </c>
      <c r="F3188">
        <v>5</v>
      </c>
      <c r="G3188" t="s">
        <v>5673</v>
      </c>
      <c r="H3188" t="s">
        <v>5674</v>
      </c>
      <c r="I3188" t="str">
        <f>HYPERLINK("https://zfin.org/ZDB-GENE-020419-13")</f>
        <v>https://zfin.org/ZDB-GENE-020419-13</v>
      </c>
      <c r="J3188" t="s">
        <v>5675</v>
      </c>
    </row>
    <row r="3189" spans="1:10" x14ac:dyDescent="0.2">
      <c r="A3189">
        <v>3.4334445809028098E-10</v>
      </c>
      <c r="B3189">
        <v>0.33627213533788097</v>
      </c>
      <c r="C3189">
        <v>0.66200000000000003</v>
      </c>
      <c r="D3189">
        <v>0.37</v>
      </c>
      <c r="E3189">
        <v>4.7718012785387303E-6</v>
      </c>
      <c r="F3189">
        <v>5</v>
      </c>
      <c r="G3189" t="s">
        <v>4109</v>
      </c>
      <c r="H3189" t="s">
        <v>4110</v>
      </c>
      <c r="I3189" t="str">
        <f>HYPERLINK("https://zfin.org/ZDB-GENE-040426-897")</f>
        <v>https://zfin.org/ZDB-GENE-040426-897</v>
      </c>
      <c r="J3189" t="s">
        <v>4111</v>
      </c>
    </row>
    <row r="3190" spans="1:10" x14ac:dyDescent="0.2">
      <c r="A3190">
        <v>3.9710629252849799E-10</v>
      </c>
      <c r="B3190">
        <v>0.36122487076147503</v>
      </c>
      <c r="C3190">
        <v>0.58799999999999997</v>
      </c>
      <c r="D3190">
        <v>0.317</v>
      </c>
      <c r="E3190">
        <v>5.5189832535610604E-6</v>
      </c>
      <c r="F3190">
        <v>5</v>
      </c>
      <c r="G3190" t="s">
        <v>1423</v>
      </c>
      <c r="H3190" t="s">
        <v>1424</v>
      </c>
      <c r="I3190" t="str">
        <f>HYPERLINK("https://zfin.org/ZDB-GENE-050522-279")</f>
        <v>https://zfin.org/ZDB-GENE-050522-279</v>
      </c>
      <c r="J3190" t="s">
        <v>1425</v>
      </c>
    </row>
    <row r="3191" spans="1:10" x14ac:dyDescent="0.2">
      <c r="A3191">
        <v>4.3014657854858699E-10</v>
      </c>
      <c r="B3191">
        <v>0.27437169921930499</v>
      </c>
      <c r="C3191">
        <v>0.223</v>
      </c>
      <c r="D3191">
        <v>7.4999999999999997E-2</v>
      </c>
      <c r="E3191">
        <v>5.9781771486682602E-6</v>
      </c>
      <c r="F3191">
        <v>5</v>
      </c>
      <c r="G3191" t="s">
        <v>6269</v>
      </c>
      <c r="H3191" t="s">
        <v>6270</v>
      </c>
      <c r="I3191" t="str">
        <f>HYPERLINK("https://zfin.org/ZDB-GENE-030131-3955")</f>
        <v>https://zfin.org/ZDB-GENE-030131-3955</v>
      </c>
      <c r="J3191" t="s">
        <v>6271</v>
      </c>
    </row>
    <row r="3192" spans="1:10" x14ac:dyDescent="0.2">
      <c r="A3192">
        <v>4.3992936916775E-10</v>
      </c>
      <c r="B3192">
        <v>0.271530013155526</v>
      </c>
      <c r="C3192">
        <v>0.33100000000000002</v>
      </c>
      <c r="D3192">
        <v>0.13400000000000001</v>
      </c>
      <c r="E3192">
        <v>6.11413837269339E-6</v>
      </c>
      <c r="F3192">
        <v>5</v>
      </c>
      <c r="G3192" t="s">
        <v>6272</v>
      </c>
      <c r="H3192" t="s">
        <v>6273</v>
      </c>
      <c r="I3192" t="str">
        <f>HYPERLINK("https://zfin.org/ZDB-GENE-051030-30")</f>
        <v>https://zfin.org/ZDB-GENE-051030-30</v>
      </c>
      <c r="J3192" t="s">
        <v>6274</v>
      </c>
    </row>
    <row r="3193" spans="1:10" x14ac:dyDescent="0.2">
      <c r="A3193">
        <v>4.5750688019038302E-10</v>
      </c>
      <c r="B3193">
        <v>-0.84353033285916201</v>
      </c>
      <c r="C3193">
        <v>0.35099999999999998</v>
      </c>
      <c r="D3193">
        <v>0.53600000000000003</v>
      </c>
      <c r="E3193">
        <v>6.3584306208859402E-6</v>
      </c>
      <c r="F3193">
        <v>5</v>
      </c>
      <c r="G3193" t="s">
        <v>2388</v>
      </c>
      <c r="H3193" t="s">
        <v>2389</v>
      </c>
      <c r="I3193" t="str">
        <f>HYPERLINK("https://zfin.org/ZDB-GENE-031001-11")</f>
        <v>https://zfin.org/ZDB-GENE-031001-11</v>
      </c>
      <c r="J3193" t="s">
        <v>2390</v>
      </c>
    </row>
    <row r="3194" spans="1:10" x14ac:dyDescent="0.2">
      <c r="A3194">
        <v>4.6156585500620502E-10</v>
      </c>
      <c r="B3194">
        <v>-0.62558387958511297</v>
      </c>
      <c r="C3194">
        <v>0.54100000000000004</v>
      </c>
      <c r="D3194">
        <v>0.65800000000000003</v>
      </c>
      <c r="E3194">
        <v>6.4148422528762398E-6</v>
      </c>
      <c r="F3194">
        <v>5</v>
      </c>
      <c r="G3194" t="s">
        <v>1881</v>
      </c>
      <c r="H3194" t="s">
        <v>1882</v>
      </c>
      <c r="I3194" t="str">
        <f>HYPERLINK("https://zfin.org/ZDB-GENE-000511-4")</f>
        <v>https://zfin.org/ZDB-GENE-000511-4</v>
      </c>
      <c r="J3194" t="s">
        <v>1664</v>
      </c>
    </row>
    <row r="3195" spans="1:10" x14ac:dyDescent="0.2">
      <c r="A3195">
        <v>5.0162523048401802E-10</v>
      </c>
      <c r="B3195">
        <v>0.32579710099307002</v>
      </c>
      <c r="C3195">
        <v>0.91900000000000004</v>
      </c>
      <c r="D3195">
        <v>0.79100000000000004</v>
      </c>
      <c r="E3195">
        <v>6.9715874532668802E-6</v>
      </c>
      <c r="F3195">
        <v>5</v>
      </c>
      <c r="G3195" t="s">
        <v>2592</v>
      </c>
      <c r="H3195" t="s">
        <v>2593</v>
      </c>
      <c r="I3195" t="str">
        <f>HYPERLINK("https://zfin.org/ZDB-GENE-030131-8581")</f>
        <v>https://zfin.org/ZDB-GENE-030131-8581</v>
      </c>
      <c r="J3195" t="s">
        <v>2594</v>
      </c>
    </row>
    <row r="3196" spans="1:10" x14ac:dyDescent="0.2">
      <c r="A3196">
        <v>5.0417452888278799E-10</v>
      </c>
      <c r="B3196">
        <v>-0.69672487513411296</v>
      </c>
      <c r="C3196">
        <v>0.45300000000000001</v>
      </c>
      <c r="D3196">
        <v>0.61499999999999999</v>
      </c>
      <c r="E3196">
        <v>7.0070176024129803E-6</v>
      </c>
      <c r="F3196">
        <v>5</v>
      </c>
      <c r="G3196" t="s">
        <v>1895</v>
      </c>
      <c r="H3196" t="s">
        <v>1896</v>
      </c>
      <c r="I3196" t="str">
        <f>HYPERLINK("https://zfin.org/ZDB-GENE-030131-2391")</f>
        <v>https://zfin.org/ZDB-GENE-030131-2391</v>
      </c>
      <c r="J3196" t="s">
        <v>1897</v>
      </c>
    </row>
    <row r="3197" spans="1:10" x14ac:dyDescent="0.2">
      <c r="A3197">
        <v>5.1615111238828602E-10</v>
      </c>
      <c r="B3197">
        <v>0.26241254350022603</v>
      </c>
      <c r="C3197">
        <v>0.189</v>
      </c>
      <c r="D3197">
        <v>5.8000000000000003E-2</v>
      </c>
      <c r="E3197">
        <v>7.1734681599723898E-6</v>
      </c>
      <c r="F3197">
        <v>5</v>
      </c>
      <c r="G3197" t="s">
        <v>6275</v>
      </c>
      <c r="H3197" t="s">
        <v>6276</v>
      </c>
      <c r="I3197" t="str">
        <f>HYPERLINK("https://zfin.org/ZDB-GENE-040718-77")</f>
        <v>https://zfin.org/ZDB-GENE-040718-77</v>
      </c>
      <c r="J3197" t="s">
        <v>6277</v>
      </c>
    </row>
    <row r="3198" spans="1:10" x14ac:dyDescent="0.2">
      <c r="A3198">
        <v>5.5630594850292103E-10</v>
      </c>
      <c r="B3198">
        <v>-0.42683101663704998</v>
      </c>
      <c r="C3198">
        <v>1</v>
      </c>
      <c r="D3198">
        <v>1</v>
      </c>
      <c r="E3198">
        <v>7.7315400722935995E-6</v>
      </c>
      <c r="F3198">
        <v>5</v>
      </c>
      <c r="G3198" t="s">
        <v>945</v>
      </c>
      <c r="H3198" t="s">
        <v>946</v>
      </c>
      <c r="I3198" t="str">
        <f>HYPERLINK("https://zfin.org/ZDB-GENE-080225-18")</f>
        <v>https://zfin.org/ZDB-GENE-080225-18</v>
      </c>
      <c r="J3198" t="s">
        <v>947</v>
      </c>
    </row>
    <row r="3199" spans="1:10" x14ac:dyDescent="0.2">
      <c r="A3199">
        <v>5.5897065417733301E-10</v>
      </c>
      <c r="B3199">
        <v>0.289915359508786</v>
      </c>
      <c r="C3199">
        <v>0.311</v>
      </c>
      <c r="D3199">
        <v>0.125</v>
      </c>
      <c r="E3199">
        <v>7.7685741517565702E-6</v>
      </c>
      <c r="F3199">
        <v>5</v>
      </c>
      <c r="G3199" t="s">
        <v>4911</v>
      </c>
      <c r="H3199" t="s">
        <v>4912</v>
      </c>
      <c r="I3199" t="str">
        <f>HYPERLINK("https://zfin.org/ZDB-GENE-050522-117")</f>
        <v>https://zfin.org/ZDB-GENE-050522-117</v>
      </c>
      <c r="J3199" t="s">
        <v>4913</v>
      </c>
    </row>
    <row r="3200" spans="1:10" x14ac:dyDescent="0.2">
      <c r="A3200">
        <v>5.7345490713599401E-10</v>
      </c>
      <c r="B3200">
        <v>0.25892760640939499</v>
      </c>
      <c r="C3200">
        <v>0.23599999999999999</v>
      </c>
      <c r="D3200">
        <v>8.2000000000000003E-2</v>
      </c>
      <c r="E3200">
        <v>7.9698762993760507E-6</v>
      </c>
      <c r="F3200">
        <v>5</v>
      </c>
      <c r="G3200" t="s">
        <v>6278</v>
      </c>
      <c r="H3200" t="s">
        <v>6279</v>
      </c>
      <c r="I3200" t="str">
        <f>HYPERLINK("https://zfin.org/ZDB-GENE-990415-206")</f>
        <v>https://zfin.org/ZDB-GENE-990415-206</v>
      </c>
      <c r="J3200" t="s">
        <v>6280</v>
      </c>
    </row>
    <row r="3201" spans="1:10" x14ac:dyDescent="0.2">
      <c r="A3201">
        <v>6.6415519743173896E-10</v>
      </c>
      <c r="B3201">
        <v>0.26392249885448299</v>
      </c>
      <c r="C3201">
        <v>0.20300000000000001</v>
      </c>
      <c r="D3201">
        <v>6.6000000000000003E-2</v>
      </c>
      <c r="E3201">
        <v>9.2304289339063003E-6</v>
      </c>
      <c r="F3201">
        <v>5</v>
      </c>
      <c r="G3201" t="s">
        <v>6281</v>
      </c>
      <c r="H3201" t="s">
        <v>6282</v>
      </c>
      <c r="I3201" t="str">
        <f>HYPERLINK("https://zfin.org/ZDB-GENE-041010-180")</f>
        <v>https://zfin.org/ZDB-GENE-041010-180</v>
      </c>
      <c r="J3201" t="s">
        <v>6283</v>
      </c>
    </row>
    <row r="3202" spans="1:10" x14ac:dyDescent="0.2">
      <c r="A3202">
        <v>7.7138524631858305E-10</v>
      </c>
      <c r="B3202">
        <v>0.327517724077455</v>
      </c>
      <c r="C3202">
        <v>0.33800000000000002</v>
      </c>
      <c r="D3202">
        <v>0.14000000000000001</v>
      </c>
      <c r="E3202">
        <v>1.07207121533357E-5</v>
      </c>
      <c r="F3202">
        <v>5</v>
      </c>
      <c r="G3202" t="s">
        <v>4417</v>
      </c>
      <c r="H3202" t="s">
        <v>4418</v>
      </c>
      <c r="I3202" t="str">
        <f>HYPERLINK("https://zfin.org/ZDB-GENE-041024-8")</f>
        <v>https://zfin.org/ZDB-GENE-041024-8</v>
      </c>
      <c r="J3202" t="s">
        <v>4419</v>
      </c>
    </row>
    <row r="3203" spans="1:10" x14ac:dyDescent="0.2">
      <c r="A3203">
        <v>7.9019174187065803E-10</v>
      </c>
      <c r="B3203">
        <v>-0.51593734862051299</v>
      </c>
      <c r="C3203">
        <v>0.73599999999999999</v>
      </c>
      <c r="D3203">
        <v>0.79500000000000004</v>
      </c>
      <c r="E3203">
        <v>1.09820848285184E-5</v>
      </c>
      <c r="F3203">
        <v>5</v>
      </c>
      <c r="G3203" t="s">
        <v>1662</v>
      </c>
      <c r="H3203" t="s">
        <v>1663</v>
      </c>
      <c r="I3203" t="str">
        <f>HYPERLINK("https://zfin.org/ZDB-GENE-000511-4")</f>
        <v>https://zfin.org/ZDB-GENE-000511-4</v>
      </c>
      <c r="J3203" t="s">
        <v>1664</v>
      </c>
    </row>
    <row r="3204" spans="1:10" x14ac:dyDescent="0.2">
      <c r="A3204">
        <v>8.0355046358993001E-10</v>
      </c>
      <c r="B3204">
        <v>0.25074847959368202</v>
      </c>
      <c r="C3204">
        <v>0.108</v>
      </c>
      <c r="D3204">
        <v>2.3E-2</v>
      </c>
      <c r="E3204">
        <v>1.11677443429728E-5</v>
      </c>
      <c r="F3204">
        <v>5</v>
      </c>
      <c r="G3204" t="s">
        <v>6284</v>
      </c>
      <c r="H3204" t="s">
        <v>6285</v>
      </c>
      <c r="I3204" t="str">
        <f>HYPERLINK("https://zfin.org/ZDB-GENE-030131-7184")</f>
        <v>https://zfin.org/ZDB-GENE-030131-7184</v>
      </c>
      <c r="J3204" t="s">
        <v>6286</v>
      </c>
    </row>
    <row r="3205" spans="1:10" x14ac:dyDescent="0.2">
      <c r="A3205">
        <v>8.8623913757858998E-10</v>
      </c>
      <c r="B3205">
        <v>-0.49059732484660201</v>
      </c>
      <c r="C3205">
        <v>0.92600000000000005</v>
      </c>
      <c r="D3205">
        <v>0.92900000000000005</v>
      </c>
      <c r="E3205">
        <v>1.2316951534067201E-5</v>
      </c>
      <c r="F3205">
        <v>5</v>
      </c>
      <c r="G3205" t="s">
        <v>1305</v>
      </c>
      <c r="H3205" t="s">
        <v>1306</v>
      </c>
      <c r="I3205" t="str">
        <f>HYPERLINK("https://zfin.org/ZDB-GENE-030131-8304")</f>
        <v>https://zfin.org/ZDB-GENE-030131-8304</v>
      </c>
      <c r="J3205" t="s">
        <v>1307</v>
      </c>
    </row>
    <row r="3206" spans="1:10" x14ac:dyDescent="0.2">
      <c r="A3206">
        <v>9.4765003154546606E-10</v>
      </c>
      <c r="B3206">
        <v>-0.83027366185700802</v>
      </c>
      <c r="C3206">
        <v>0.35799999999999998</v>
      </c>
      <c r="D3206">
        <v>0.53700000000000003</v>
      </c>
      <c r="E3206">
        <v>1.31704401384189E-5</v>
      </c>
      <c r="F3206">
        <v>5</v>
      </c>
      <c r="G3206" t="s">
        <v>2090</v>
      </c>
      <c r="H3206" t="s">
        <v>2091</v>
      </c>
      <c r="I3206" t="str">
        <f>HYPERLINK("https://zfin.org/ZDB-GENE-141212-380")</f>
        <v>https://zfin.org/ZDB-GENE-141212-380</v>
      </c>
      <c r="J3206" t="s">
        <v>2092</v>
      </c>
    </row>
    <row r="3207" spans="1:10" x14ac:dyDescent="0.2">
      <c r="A3207">
        <v>1.0835495412522101E-9</v>
      </c>
      <c r="B3207">
        <v>0.29270193799677902</v>
      </c>
      <c r="C3207">
        <v>0.24299999999999999</v>
      </c>
      <c r="D3207">
        <v>8.7999999999999995E-2</v>
      </c>
      <c r="E3207">
        <v>1.50591715243232E-5</v>
      </c>
      <c r="F3207">
        <v>5</v>
      </c>
      <c r="G3207" t="s">
        <v>6287</v>
      </c>
      <c r="H3207" t="s">
        <v>6288</v>
      </c>
      <c r="I3207" t="str">
        <f>HYPERLINK("https://zfin.org/ZDB-GENE-051030-24")</f>
        <v>https://zfin.org/ZDB-GENE-051030-24</v>
      </c>
      <c r="J3207" t="s">
        <v>6289</v>
      </c>
    </row>
    <row r="3208" spans="1:10" x14ac:dyDescent="0.2">
      <c r="A3208">
        <v>1.1034206686466701E-9</v>
      </c>
      <c r="B3208">
        <v>0.289872137572046</v>
      </c>
      <c r="C3208">
        <v>0.318</v>
      </c>
      <c r="D3208">
        <v>0.13100000000000001</v>
      </c>
      <c r="E3208">
        <v>1.5335340452851401E-5</v>
      </c>
      <c r="F3208">
        <v>5</v>
      </c>
      <c r="G3208" t="s">
        <v>3237</v>
      </c>
      <c r="H3208" t="s">
        <v>3238</v>
      </c>
      <c r="I3208" t="str">
        <f>HYPERLINK("https://zfin.org/ZDB-GENE-020419-22")</f>
        <v>https://zfin.org/ZDB-GENE-020419-22</v>
      </c>
      <c r="J3208" t="s">
        <v>3239</v>
      </c>
    </row>
    <row r="3209" spans="1:10" x14ac:dyDescent="0.2">
      <c r="A3209">
        <v>1.1584415745250001E-9</v>
      </c>
      <c r="B3209">
        <v>0.37096625257773203</v>
      </c>
      <c r="C3209">
        <v>0.74299999999999999</v>
      </c>
      <c r="D3209">
        <v>0.47399999999999998</v>
      </c>
      <c r="E3209">
        <v>1.6100021002748499E-5</v>
      </c>
      <c r="F3209">
        <v>5</v>
      </c>
      <c r="G3209" t="s">
        <v>3661</v>
      </c>
      <c r="H3209" t="s">
        <v>3662</v>
      </c>
      <c r="I3209" t="str">
        <f>HYPERLINK("https://zfin.org/ZDB-GENE-020419-32")</f>
        <v>https://zfin.org/ZDB-GENE-020419-32</v>
      </c>
      <c r="J3209" t="s">
        <v>3663</v>
      </c>
    </row>
    <row r="3210" spans="1:10" x14ac:dyDescent="0.2">
      <c r="A3210">
        <v>1.2057011292673601E-9</v>
      </c>
      <c r="B3210">
        <v>0.35584408345551299</v>
      </c>
      <c r="C3210">
        <v>0.5</v>
      </c>
      <c r="D3210">
        <v>0.25800000000000001</v>
      </c>
      <c r="E3210">
        <v>1.6756834294557701E-5</v>
      </c>
      <c r="F3210">
        <v>5</v>
      </c>
      <c r="G3210" t="s">
        <v>5126</v>
      </c>
      <c r="H3210" t="s">
        <v>5127</v>
      </c>
      <c r="I3210" t="str">
        <f>HYPERLINK("https://zfin.org/ZDB-GENE-040718-270")</f>
        <v>https://zfin.org/ZDB-GENE-040718-270</v>
      </c>
      <c r="J3210" t="s">
        <v>5128</v>
      </c>
    </row>
    <row r="3211" spans="1:10" x14ac:dyDescent="0.2">
      <c r="A3211">
        <v>1.2229598981919499E-9</v>
      </c>
      <c r="B3211">
        <v>0.41911961735162401</v>
      </c>
      <c r="C3211">
        <v>0.45900000000000002</v>
      </c>
      <c r="D3211">
        <v>0.23799999999999999</v>
      </c>
      <c r="E3211">
        <v>1.6996696665071702E-5</v>
      </c>
      <c r="F3211">
        <v>5</v>
      </c>
      <c r="G3211" t="s">
        <v>6290</v>
      </c>
      <c r="H3211" t="s">
        <v>6291</v>
      </c>
      <c r="I3211" t="str">
        <f>HYPERLINK("https://zfin.org/ZDB-GENE-040426-960")</f>
        <v>https://zfin.org/ZDB-GENE-040426-960</v>
      </c>
      <c r="J3211" t="s">
        <v>6292</v>
      </c>
    </row>
    <row r="3212" spans="1:10" x14ac:dyDescent="0.2">
      <c r="A3212">
        <v>1.3662706346857801E-9</v>
      </c>
      <c r="B3212">
        <v>0.253171949871903</v>
      </c>
      <c r="C3212">
        <v>0.108</v>
      </c>
      <c r="D3212">
        <v>2.4E-2</v>
      </c>
      <c r="E3212">
        <v>1.8988429280862998E-5</v>
      </c>
      <c r="F3212">
        <v>5</v>
      </c>
      <c r="G3212" t="s">
        <v>5578</v>
      </c>
      <c r="H3212" t="s">
        <v>5579</v>
      </c>
      <c r="I3212" t="str">
        <f>HYPERLINK("https://zfin.org/ZDB-GENE-990714-15")</f>
        <v>https://zfin.org/ZDB-GENE-990714-15</v>
      </c>
      <c r="J3212" t="s">
        <v>5580</v>
      </c>
    </row>
    <row r="3213" spans="1:10" x14ac:dyDescent="0.2">
      <c r="A3213">
        <v>1.42833912399362E-9</v>
      </c>
      <c r="B3213">
        <v>0.290953401307876</v>
      </c>
      <c r="C3213">
        <v>0.27</v>
      </c>
      <c r="D3213">
        <v>0.10299999999999999</v>
      </c>
      <c r="E3213">
        <v>1.9851057145263399E-5</v>
      </c>
      <c r="F3213">
        <v>5</v>
      </c>
      <c r="G3213" t="s">
        <v>6293</v>
      </c>
      <c r="H3213" t="s">
        <v>6294</v>
      </c>
      <c r="I3213" t="str">
        <f>HYPERLINK("https://zfin.org/ZDB-GENE-060929-604")</f>
        <v>https://zfin.org/ZDB-GENE-060929-604</v>
      </c>
      <c r="J3213" t="s">
        <v>6295</v>
      </c>
    </row>
    <row r="3214" spans="1:10" x14ac:dyDescent="0.2">
      <c r="A3214">
        <v>1.43119375299733E-9</v>
      </c>
      <c r="B3214">
        <v>0.28652049640048899</v>
      </c>
      <c r="C3214">
        <v>0.17599999999999999</v>
      </c>
      <c r="D3214">
        <v>5.3999999999999999E-2</v>
      </c>
      <c r="E3214">
        <v>1.98907307791568E-5</v>
      </c>
      <c r="F3214">
        <v>5</v>
      </c>
      <c r="G3214" t="s">
        <v>4794</v>
      </c>
      <c r="H3214" t="s">
        <v>4795</v>
      </c>
      <c r="I3214" t="str">
        <f>HYPERLINK("https://zfin.org/ZDB-GENE-040704-42")</f>
        <v>https://zfin.org/ZDB-GENE-040704-42</v>
      </c>
      <c r="J3214" t="s">
        <v>4796</v>
      </c>
    </row>
    <row r="3215" spans="1:10" x14ac:dyDescent="0.2">
      <c r="A3215">
        <v>1.5594644041234601E-9</v>
      </c>
      <c r="B3215">
        <v>-0.73354014837557002</v>
      </c>
      <c r="C3215">
        <v>0.45300000000000001</v>
      </c>
      <c r="D3215">
        <v>0.59399999999999997</v>
      </c>
      <c r="E3215">
        <v>2.1673436288507801E-5</v>
      </c>
      <c r="F3215">
        <v>5</v>
      </c>
      <c r="G3215" t="s">
        <v>2253</v>
      </c>
      <c r="H3215" t="s">
        <v>2254</v>
      </c>
      <c r="I3215" t="str">
        <f>HYPERLINK("https://zfin.org/ZDB-GENE-030131-9914")</f>
        <v>https://zfin.org/ZDB-GENE-030131-9914</v>
      </c>
      <c r="J3215" t="s">
        <v>2255</v>
      </c>
    </row>
    <row r="3216" spans="1:10" x14ac:dyDescent="0.2">
      <c r="A3216">
        <v>1.62516905536469E-9</v>
      </c>
      <c r="B3216">
        <v>0.29600219277002698</v>
      </c>
      <c r="C3216">
        <v>0.45900000000000002</v>
      </c>
      <c r="D3216">
        <v>0.22</v>
      </c>
      <c r="E3216">
        <v>2.2586599531458499E-5</v>
      </c>
      <c r="F3216">
        <v>5</v>
      </c>
      <c r="G3216" t="s">
        <v>4551</v>
      </c>
      <c r="H3216" t="s">
        <v>4552</v>
      </c>
      <c r="I3216" t="str">
        <f>HYPERLINK("https://zfin.org/ZDB-GENE-040426-876")</f>
        <v>https://zfin.org/ZDB-GENE-040426-876</v>
      </c>
      <c r="J3216" t="s">
        <v>4553</v>
      </c>
    </row>
    <row r="3217" spans="1:10" x14ac:dyDescent="0.2">
      <c r="A3217">
        <v>1.68082730165677E-9</v>
      </c>
      <c r="B3217">
        <v>0.29908409999742902</v>
      </c>
      <c r="C3217">
        <v>0.20899999999999999</v>
      </c>
      <c r="D3217">
        <v>7.0999999999999994E-2</v>
      </c>
      <c r="E3217">
        <v>2.33601378384258E-5</v>
      </c>
      <c r="F3217">
        <v>5</v>
      </c>
      <c r="G3217" t="s">
        <v>4414</v>
      </c>
      <c r="H3217" t="s">
        <v>4415</v>
      </c>
      <c r="I3217" t="str">
        <f>HYPERLINK("https://zfin.org/ZDB-GENE-040801-226")</f>
        <v>https://zfin.org/ZDB-GENE-040801-226</v>
      </c>
      <c r="J3217" t="s">
        <v>4416</v>
      </c>
    </row>
    <row r="3218" spans="1:10" x14ac:dyDescent="0.2">
      <c r="A3218">
        <v>1.7021874424184601E-9</v>
      </c>
      <c r="B3218">
        <v>0.25267180353077001</v>
      </c>
      <c r="C3218">
        <v>0.26400000000000001</v>
      </c>
      <c r="D3218">
        <v>0.1</v>
      </c>
      <c r="E3218">
        <v>2.3657001074731799E-5</v>
      </c>
      <c r="F3218">
        <v>5</v>
      </c>
      <c r="G3218" t="s">
        <v>6296</v>
      </c>
      <c r="H3218" t="s">
        <v>6297</v>
      </c>
      <c r="I3218" t="str">
        <f>HYPERLINK("https://zfin.org/ZDB-GENE-050522-388")</f>
        <v>https://zfin.org/ZDB-GENE-050522-388</v>
      </c>
      <c r="J3218" t="s">
        <v>6298</v>
      </c>
    </row>
    <row r="3219" spans="1:10" x14ac:dyDescent="0.2">
      <c r="A3219">
        <v>1.76627961617873E-9</v>
      </c>
      <c r="B3219">
        <v>0.34448507578375098</v>
      </c>
      <c r="C3219">
        <v>0.56799999999999995</v>
      </c>
      <c r="D3219">
        <v>0.312</v>
      </c>
      <c r="E3219">
        <v>2.45477541056519E-5</v>
      </c>
      <c r="F3219">
        <v>5</v>
      </c>
      <c r="G3219" t="s">
        <v>3622</v>
      </c>
      <c r="H3219" t="s">
        <v>3623</v>
      </c>
      <c r="I3219" t="str">
        <f>HYPERLINK("https://zfin.org/ZDB-GENE-030131-5541")</f>
        <v>https://zfin.org/ZDB-GENE-030131-5541</v>
      </c>
      <c r="J3219" t="s">
        <v>3624</v>
      </c>
    </row>
    <row r="3220" spans="1:10" x14ac:dyDescent="0.2">
      <c r="A3220">
        <v>1.9291208653041701E-9</v>
      </c>
      <c r="B3220">
        <v>0.31791568218539801</v>
      </c>
      <c r="C3220">
        <v>0.108</v>
      </c>
      <c r="D3220">
        <v>2.4E-2</v>
      </c>
      <c r="E3220">
        <v>2.6810921785997402E-5</v>
      </c>
      <c r="F3220">
        <v>5</v>
      </c>
      <c r="G3220" t="s">
        <v>5341</v>
      </c>
      <c r="H3220" t="s">
        <v>5342</v>
      </c>
      <c r="I3220" t="str">
        <f>HYPERLINK("https://zfin.org/ZDB-GENE-131119-25")</f>
        <v>https://zfin.org/ZDB-GENE-131119-25</v>
      </c>
      <c r="J3220" t="s">
        <v>5343</v>
      </c>
    </row>
    <row r="3221" spans="1:10" x14ac:dyDescent="0.2">
      <c r="A3221">
        <v>2.0210869963358198E-9</v>
      </c>
      <c r="B3221">
        <v>0.29964052378498002</v>
      </c>
      <c r="C3221">
        <v>0.30399999999999999</v>
      </c>
      <c r="D3221">
        <v>0.125</v>
      </c>
      <c r="E3221">
        <v>2.8089067075075202E-5</v>
      </c>
      <c r="F3221">
        <v>5</v>
      </c>
      <c r="G3221" t="s">
        <v>6299</v>
      </c>
      <c r="H3221" t="s">
        <v>6300</v>
      </c>
      <c r="I3221" t="str">
        <f>HYPERLINK("https://zfin.org/ZDB-GENE-030131-9751")</f>
        <v>https://zfin.org/ZDB-GENE-030131-9751</v>
      </c>
      <c r="J3221" t="s">
        <v>6301</v>
      </c>
    </row>
    <row r="3222" spans="1:10" x14ac:dyDescent="0.2">
      <c r="A3222">
        <v>2.0279618521064401E-9</v>
      </c>
      <c r="B3222">
        <v>-0.68050116348988898</v>
      </c>
      <c r="C3222">
        <v>0.94599999999999995</v>
      </c>
      <c r="D3222">
        <v>0.94199999999999995</v>
      </c>
      <c r="E3222">
        <v>2.8184613820575301E-5</v>
      </c>
      <c r="F3222">
        <v>5</v>
      </c>
      <c r="G3222" t="s">
        <v>1221</v>
      </c>
      <c r="H3222" t="s">
        <v>1222</v>
      </c>
      <c r="I3222" t="str">
        <f>HYPERLINK("https://zfin.org/ZDB-GENE-040426-1508")</f>
        <v>https://zfin.org/ZDB-GENE-040426-1508</v>
      </c>
      <c r="J3222" t="s">
        <v>1223</v>
      </c>
    </row>
    <row r="3223" spans="1:10" x14ac:dyDescent="0.2">
      <c r="A3223">
        <v>2.1558547896490002E-9</v>
      </c>
      <c r="B3223">
        <v>-0.42221759071373899</v>
      </c>
      <c r="C3223">
        <v>0.83799999999999997</v>
      </c>
      <c r="D3223">
        <v>0.872</v>
      </c>
      <c r="E3223">
        <v>2.9962069866541801E-5</v>
      </c>
      <c r="F3223">
        <v>5</v>
      </c>
      <c r="G3223" t="s">
        <v>1149</v>
      </c>
      <c r="H3223" t="s">
        <v>1150</v>
      </c>
      <c r="I3223" t="str">
        <f>HYPERLINK("https://zfin.org/ZDB-GENE-040426-2768")</f>
        <v>https://zfin.org/ZDB-GENE-040426-2768</v>
      </c>
      <c r="J3223" t="s">
        <v>1151</v>
      </c>
    </row>
    <row r="3224" spans="1:10" x14ac:dyDescent="0.2">
      <c r="A3224">
        <v>2.1586113206376801E-9</v>
      </c>
      <c r="B3224">
        <v>0.33333891210342698</v>
      </c>
      <c r="C3224">
        <v>0.318</v>
      </c>
      <c r="D3224">
        <v>0.13500000000000001</v>
      </c>
      <c r="E3224">
        <v>3.0000380134222501E-5</v>
      </c>
      <c r="F3224">
        <v>5</v>
      </c>
      <c r="G3224" t="s">
        <v>1824</v>
      </c>
      <c r="H3224" t="s">
        <v>1825</v>
      </c>
      <c r="I3224" t="str">
        <f>HYPERLINK("https://zfin.org/ZDB-GENE-040718-294")</f>
        <v>https://zfin.org/ZDB-GENE-040718-294</v>
      </c>
      <c r="J3224" t="s">
        <v>1826</v>
      </c>
    </row>
    <row r="3225" spans="1:10" x14ac:dyDescent="0.2">
      <c r="A3225">
        <v>2.1647231627328099E-9</v>
      </c>
      <c r="B3225">
        <v>0.34383671463628601</v>
      </c>
      <c r="C3225">
        <v>0.70299999999999996</v>
      </c>
      <c r="D3225">
        <v>0.40699999999999997</v>
      </c>
      <c r="E3225">
        <v>3.0085322515660599E-5</v>
      </c>
      <c r="F3225">
        <v>5</v>
      </c>
      <c r="G3225" t="s">
        <v>4369</v>
      </c>
      <c r="H3225" t="s">
        <v>4370</v>
      </c>
      <c r="I3225" t="str">
        <f>HYPERLINK("https://zfin.org/ZDB-GENE-070629-3")</f>
        <v>https://zfin.org/ZDB-GENE-070629-3</v>
      </c>
      <c r="J3225" t="s">
        <v>4371</v>
      </c>
    </row>
    <row r="3226" spans="1:10" x14ac:dyDescent="0.2">
      <c r="A3226">
        <v>2.32447024983229E-9</v>
      </c>
      <c r="B3226">
        <v>0.25099585181429501</v>
      </c>
      <c r="C3226">
        <v>0.19600000000000001</v>
      </c>
      <c r="D3226">
        <v>6.4000000000000001E-2</v>
      </c>
      <c r="E3226">
        <v>3.2305487532169098E-5</v>
      </c>
      <c r="F3226">
        <v>5</v>
      </c>
      <c r="G3226" t="s">
        <v>6302</v>
      </c>
      <c r="H3226" t="s">
        <v>6303</v>
      </c>
      <c r="I3226" t="str">
        <f>HYPERLINK("https://zfin.org/ZDB-GENE-030131-6349")</f>
        <v>https://zfin.org/ZDB-GENE-030131-6349</v>
      </c>
      <c r="J3226" t="s">
        <v>6304</v>
      </c>
    </row>
    <row r="3227" spans="1:10" x14ac:dyDescent="0.2">
      <c r="A3227">
        <v>2.6551345916461598E-9</v>
      </c>
      <c r="B3227">
        <v>0.294815930662574</v>
      </c>
      <c r="C3227">
        <v>0.20899999999999999</v>
      </c>
      <c r="D3227">
        <v>7.2999999999999995E-2</v>
      </c>
      <c r="E3227">
        <v>3.6901060554698298E-5</v>
      </c>
      <c r="F3227">
        <v>5</v>
      </c>
      <c r="G3227" t="s">
        <v>5495</v>
      </c>
      <c r="H3227" t="s">
        <v>5496</v>
      </c>
      <c r="I3227" t="str">
        <f>HYPERLINK("https://zfin.org/")</f>
        <v>https://zfin.org/</v>
      </c>
    </row>
    <row r="3228" spans="1:10" x14ac:dyDescent="0.2">
      <c r="A3228">
        <v>2.7412739598990999E-9</v>
      </c>
      <c r="B3228">
        <v>0.31035784725261301</v>
      </c>
      <c r="C3228">
        <v>0.42599999999999999</v>
      </c>
      <c r="D3228">
        <v>0.20399999999999999</v>
      </c>
      <c r="E3228">
        <v>3.8098225494677699E-5</v>
      </c>
      <c r="F3228">
        <v>5</v>
      </c>
      <c r="G3228" t="s">
        <v>5015</v>
      </c>
      <c r="H3228" t="s">
        <v>5016</v>
      </c>
      <c r="I3228" t="str">
        <f>HYPERLINK("https://zfin.org/ZDB-GENE-020419-31")</f>
        <v>https://zfin.org/ZDB-GENE-020419-31</v>
      </c>
      <c r="J3228" t="s">
        <v>5017</v>
      </c>
    </row>
    <row r="3229" spans="1:10" x14ac:dyDescent="0.2">
      <c r="A3229">
        <v>2.7863538775128601E-9</v>
      </c>
      <c r="B3229">
        <v>0.36130307435669801</v>
      </c>
      <c r="C3229">
        <v>0.27</v>
      </c>
      <c r="D3229">
        <v>0.109</v>
      </c>
      <c r="E3229">
        <v>3.8724746189673701E-5</v>
      </c>
      <c r="F3229">
        <v>5</v>
      </c>
      <c r="G3229" t="s">
        <v>5377</v>
      </c>
      <c r="H3229" t="s">
        <v>5378</v>
      </c>
      <c r="I3229" t="str">
        <f>HYPERLINK("https://zfin.org/ZDB-GENE-041010-210")</f>
        <v>https://zfin.org/ZDB-GENE-041010-210</v>
      </c>
      <c r="J3229" t="s">
        <v>5379</v>
      </c>
    </row>
    <row r="3230" spans="1:10" x14ac:dyDescent="0.2">
      <c r="A3230">
        <v>3.5618063407257E-9</v>
      </c>
      <c r="B3230">
        <v>0.27259121819403898</v>
      </c>
      <c r="C3230">
        <v>0.39900000000000002</v>
      </c>
      <c r="D3230">
        <v>0.18</v>
      </c>
      <c r="E3230">
        <v>4.95019845234058E-5</v>
      </c>
      <c r="F3230">
        <v>5</v>
      </c>
      <c r="G3230" t="s">
        <v>6305</v>
      </c>
      <c r="H3230" t="s">
        <v>6306</v>
      </c>
      <c r="I3230" t="str">
        <f>HYPERLINK("https://zfin.org/ZDB-GENE-030826-26")</f>
        <v>https://zfin.org/ZDB-GENE-030826-26</v>
      </c>
      <c r="J3230" t="s">
        <v>6307</v>
      </c>
    </row>
    <row r="3231" spans="1:10" x14ac:dyDescent="0.2">
      <c r="A3231">
        <v>3.7057460461048201E-9</v>
      </c>
      <c r="B3231">
        <v>0.25601150833949199</v>
      </c>
      <c r="C3231">
        <v>0.23599999999999999</v>
      </c>
      <c r="D3231">
        <v>8.5999999999999993E-2</v>
      </c>
      <c r="E3231">
        <v>5.1502458548764798E-5</v>
      </c>
      <c r="F3231">
        <v>5</v>
      </c>
      <c r="G3231" t="s">
        <v>6308</v>
      </c>
      <c r="H3231" t="s">
        <v>6309</v>
      </c>
      <c r="I3231" t="str">
        <f>HYPERLINK("https://zfin.org/ZDB-GENE-031001-8")</f>
        <v>https://zfin.org/ZDB-GENE-031001-8</v>
      </c>
      <c r="J3231" t="s">
        <v>6310</v>
      </c>
    </row>
    <row r="3232" spans="1:10" x14ac:dyDescent="0.2">
      <c r="A3232">
        <v>3.7916423951999299E-9</v>
      </c>
      <c r="B3232">
        <v>0.35520394882221001</v>
      </c>
      <c r="C3232">
        <v>0.63500000000000001</v>
      </c>
      <c r="D3232">
        <v>0.38900000000000001</v>
      </c>
      <c r="E3232">
        <v>5.2696246008488603E-5</v>
      </c>
      <c r="F3232">
        <v>5</v>
      </c>
      <c r="G3232" t="s">
        <v>6311</v>
      </c>
      <c r="H3232" t="s">
        <v>6312</v>
      </c>
      <c r="I3232" t="str">
        <f>HYPERLINK("https://zfin.org/ZDB-GENE-030131-2748")</f>
        <v>https://zfin.org/ZDB-GENE-030131-2748</v>
      </c>
      <c r="J3232" t="s">
        <v>6313</v>
      </c>
    </row>
    <row r="3233" spans="1:10" x14ac:dyDescent="0.2">
      <c r="A3233">
        <v>3.8092895670583196E-9</v>
      </c>
      <c r="B3233">
        <v>0.280086294103012</v>
      </c>
      <c r="C3233">
        <v>0.432</v>
      </c>
      <c r="D3233">
        <v>0.20499999999999999</v>
      </c>
      <c r="E3233">
        <v>5.2941506402976498E-5</v>
      </c>
      <c r="F3233">
        <v>5</v>
      </c>
      <c r="G3233" t="s">
        <v>4860</v>
      </c>
      <c r="H3233" t="s">
        <v>4861</v>
      </c>
      <c r="I3233" t="str">
        <f>HYPERLINK("https://zfin.org/ZDB-GENE-030131-1158")</f>
        <v>https://zfin.org/ZDB-GENE-030131-1158</v>
      </c>
      <c r="J3233" t="s">
        <v>4862</v>
      </c>
    </row>
    <row r="3234" spans="1:10" x14ac:dyDescent="0.2">
      <c r="A3234">
        <v>5.2966536403735804E-9</v>
      </c>
      <c r="B3234">
        <v>0.33121708168778802</v>
      </c>
      <c r="C3234">
        <v>0.70899999999999996</v>
      </c>
      <c r="D3234">
        <v>0.433</v>
      </c>
      <c r="E3234">
        <v>7.3612892293912097E-5</v>
      </c>
      <c r="F3234">
        <v>5</v>
      </c>
      <c r="G3234" t="s">
        <v>2478</v>
      </c>
      <c r="H3234" t="s">
        <v>2479</v>
      </c>
      <c r="I3234" t="str">
        <f>HYPERLINK("https://zfin.org/ZDB-GENE-040426-1932")</f>
        <v>https://zfin.org/ZDB-GENE-040426-1932</v>
      </c>
      <c r="J3234" t="s">
        <v>2480</v>
      </c>
    </row>
    <row r="3235" spans="1:10" x14ac:dyDescent="0.2">
      <c r="A3235">
        <v>5.2981654033037903E-9</v>
      </c>
      <c r="B3235">
        <v>0.26858922471423202</v>
      </c>
      <c r="C3235">
        <v>0.54700000000000004</v>
      </c>
      <c r="D3235">
        <v>0.28000000000000003</v>
      </c>
      <c r="E3235">
        <v>7.3633902775116101E-5</v>
      </c>
      <c r="F3235">
        <v>5</v>
      </c>
      <c r="G3235" t="s">
        <v>4423</v>
      </c>
      <c r="H3235" t="s">
        <v>4424</v>
      </c>
      <c r="I3235" t="str">
        <f>HYPERLINK("https://zfin.org/")</f>
        <v>https://zfin.org/</v>
      </c>
    </row>
    <row r="3236" spans="1:10" x14ac:dyDescent="0.2">
      <c r="A3236">
        <v>5.2998398358731098E-9</v>
      </c>
      <c r="B3236">
        <v>0.25467325572953597</v>
      </c>
      <c r="C3236">
        <v>0.20899999999999999</v>
      </c>
      <c r="D3236">
        <v>7.3999999999999996E-2</v>
      </c>
      <c r="E3236">
        <v>7.3657174038964395E-5</v>
      </c>
      <c r="F3236">
        <v>5</v>
      </c>
      <c r="G3236" t="s">
        <v>6314</v>
      </c>
      <c r="H3236" t="s">
        <v>6315</v>
      </c>
      <c r="I3236" t="str">
        <f>HYPERLINK("https://zfin.org/ZDB-GENE-050417-287")</f>
        <v>https://zfin.org/ZDB-GENE-050417-287</v>
      </c>
      <c r="J3236" t="s">
        <v>6316</v>
      </c>
    </row>
    <row r="3237" spans="1:10" x14ac:dyDescent="0.2">
      <c r="A3237">
        <v>5.4891910327057702E-9</v>
      </c>
      <c r="B3237">
        <v>0.315414568958654</v>
      </c>
      <c r="C3237">
        <v>0.122</v>
      </c>
      <c r="D3237">
        <v>3.1E-2</v>
      </c>
      <c r="E3237">
        <v>7.6288776972544705E-5</v>
      </c>
      <c r="F3237">
        <v>5</v>
      </c>
      <c r="G3237" t="s">
        <v>5183</v>
      </c>
      <c r="H3237" t="s">
        <v>5184</v>
      </c>
      <c r="I3237" t="str">
        <f>HYPERLINK("https://zfin.org/ZDB-GENE-030131-2453")</f>
        <v>https://zfin.org/ZDB-GENE-030131-2453</v>
      </c>
      <c r="J3237" t="s">
        <v>5185</v>
      </c>
    </row>
    <row r="3238" spans="1:10" x14ac:dyDescent="0.2">
      <c r="A3238">
        <v>6.0621171595203998E-9</v>
      </c>
      <c r="B3238">
        <v>-0.481938005425671</v>
      </c>
      <c r="C3238">
        <v>0.94599999999999995</v>
      </c>
      <c r="D3238">
        <v>0.91800000000000004</v>
      </c>
      <c r="E3238">
        <v>8.4251304283014506E-5</v>
      </c>
      <c r="F3238">
        <v>5</v>
      </c>
      <c r="G3238" t="s">
        <v>1167</v>
      </c>
      <c r="H3238" t="s">
        <v>1168</v>
      </c>
      <c r="I3238" t="str">
        <f>HYPERLINK("https://zfin.org/ZDB-GENE-061201-9")</f>
        <v>https://zfin.org/ZDB-GENE-061201-9</v>
      </c>
      <c r="J3238" t="s">
        <v>1169</v>
      </c>
    </row>
    <row r="3239" spans="1:10" x14ac:dyDescent="0.2">
      <c r="A3239">
        <v>6.07907370333052E-9</v>
      </c>
      <c r="B3239">
        <v>0.27395678151876401</v>
      </c>
      <c r="C3239">
        <v>0.28399999999999997</v>
      </c>
      <c r="D3239">
        <v>0.115</v>
      </c>
      <c r="E3239">
        <v>8.4486966328887504E-5</v>
      </c>
      <c r="F3239">
        <v>5</v>
      </c>
      <c r="G3239" t="s">
        <v>3393</v>
      </c>
      <c r="H3239" t="s">
        <v>3394</v>
      </c>
      <c r="I3239" t="str">
        <f>HYPERLINK("https://zfin.org/ZDB-GENE-070705-218")</f>
        <v>https://zfin.org/ZDB-GENE-070705-218</v>
      </c>
      <c r="J3239" t="s">
        <v>3395</v>
      </c>
    </row>
    <row r="3240" spans="1:10" x14ac:dyDescent="0.2">
      <c r="A3240">
        <v>6.1563002583799E-9</v>
      </c>
      <c r="B3240">
        <v>0.26648925363792803</v>
      </c>
      <c r="C3240">
        <v>0.35799999999999998</v>
      </c>
      <c r="D3240">
        <v>0.157</v>
      </c>
      <c r="E3240">
        <v>8.5560260990963895E-5</v>
      </c>
      <c r="F3240">
        <v>5</v>
      </c>
      <c r="G3240" t="s">
        <v>6317</v>
      </c>
      <c r="H3240" t="s">
        <v>6318</v>
      </c>
      <c r="I3240" t="str">
        <f>HYPERLINK("https://zfin.org/ZDB-GENE-031114-2")</f>
        <v>https://zfin.org/ZDB-GENE-031114-2</v>
      </c>
      <c r="J3240" t="s">
        <v>4064</v>
      </c>
    </row>
    <row r="3241" spans="1:10" x14ac:dyDescent="0.2">
      <c r="A3241">
        <v>6.4272163571887096E-9</v>
      </c>
      <c r="B3241">
        <v>0.29862812554169899</v>
      </c>
      <c r="C3241">
        <v>0.45300000000000001</v>
      </c>
      <c r="D3241">
        <v>0.224</v>
      </c>
      <c r="E3241">
        <v>8.9325452932208804E-5</v>
      </c>
      <c r="F3241">
        <v>5</v>
      </c>
      <c r="G3241" t="s">
        <v>3724</v>
      </c>
      <c r="H3241" t="s">
        <v>3725</v>
      </c>
      <c r="I3241" t="str">
        <f>HYPERLINK("https://zfin.org/ZDB-GENE-041010-25")</f>
        <v>https://zfin.org/ZDB-GENE-041010-25</v>
      </c>
      <c r="J3241" t="s">
        <v>3726</v>
      </c>
    </row>
    <row r="3242" spans="1:10" x14ac:dyDescent="0.2">
      <c r="A3242">
        <v>6.5037133803327398E-9</v>
      </c>
      <c r="B3242">
        <v>0.31018824072585599</v>
      </c>
      <c r="C3242">
        <v>0.39900000000000002</v>
      </c>
      <c r="D3242">
        <v>0.188</v>
      </c>
      <c r="E3242">
        <v>9.0388608559864505E-5</v>
      </c>
      <c r="F3242">
        <v>5</v>
      </c>
      <c r="G3242" t="s">
        <v>4274</v>
      </c>
      <c r="H3242" t="s">
        <v>4275</v>
      </c>
      <c r="I3242" t="str">
        <f>HYPERLINK("https://zfin.org/ZDB-GENE-041114-82")</f>
        <v>https://zfin.org/ZDB-GENE-041114-82</v>
      </c>
      <c r="J3242" t="s">
        <v>4276</v>
      </c>
    </row>
    <row r="3243" spans="1:10" x14ac:dyDescent="0.2">
      <c r="A3243">
        <v>6.5089526512797398E-9</v>
      </c>
      <c r="B3243">
        <v>0.32391503158010398</v>
      </c>
      <c r="C3243">
        <v>0.85099999999999998</v>
      </c>
      <c r="D3243">
        <v>0.54500000000000004</v>
      </c>
      <c r="E3243">
        <v>9.04614239474858E-5</v>
      </c>
      <c r="F3243">
        <v>5</v>
      </c>
      <c r="G3243" t="s">
        <v>1797</v>
      </c>
      <c r="H3243" t="s">
        <v>1798</v>
      </c>
      <c r="I3243" t="str">
        <f>HYPERLINK("https://zfin.org/ZDB-GENE-040801-18")</f>
        <v>https://zfin.org/ZDB-GENE-040801-18</v>
      </c>
      <c r="J3243" t="s">
        <v>1799</v>
      </c>
    </row>
    <row r="3244" spans="1:10" x14ac:dyDescent="0.2">
      <c r="A3244">
        <v>6.5944908452448103E-9</v>
      </c>
      <c r="B3244">
        <v>0.30164040481960602</v>
      </c>
      <c r="C3244">
        <v>0.46600000000000003</v>
      </c>
      <c r="D3244">
        <v>0.23200000000000001</v>
      </c>
      <c r="E3244">
        <v>9.1650233767212393E-5</v>
      </c>
      <c r="F3244">
        <v>5</v>
      </c>
      <c r="G3244" t="s">
        <v>3166</v>
      </c>
      <c r="H3244" t="s">
        <v>3167</v>
      </c>
      <c r="I3244" t="str">
        <f>HYPERLINK("https://zfin.org/ZDB-GENE-050522-309")</f>
        <v>https://zfin.org/ZDB-GENE-050522-309</v>
      </c>
      <c r="J3244" t="s">
        <v>3168</v>
      </c>
    </row>
    <row r="3245" spans="1:10" x14ac:dyDescent="0.2">
      <c r="A3245">
        <v>7.6664586084084708E-9</v>
      </c>
      <c r="B3245">
        <v>0.250807933123746</v>
      </c>
      <c r="C3245">
        <v>0.34499999999999997</v>
      </c>
      <c r="D3245">
        <v>0.151</v>
      </c>
      <c r="E3245">
        <v>1.06548441739661E-4</v>
      </c>
      <c r="F3245">
        <v>5</v>
      </c>
      <c r="G3245" t="s">
        <v>6319</v>
      </c>
      <c r="H3245" t="s">
        <v>6320</v>
      </c>
      <c r="I3245" t="str">
        <f>HYPERLINK("https://zfin.org/ZDB-GENE-030131-7433")</f>
        <v>https://zfin.org/ZDB-GENE-030131-7433</v>
      </c>
      <c r="J3245" t="s">
        <v>6321</v>
      </c>
    </row>
    <row r="3246" spans="1:10" x14ac:dyDescent="0.2">
      <c r="A3246">
        <v>7.9147210516432899E-9</v>
      </c>
      <c r="B3246">
        <v>0.329901181386831</v>
      </c>
      <c r="C3246">
        <v>0.56799999999999995</v>
      </c>
      <c r="D3246">
        <v>0.312</v>
      </c>
      <c r="E3246">
        <v>1.0999879317573799E-4</v>
      </c>
      <c r="F3246">
        <v>5</v>
      </c>
      <c r="G3246" t="s">
        <v>4560</v>
      </c>
      <c r="H3246" t="s">
        <v>4561</v>
      </c>
      <c r="I3246" t="str">
        <f>HYPERLINK("https://zfin.org/ZDB-GENE-040714-2")</f>
        <v>https://zfin.org/ZDB-GENE-040714-2</v>
      </c>
      <c r="J3246" t="s">
        <v>4562</v>
      </c>
    </row>
    <row r="3247" spans="1:10" x14ac:dyDescent="0.2">
      <c r="A3247">
        <v>8.5736277341434895E-9</v>
      </c>
      <c r="B3247">
        <v>0.37609932671864499</v>
      </c>
      <c r="C3247">
        <v>0.88500000000000001</v>
      </c>
      <c r="D3247">
        <v>0.74399999999999999</v>
      </c>
      <c r="E3247">
        <v>1.1915627824912601E-4</v>
      </c>
      <c r="F3247">
        <v>5</v>
      </c>
      <c r="G3247" t="s">
        <v>2433</v>
      </c>
      <c r="H3247" t="s">
        <v>2434</v>
      </c>
      <c r="I3247" t="str">
        <f>HYPERLINK("https://zfin.org/ZDB-GENE-030131-2085")</f>
        <v>https://zfin.org/ZDB-GENE-030131-2085</v>
      </c>
      <c r="J3247" t="s">
        <v>2435</v>
      </c>
    </row>
    <row r="3248" spans="1:10" x14ac:dyDescent="0.2">
      <c r="A3248">
        <v>9.3179806945721599E-9</v>
      </c>
      <c r="B3248">
        <v>0.283097708904333</v>
      </c>
      <c r="C3248">
        <v>0.77</v>
      </c>
      <c r="D3248">
        <v>0.46300000000000002</v>
      </c>
      <c r="E3248">
        <v>1.2950129569316401E-4</v>
      </c>
      <c r="F3248">
        <v>5</v>
      </c>
      <c r="G3248" t="s">
        <v>1137</v>
      </c>
      <c r="H3248" t="s">
        <v>1138</v>
      </c>
      <c r="I3248" t="str">
        <f>HYPERLINK("https://zfin.org/ZDB-GENE-040718-199")</f>
        <v>https://zfin.org/ZDB-GENE-040718-199</v>
      </c>
      <c r="J3248" t="s">
        <v>1139</v>
      </c>
    </row>
    <row r="3249" spans="1:10" x14ac:dyDescent="0.2">
      <c r="A3249">
        <v>9.3389040257257796E-9</v>
      </c>
      <c r="B3249">
        <v>0.35480011856367899</v>
      </c>
      <c r="C3249">
        <v>0.318</v>
      </c>
      <c r="D3249">
        <v>0.14099999999999999</v>
      </c>
      <c r="E3249">
        <v>1.2979208814953701E-4</v>
      </c>
      <c r="F3249">
        <v>5</v>
      </c>
      <c r="G3249" t="s">
        <v>1302</v>
      </c>
      <c r="H3249" t="s">
        <v>1303</v>
      </c>
      <c r="I3249" t="str">
        <f>HYPERLINK("https://zfin.org/ZDB-GENE-040801-250")</f>
        <v>https://zfin.org/ZDB-GENE-040801-250</v>
      </c>
      <c r="J3249" t="s">
        <v>1304</v>
      </c>
    </row>
    <row r="3250" spans="1:10" x14ac:dyDescent="0.2">
      <c r="A3250">
        <v>9.3614596815408901E-9</v>
      </c>
      <c r="B3250">
        <v>0.26313209655508601</v>
      </c>
      <c r="C3250">
        <v>0.33800000000000002</v>
      </c>
      <c r="D3250">
        <v>0.151</v>
      </c>
      <c r="E3250">
        <v>1.3010556665405499E-4</v>
      </c>
      <c r="F3250">
        <v>5</v>
      </c>
      <c r="G3250" t="s">
        <v>4605</v>
      </c>
      <c r="H3250" t="s">
        <v>4606</v>
      </c>
      <c r="I3250" t="str">
        <f>HYPERLINK("https://zfin.org/ZDB-GENE-020419-17")</f>
        <v>https://zfin.org/ZDB-GENE-020419-17</v>
      </c>
      <c r="J3250" t="s">
        <v>4607</v>
      </c>
    </row>
    <row r="3251" spans="1:10" x14ac:dyDescent="0.2">
      <c r="A3251">
        <v>1.02045093520362E-8</v>
      </c>
      <c r="B3251">
        <v>0.252185198884254</v>
      </c>
      <c r="C3251">
        <v>0.27700000000000002</v>
      </c>
      <c r="D3251">
        <v>0.113</v>
      </c>
      <c r="E3251">
        <v>1.4182227097459901E-4</v>
      </c>
      <c r="F3251">
        <v>5</v>
      </c>
      <c r="G3251" t="s">
        <v>6322</v>
      </c>
      <c r="H3251" t="s">
        <v>6323</v>
      </c>
      <c r="I3251" t="str">
        <f>HYPERLINK("https://zfin.org/ZDB-GENE-030131-8093")</f>
        <v>https://zfin.org/ZDB-GENE-030131-8093</v>
      </c>
      <c r="J3251" t="s">
        <v>6324</v>
      </c>
    </row>
    <row r="3252" spans="1:10" x14ac:dyDescent="0.2">
      <c r="A3252">
        <v>1.07384346919893E-8</v>
      </c>
      <c r="B3252">
        <v>0.32279857888480501</v>
      </c>
      <c r="C3252">
        <v>0.78400000000000003</v>
      </c>
      <c r="D3252">
        <v>0.50600000000000001</v>
      </c>
      <c r="E3252">
        <v>1.4924276534926701E-4</v>
      </c>
      <c r="F3252">
        <v>5</v>
      </c>
      <c r="G3252" t="s">
        <v>3249</v>
      </c>
      <c r="H3252" t="s">
        <v>3250</v>
      </c>
      <c r="I3252" t="str">
        <f>HYPERLINK("https://zfin.org/ZDB-GENE-040618-2")</f>
        <v>https://zfin.org/ZDB-GENE-040618-2</v>
      </c>
      <c r="J3252" t="s">
        <v>3251</v>
      </c>
    </row>
    <row r="3253" spans="1:10" x14ac:dyDescent="0.2">
      <c r="A3253">
        <v>1.12992990574578E-8</v>
      </c>
      <c r="B3253">
        <v>0.316870984261931</v>
      </c>
      <c r="C3253">
        <v>0.318</v>
      </c>
      <c r="D3253">
        <v>0.13700000000000001</v>
      </c>
      <c r="E3253">
        <v>1.5703765830054801E-4</v>
      </c>
      <c r="F3253">
        <v>5</v>
      </c>
      <c r="G3253" t="s">
        <v>5748</v>
      </c>
      <c r="H3253" t="s">
        <v>5749</v>
      </c>
      <c r="I3253" t="str">
        <f>HYPERLINK("https://zfin.org/ZDB-GENE-030131-4357")</f>
        <v>https://zfin.org/ZDB-GENE-030131-4357</v>
      </c>
      <c r="J3253" t="s">
        <v>5750</v>
      </c>
    </row>
    <row r="3254" spans="1:10" x14ac:dyDescent="0.2">
      <c r="A3254">
        <v>1.13059273526019E-8</v>
      </c>
      <c r="B3254">
        <v>0.33344136499007598</v>
      </c>
      <c r="C3254">
        <v>0.41899999999999998</v>
      </c>
      <c r="D3254">
        <v>0.20599999999999999</v>
      </c>
      <c r="E3254">
        <v>1.5712977834646101E-4</v>
      </c>
      <c r="F3254">
        <v>5</v>
      </c>
      <c r="G3254" t="s">
        <v>3270</v>
      </c>
      <c r="H3254" t="s">
        <v>3271</v>
      </c>
      <c r="I3254" t="str">
        <f>HYPERLINK("https://zfin.org/ZDB-GENE-040718-209")</f>
        <v>https://zfin.org/ZDB-GENE-040718-209</v>
      </c>
      <c r="J3254" t="s">
        <v>3272</v>
      </c>
    </row>
    <row r="3255" spans="1:10" x14ac:dyDescent="0.2">
      <c r="A3255">
        <v>1.2619050875380101E-8</v>
      </c>
      <c r="B3255">
        <v>0.26621106631182601</v>
      </c>
      <c r="C3255">
        <v>0.54700000000000004</v>
      </c>
      <c r="D3255">
        <v>0.28599999999999998</v>
      </c>
      <c r="E3255">
        <v>1.7537956906603299E-4</v>
      </c>
      <c r="F3255">
        <v>5</v>
      </c>
      <c r="G3255" t="s">
        <v>2238</v>
      </c>
      <c r="H3255" t="s">
        <v>2239</v>
      </c>
      <c r="I3255" t="str">
        <f>HYPERLINK("https://zfin.org/ZDB-GENE-020419-7")</f>
        <v>https://zfin.org/ZDB-GENE-020419-7</v>
      </c>
      <c r="J3255" t="s">
        <v>2240</v>
      </c>
    </row>
    <row r="3256" spans="1:10" x14ac:dyDescent="0.2">
      <c r="A3256">
        <v>1.27857300655684E-8</v>
      </c>
      <c r="B3256">
        <v>0.323417601035276</v>
      </c>
      <c r="C3256">
        <v>0.378</v>
      </c>
      <c r="D3256">
        <v>0.183</v>
      </c>
      <c r="E3256">
        <v>1.7769607645126901E-4</v>
      </c>
      <c r="F3256">
        <v>5</v>
      </c>
      <c r="G3256" t="s">
        <v>6325</v>
      </c>
      <c r="H3256" t="s">
        <v>6326</v>
      </c>
      <c r="I3256" t="str">
        <f>HYPERLINK("https://zfin.org/ZDB-GENE-021115-8")</f>
        <v>https://zfin.org/ZDB-GENE-021115-8</v>
      </c>
      <c r="J3256" t="s">
        <v>6327</v>
      </c>
    </row>
    <row r="3257" spans="1:10" x14ac:dyDescent="0.2">
      <c r="A3257">
        <v>1.30702478983614E-8</v>
      </c>
      <c r="B3257">
        <v>0.306418445257995</v>
      </c>
      <c r="C3257">
        <v>0.622</v>
      </c>
      <c r="D3257">
        <v>0.34599999999999997</v>
      </c>
      <c r="E3257">
        <v>1.8165030529142601E-4</v>
      </c>
      <c r="F3257">
        <v>5</v>
      </c>
      <c r="G3257" t="s">
        <v>2129</v>
      </c>
      <c r="H3257" t="s">
        <v>2130</v>
      </c>
      <c r="I3257" t="str">
        <f>HYPERLINK("https://zfin.org/ZDB-GENE-040801-1")</f>
        <v>https://zfin.org/ZDB-GENE-040801-1</v>
      </c>
      <c r="J3257" t="s">
        <v>2131</v>
      </c>
    </row>
    <row r="3258" spans="1:10" x14ac:dyDescent="0.2">
      <c r="A3258">
        <v>1.3231946687949501E-8</v>
      </c>
      <c r="B3258">
        <v>0.25127005798421997</v>
      </c>
      <c r="C3258">
        <v>0.10100000000000001</v>
      </c>
      <c r="D3258">
        <v>2.4E-2</v>
      </c>
      <c r="E3258">
        <v>1.8389759506912199E-4</v>
      </c>
      <c r="F3258">
        <v>5</v>
      </c>
      <c r="G3258" t="s">
        <v>5670</v>
      </c>
      <c r="H3258" t="s">
        <v>5671</v>
      </c>
      <c r="I3258" t="str">
        <f>HYPERLINK("https://zfin.org/ZDB-GENE-030131-2581")</f>
        <v>https://zfin.org/ZDB-GENE-030131-2581</v>
      </c>
      <c r="J3258" t="s">
        <v>5672</v>
      </c>
    </row>
    <row r="3259" spans="1:10" x14ac:dyDescent="0.2">
      <c r="A3259">
        <v>1.4056574903752401E-8</v>
      </c>
      <c r="B3259">
        <v>0.31108438797500398</v>
      </c>
      <c r="C3259">
        <v>0.78400000000000003</v>
      </c>
      <c r="D3259">
        <v>0.54600000000000004</v>
      </c>
      <c r="E3259">
        <v>1.9535827801235101E-4</v>
      </c>
      <c r="F3259">
        <v>5</v>
      </c>
      <c r="G3259" t="s">
        <v>6328</v>
      </c>
      <c r="H3259" t="s">
        <v>6329</v>
      </c>
      <c r="I3259" t="str">
        <f>HYPERLINK("https://zfin.org/ZDB-GENE-030131-5045")</f>
        <v>https://zfin.org/ZDB-GENE-030131-5045</v>
      </c>
      <c r="J3259" t="s">
        <v>6330</v>
      </c>
    </row>
    <row r="3260" spans="1:10" x14ac:dyDescent="0.2">
      <c r="A3260">
        <v>1.4951308397838999E-8</v>
      </c>
      <c r="B3260">
        <v>0.26333288281054501</v>
      </c>
      <c r="C3260">
        <v>0.38500000000000001</v>
      </c>
      <c r="D3260">
        <v>0.182</v>
      </c>
      <c r="E3260">
        <v>2.07793284113166E-4</v>
      </c>
      <c r="F3260">
        <v>5</v>
      </c>
      <c r="G3260" t="s">
        <v>4005</v>
      </c>
      <c r="H3260" t="s">
        <v>4006</v>
      </c>
      <c r="I3260" t="str">
        <f>HYPERLINK("https://zfin.org/ZDB-GENE-040912-93")</f>
        <v>https://zfin.org/ZDB-GENE-040912-93</v>
      </c>
      <c r="J3260" t="s">
        <v>4007</v>
      </c>
    </row>
    <row r="3261" spans="1:10" x14ac:dyDescent="0.2">
      <c r="A3261">
        <v>1.7700697693446799E-8</v>
      </c>
      <c r="B3261">
        <v>0.36947927568699801</v>
      </c>
      <c r="C3261">
        <v>0.5</v>
      </c>
      <c r="D3261">
        <v>0.26600000000000001</v>
      </c>
      <c r="E3261">
        <v>2.46004296543523E-4</v>
      </c>
      <c r="F3261">
        <v>5</v>
      </c>
      <c r="G3261" t="s">
        <v>4073</v>
      </c>
      <c r="H3261" t="s">
        <v>4074</v>
      </c>
      <c r="I3261" t="str">
        <f>HYPERLINK("https://zfin.org/ZDB-GENE-040426-1798")</f>
        <v>https://zfin.org/ZDB-GENE-040426-1798</v>
      </c>
      <c r="J3261" t="s">
        <v>4075</v>
      </c>
    </row>
    <row r="3262" spans="1:10" x14ac:dyDescent="0.2">
      <c r="A3262">
        <v>1.7869395971424199E-8</v>
      </c>
      <c r="B3262">
        <v>0.30098652250469199</v>
      </c>
      <c r="C3262">
        <v>0.69599999999999995</v>
      </c>
      <c r="D3262">
        <v>0.43</v>
      </c>
      <c r="E3262">
        <v>2.4834886521085399E-4</v>
      </c>
      <c r="F3262">
        <v>5</v>
      </c>
      <c r="G3262" t="s">
        <v>2538</v>
      </c>
      <c r="H3262" t="s">
        <v>2539</v>
      </c>
      <c r="I3262" t="str">
        <f>HYPERLINK("https://zfin.org/ZDB-GENE-040426-2194")</f>
        <v>https://zfin.org/ZDB-GENE-040426-2194</v>
      </c>
      <c r="J3262" t="s">
        <v>2540</v>
      </c>
    </row>
    <row r="3263" spans="1:10" x14ac:dyDescent="0.2">
      <c r="A3263">
        <v>1.8272593876144401E-8</v>
      </c>
      <c r="B3263">
        <v>0.301370732646773</v>
      </c>
      <c r="C3263">
        <v>0.38500000000000001</v>
      </c>
      <c r="D3263">
        <v>0.189</v>
      </c>
      <c r="E3263">
        <v>2.5395250969065502E-4</v>
      </c>
      <c r="F3263">
        <v>5</v>
      </c>
      <c r="G3263" t="s">
        <v>2003</v>
      </c>
      <c r="H3263" t="s">
        <v>2004</v>
      </c>
      <c r="I3263" t="str">
        <f>HYPERLINK("https://zfin.org/ZDB-GENE-040625-34")</f>
        <v>https://zfin.org/ZDB-GENE-040625-34</v>
      </c>
      <c r="J3263" t="s">
        <v>2005</v>
      </c>
    </row>
    <row r="3264" spans="1:10" x14ac:dyDescent="0.2">
      <c r="A3264">
        <v>1.8320412582782798E-8</v>
      </c>
      <c r="B3264">
        <v>0.30391679508938102</v>
      </c>
      <c r="C3264">
        <v>0.36499999999999999</v>
      </c>
      <c r="D3264">
        <v>0.17199999999999999</v>
      </c>
      <c r="E3264">
        <v>2.5461709407551502E-4</v>
      </c>
      <c r="F3264">
        <v>5</v>
      </c>
      <c r="G3264" t="s">
        <v>3912</v>
      </c>
      <c r="H3264" t="s">
        <v>3913</v>
      </c>
      <c r="I3264" t="str">
        <f>HYPERLINK("https://zfin.org/ZDB-GENE-040426-810")</f>
        <v>https://zfin.org/ZDB-GENE-040426-810</v>
      </c>
      <c r="J3264" t="s">
        <v>3914</v>
      </c>
    </row>
    <row r="3265" spans="1:10" x14ac:dyDescent="0.2">
      <c r="A3265">
        <v>1.9037574784394799E-8</v>
      </c>
      <c r="B3265">
        <v>0.30733250482003399</v>
      </c>
      <c r="C3265">
        <v>0.34499999999999997</v>
      </c>
      <c r="D3265">
        <v>0.156</v>
      </c>
      <c r="E3265">
        <v>2.6458421435351898E-4</v>
      </c>
      <c r="F3265">
        <v>5</v>
      </c>
      <c r="G3265" t="s">
        <v>6331</v>
      </c>
      <c r="H3265" t="s">
        <v>6332</v>
      </c>
      <c r="I3265" t="str">
        <f>HYPERLINK("https://zfin.org/ZDB-GENE-040426-2452")</f>
        <v>https://zfin.org/ZDB-GENE-040426-2452</v>
      </c>
      <c r="J3265" t="s">
        <v>6333</v>
      </c>
    </row>
    <row r="3266" spans="1:10" x14ac:dyDescent="0.2">
      <c r="A3266">
        <v>1.9249634726563299E-8</v>
      </c>
      <c r="B3266">
        <v>0.301851220606072</v>
      </c>
      <c r="C3266">
        <v>0.52700000000000002</v>
      </c>
      <c r="D3266">
        <v>0.28899999999999998</v>
      </c>
      <c r="E3266">
        <v>2.6753142342977702E-4</v>
      </c>
      <c r="F3266">
        <v>5</v>
      </c>
      <c r="G3266" t="s">
        <v>4268</v>
      </c>
      <c r="H3266" t="s">
        <v>4269</v>
      </c>
      <c r="I3266" t="str">
        <f>HYPERLINK("https://zfin.org/ZDB-GENE-040426-2405")</f>
        <v>https://zfin.org/ZDB-GENE-040426-2405</v>
      </c>
      <c r="J3266" t="s">
        <v>4270</v>
      </c>
    </row>
    <row r="3267" spans="1:10" x14ac:dyDescent="0.2">
      <c r="A3267">
        <v>1.9721439702003098E-8</v>
      </c>
      <c r="B3267">
        <v>-0.59609353182070202</v>
      </c>
      <c r="C3267">
        <v>0.77700000000000002</v>
      </c>
      <c r="D3267">
        <v>0.82499999999999996</v>
      </c>
      <c r="E3267">
        <v>2.7408856897843899E-4</v>
      </c>
      <c r="F3267">
        <v>5</v>
      </c>
      <c r="G3267" t="s">
        <v>1519</v>
      </c>
      <c r="H3267" t="s">
        <v>1520</v>
      </c>
      <c r="I3267" t="str">
        <f>HYPERLINK("https://zfin.org/ZDB-GENE-990715-6")</f>
        <v>https://zfin.org/ZDB-GENE-990715-6</v>
      </c>
      <c r="J3267" t="s">
        <v>1521</v>
      </c>
    </row>
    <row r="3268" spans="1:10" x14ac:dyDescent="0.2">
      <c r="A3268">
        <v>2.0989136509251399E-8</v>
      </c>
      <c r="B3268">
        <v>0.32484740673469198</v>
      </c>
      <c r="C3268">
        <v>0.60099999999999998</v>
      </c>
      <c r="D3268">
        <v>0.34699999999999998</v>
      </c>
      <c r="E3268">
        <v>2.9170701920557598E-4</v>
      </c>
      <c r="F3268">
        <v>5</v>
      </c>
      <c r="G3268" t="s">
        <v>4851</v>
      </c>
      <c r="H3268" t="s">
        <v>4852</v>
      </c>
      <c r="I3268" t="str">
        <f>HYPERLINK("https://zfin.org/ZDB-GENE-990614-17")</f>
        <v>https://zfin.org/ZDB-GENE-990614-17</v>
      </c>
      <c r="J3268" t="s">
        <v>4853</v>
      </c>
    </row>
    <row r="3269" spans="1:10" x14ac:dyDescent="0.2">
      <c r="A3269">
        <v>2.1761854848106498E-8</v>
      </c>
      <c r="B3269">
        <v>0.25898700417529602</v>
      </c>
      <c r="C3269">
        <v>0.54100000000000004</v>
      </c>
      <c r="D3269">
        <v>0.28100000000000003</v>
      </c>
      <c r="E3269">
        <v>3.0244625867898302E-4</v>
      </c>
      <c r="F3269">
        <v>5</v>
      </c>
      <c r="G3269" t="s">
        <v>3333</v>
      </c>
      <c r="H3269" t="s">
        <v>3334</v>
      </c>
      <c r="I3269" t="str">
        <f>HYPERLINK("https://zfin.org/ZDB-GENE-040718-181")</f>
        <v>https://zfin.org/ZDB-GENE-040718-181</v>
      </c>
      <c r="J3269" t="s">
        <v>3335</v>
      </c>
    </row>
    <row r="3270" spans="1:10" x14ac:dyDescent="0.2">
      <c r="A3270">
        <v>2.398183321255E-8</v>
      </c>
      <c r="B3270">
        <v>0.26051590108635397</v>
      </c>
      <c r="C3270">
        <v>0.35799999999999998</v>
      </c>
      <c r="D3270">
        <v>0.16600000000000001</v>
      </c>
      <c r="E3270">
        <v>3.3329951798802E-4</v>
      </c>
      <c r="F3270">
        <v>5</v>
      </c>
      <c r="G3270" t="s">
        <v>4620</v>
      </c>
      <c r="H3270" t="s">
        <v>4621</v>
      </c>
      <c r="I3270" t="str">
        <f>HYPERLINK("https://zfin.org/ZDB-GENE-050522-113")</f>
        <v>https://zfin.org/ZDB-GENE-050522-113</v>
      </c>
      <c r="J3270" t="s">
        <v>4622</v>
      </c>
    </row>
    <row r="3271" spans="1:10" x14ac:dyDescent="0.2">
      <c r="A3271">
        <v>2.4021887989979E-8</v>
      </c>
      <c r="B3271">
        <v>0.29198391810448898</v>
      </c>
      <c r="C3271">
        <v>0.33800000000000002</v>
      </c>
      <c r="D3271">
        <v>0.15</v>
      </c>
      <c r="E3271">
        <v>3.3385619928472901E-4</v>
      </c>
      <c r="F3271">
        <v>5</v>
      </c>
      <c r="G3271" t="s">
        <v>6334</v>
      </c>
      <c r="H3271" t="s">
        <v>6335</v>
      </c>
      <c r="I3271" t="str">
        <f>HYPERLINK("https://zfin.org/ZDB-GENE-050208-692")</f>
        <v>https://zfin.org/ZDB-GENE-050208-692</v>
      </c>
      <c r="J3271" t="s">
        <v>6336</v>
      </c>
    </row>
    <row r="3272" spans="1:10" x14ac:dyDescent="0.2">
      <c r="A3272">
        <v>2.43815247774825E-8</v>
      </c>
      <c r="B3272">
        <v>0.29399641253833703</v>
      </c>
      <c r="C3272">
        <v>0.439</v>
      </c>
      <c r="D3272">
        <v>0.221</v>
      </c>
      <c r="E3272">
        <v>3.3885443135745201E-4</v>
      </c>
      <c r="F3272">
        <v>5</v>
      </c>
      <c r="G3272" t="s">
        <v>4988</v>
      </c>
      <c r="H3272" t="s">
        <v>4989</v>
      </c>
      <c r="I3272" t="str">
        <f>HYPERLINK("https://zfin.org/ZDB-GENE-050417-52")</f>
        <v>https://zfin.org/ZDB-GENE-050417-52</v>
      </c>
      <c r="J3272" t="s">
        <v>4990</v>
      </c>
    </row>
    <row r="3273" spans="1:10" x14ac:dyDescent="0.2">
      <c r="A3273">
        <v>2.4453311207873301E-8</v>
      </c>
      <c r="B3273">
        <v>-0.625113619857807</v>
      </c>
      <c r="C3273">
        <v>0.35799999999999998</v>
      </c>
      <c r="D3273">
        <v>0.51900000000000002</v>
      </c>
      <c r="E3273">
        <v>3.3985211916702301E-4</v>
      </c>
      <c r="F3273">
        <v>5</v>
      </c>
      <c r="G3273" t="s">
        <v>2487</v>
      </c>
      <c r="H3273" t="s">
        <v>2488</v>
      </c>
      <c r="I3273" t="str">
        <f>HYPERLINK("https://zfin.org/ZDB-GENE-040912-149")</f>
        <v>https://zfin.org/ZDB-GENE-040912-149</v>
      </c>
      <c r="J3273" t="s">
        <v>2489</v>
      </c>
    </row>
    <row r="3274" spans="1:10" x14ac:dyDescent="0.2">
      <c r="A3274">
        <v>2.5372758565578501E-8</v>
      </c>
      <c r="B3274">
        <v>-0.65857430623714197</v>
      </c>
      <c r="C3274">
        <v>0.58099999999999996</v>
      </c>
      <c r="D3274">
        <v>0.67400000000000004</v>
      </c>
      <c r="E3274">
        <v>3.5263059854440999E-4</v>
      </c>
      <c r="F3274">
        <v>5</v>
      </c>
      <c r="G3274" t="s">
        <v>2021</v>
      </c>
      <c r="H3274" t="s">
        <v>2022</v>
      </c>
      <c r="I3274" t="str">
        <f>HYPERLINK("https://zfin.org/ZDB-GENE-030131-1819")</f>
        <v>https://zfin.org/ZDB-GENE-030131-1819</v>
      </c>
      <c r="J3274" t="s">
        <v>2023</v>
      </c>
    </row>
    <row r="3275" spans="1:10" x14ac:dyDescent="0.2">
      <c r="A3275">
        <v>2.56988328355141E-8</v>
      </c>
      <c r="B3275">
        <v>0.30653573889650798</v>
      </c>
      <c r="C3275">
        <v>0.13500000000000001</v>
      </c>
      <c r="D3275">
        <v>3.9E-2</v>
      </c>
      <c r="E3275">
        <v>3.5716237874797602E-4</v>
      </c>
      <c r="F3275">
        <v>5</v>
      </c>
      <c r="G3275" t="s">
        <v>6337</v>
      </c>
      <c r="H3275" t="s">
        <v>6338</v>
      </c>
      <c r="I3275" t="str">
        <f>HYPERLINK("https://zfin.org/ZDB-GENE-070912-485")</f>
        <v>https://zfin.org/ZDB-GENE-070912-485</v>
      </c>
      <c r="J3275" t="s">
        <v>6339</v>
      </c>
    </row>
    <row r="3276" spans="1:10" x14ac:dyDescent="0.2">
      <c r="A3276">
        <v>2.9264535904491101E-8</v>
      </c>
      <c r="B3276">
        <v>0.32100936676970598</v>
      </c>
      <c r="C3276">
        <v>0.42599999999999999</v>
      </c>
      <c r="D3276">
        <v>0.21299999999999999</v>
      </c>
      <c r="E3276">
        <v>4.0671852000061698E-4</v>
      </c>
      <c r="F3276">
        <v>5</v>
      </c>
      <c r="G3276" t="s">
        <v>3898</v>
      </c>
      <c r="H3276" t="s">
        <v>3899</v>
      </c>
      <c r="I3276" t="str">
        <f>HYPERLINK("https://zfin.org/ZDB-GENE-070928-29")</f>
        <v>https://zfin.org/ZDB-GENE-070928-29</v>
      </c>
      <c r="J3276" t="s">
        <v>3900</v>
      </c>
    </row>
    <row r="3277" spans="1:10" x14ac:dyDescent="0.2">
      <c r="A3277">
        <v>2.9358479635671801E-8</v>
      </c>
      <c r="B3277">
        <v>0.29485547238794901</v>
      </c>
      <c r="C3277">
        <v>0.73599999999999999</v>
      </c>
      <c r="D3277">
        <v>0.44700000000000001</v>
      </c>
      <c r="E3277">
        <v>4.0802414997656702E-4</v>
      </c>
      <c r="F3277">
        <v>5</v>
      </c>
      <c r="G3277" t="s">
        <v>3844</v>
      </c>
      <c r="H3277" t="s">
        <v>3845</v>
      </c>
      <c r="I3277" t="str">
        <f>HYPERLINK("https://zfin.org/ZDB-GENE-030131-4862")</f>
        <v>https://zfin.org/ZDB-GENE-030131-4862</v>
      </c>
      <c r="J3277" t="s">
        <v>3846</v>
      </c>
    </row>
    <row r="3278" spans="1:10" x14ac:dyDescent="0.2">
      <c r="A3278">
        <v>2.9894052319681801E-8</v>
      </c>
      <c r="B3278">
        <v>0.26007544289447199</v>
      </c>
      <c r="C3278">
        <v>0.98599999999999999</v>
      </c>
      <c r="D3278">
        <v>0.91200000000000003</v>
      </c>
      <c r="E3278">
        <v>4.1546753913893698E-4</v>
      </c>
      <c r="F3278">
        <v>5</v>
      </c>
      <c r="G3278" t="s">
        <v>2595</v>
      </c>
      <c r="H3278" t="s">
        <v>2596</v>
      </c>
      <c r="I3278" t="str">
        <f>HYPERLINK("https://zfin.org/ZDB-GENE-050417-65")</f>
        <v>https://zfin.org/ZDB-GENE-050417-65</v>
      </c>
      <c r="J3278" t="s">
        <v>2597</v>
      </c>
    </row>
    <row r="3279" spans="1:10" x14ac:dyDescent="0.2">
      <c r="A3279">
        <v>3.2627508874908101E-8</v>
      </c>
      <c r="B3279">
        <v>0.44111587517858503</v>
      </c>
      <c r="C3279">
        <v>0.79700000000000004</v>
      </c>
      <c r="D3279">
        <v>0.59499999999999997</v>
      </c>
      <c r="E3279">
        <v>4.53457118343472E-4</v>
      </c>
      <c r="F3279">
        <v>5</v>
      </c>
      <c r="G3279" t="s">
        <v>3417</v>
      </c>
      <c r="H3279" t="s">
        <v>3418</v>
      </c>
      <c r="I3279" t="str">
        <f>HYPERLINK("https://zfin.org/ZDB-GENE-040426-860")</f>
        <v>https://zfin.org/ZDB-GENE-040426-860</v>
      </c>
      <c r="J3279" t="s">
        <v>3419</v>
      </c>
    </row>
    <row r="3280" spans="1:10" x14ac:dyDescent="0.2">
      <c r="A3280">
        <v>3.3275156314031101E-8</v>
      </c>
      <c r="B3280">
        <v>0.32960636225960599</v>
      </c>
      <c r="C3280">
        <v>0.88500000000000001</v>
      </c>
      <c r="D3280">
        <v>0.73899999999999999</v>
      </c>
      <c r="E3280">
        <v>4.6245812245240402E-4</v>
      </c>
      <c r="F3280">
        <v>5</v>
      </c>
      <c r="G3280" t="s">
        <v>4893</v>
      </c>
      <c r="H3280" t="s">
        <v>4894</v>
      </c>
      <c r="I3280" t="str">
        <f>HYPERLINK("https://zfin.org/ZDB-GENE-061215-23")</f>
        <v>https://zfin.org/ZDB-GENE-061215-23</v>
      </c>
      <c r="J3280" t="s">
        <v>4895</v>
      </c>
    </row>
    <row r="3281" spans="1:10" x14ac:dyDescent="0.2">
      <c r="A3281">
        <v>3.3466792407121302E-8</v>
      </c>
      <c r="B3281">
        <v>-0.74878159493545104</v>
      </c>
      <c r="C3281">
        <v>0.34499999999999997</v>
      </c>
      <c r="D3281">
        <v>0.498</v>
      </c>
      <c r="E3281">
        <v>4.6512148087417201E-4</v>
      </c>
      <c r="F3281">
        <v>5</v>
      </c>
      <c r="G3281" t="s">
        <v>2289</v>
      </c>
      <c r="H3281" t="s">
        <v>2290</v>
      </c>
      <c r="I3281" t="str">
        <f>HYPERLINK("https://zfin.org/ZDB-GENE-030131-4678")</f>
        <v>https://zfin.org/ZDB-GENE-030131-4678</v>
      </c>
      <c r="J3281" t="s">
        <v>2291</v>
      </c>
    </row>
    <row r="3282" spans="1:10" x14ac:dyDescent="0.2">
      <c r="A3282">
        <v>3.3890519411584702E-8</v>
      </c>
      <c r="B3282">
        <v>0.28271000261575102</v>
      </c>
      <c r="C3282">
        <v>0.56100000000000005</v>
      </c>
      <c r="D3282">
        <v>0.314</v>
      </c>
      <c r="E3282">
        <v>4.7101043878220502E-4</v>
      </c>
      <c r="F3282">
        <v>5</v>
      </c>
      <c r="G3282" t="s">
        <v>3715</v>
      </c>
      <c r="H3282" t="s">
        <v>3716</v>
      </c>
      <c r="I3282" t="str">
        <f>HYPERLINK("https://zfin.org/ZDB-GENE-040426-1004")</f>
        <v>https://zfin.org/ZDB-GENE-040426-1004</v>
      </c>
      <c r="J3282" t="s">
        <v>3717</v>
      </c>
    </row>
    <row r="3283" spans="1:10" x14ac:dyDescent="0.2">
      <c r="A3283">
        <v>3.4368043019911499E-8</v>
      </c>
      <c r="B3283">
        <v>0.27747529873549598</v>
      </c>
      <c r="C3283">
        <v>0.52</v>
      </c>
      <c r="D3283">
        <v>0.27300000000000002</v>
      </c>
      <c r="E3283">
        <v>4.7764706189073E-4</v>
      </c>
      <c r="F3283">
        <v>5</v>
      </c>
      <c r="G3283" t="s">
        <v>6340</v>
      </c>
      <c r="H3283" t="s">
        <v>6341</v>
      </c>
      <c r="I3283" t="str">
        <f>HYPERLINK("https://zfin.org/ZDB-GENE-030131-5845")</f>
        <v>https://zfin.org/ZDB-GENE-030131-5845</v>
      </c>
      <c r="J3283" t="s">
        <v>6342</v>
      </c>
    </row>
    <row r="3284" spans="1:10" x14ac:dyDescent="0.2">
      <c r="A3284">
        <v>3.5024004993324303E-8</v>
      </c>
      <c r="B3284">
        <v>0.30151259853687501</v>
      </c>
      <c r="C3284">
        <v>0.75</v>
      </c>
      <c r="D3284">
        <v>0.49</v>
      </c>
      <c r="E3284">
        <v>4.8676362139722098E-4</v>
      </c>
      <c r="F3284">
        <v>5</v>
      </c>
      <c r="G3284" t="s">
        <v>3584</v>
      </c>
      <c r="H3284" t="s">
        <v>3585</v>
      </c>
      <c r="I3284" t="str">
        <f>HYPERLINK("https://zfin.org/ZDB-GENE-990415-216")</f>
        <v>https://zfin.org/ZDB-GENE-990415-216</v>
      </c>
      <c r="J3284" t="s">
        <v>3586</v>
      </c>
    </row>
    <row r="3285" spans="1:10" x14ac:dyDescent="0.2">
      <c r="A3285">
        <v>3.9287229871388801E-8</v>
      </c>
      <c r="B3285">
        <v>0.27020233693821799</v>
      </c>
      <c r="C3285">
        <v>0.439</v>
      </c>
      <c r="D3285">
        <v>0.22500000000000001</v>
      </c>
      <c r="E3285">
        <v>5.4601392075256103E-4</v>
      </c>
      <c r="F3285">
        <v>5</v>
      </c>
      <c r="G3285" t="s">
        <v>3859</v>
      </c>
      <c r="H3285" t="s">
        <v>3860</v>
      </c>
      <c r="I3285" t="str">
        <f>HYPERLINK("https://zfin.org/ZDB-GENE-050417-96")</f>
        <v>https://zfin.org/ZDB-GENE-050417-96</v>
      </c>
      <c r="J3285" t="s">
        <v>3861</v>
      </c>
    </row>
    <row r="3286" spans="1:10" x14ac:dyDescent="0.2">
      <c r="A3286">
        <v>4.5293702636017902E-8</v>
      </c>
      <c r="B3286">
        <v>0.26236516784341302</v>
      </c>
      <c r="C3286">
        <v>0.33800000000000002</v>
      </c>
      <c r="D3286">
        <v>0.155</v>
      </c>
      <c r="E3286">
        <v>6.2949187923537595E-4</v>
      </c>
      <c r="F3286">
        <v>5</v>
      </c>
      <c r="G3286" t="s">
        <v>3339</v>
      </c>
      <c r="H3286" t="s">
        <v>3340</v>
      </c>
      <c r="I3286" t="str">
        <f>HYPERLINK("https://zfin.org/ZDB-GENE-060825-144")</f>
        <v>https://zfin.org/ZDB-GENE-060825-144</v>
      </c>
      <c r="J3286" t="s">
        <v>3341</v>
      </c>
    </row>
    <row r="3287" spans="1:10" x14ac:dyDescent="0.2">
      <c r="A3287">
        <v>5.4480414220678402E-8</v>
      </c>
      <c r="B3287">
        <v>-0.63544767379679201</v>
      </c>
      <c r="C3287">
        <v>7.3999999999999996E-2</v>
      </c>
      <c r="D3287">
        <v>0.26900000000000002</v>
      </c>
      <c r="E3287">
        <v>7.5716879683898803E-4</v>
      </c>
      <c r="F3287">
        <v>5</v>
      </c>
      <c r="G3287" t="s">
        <v>6343</v>
      </c>
      <c r="H3287" t="s">
        <v>6344</v>
      </c>
      <c r="I3287" t="str">
        <f>HYPERLINK("https://zfin.org/ZDB-GENE-060929-780")</f>
        <v>https://zfin.org/ZDB-GENE-060929-780</v>
      </c>
      <c r="J3287" t="s">
        <v>6345</v>
      </c>
    </row>
    <row r="3288" spans="1:10" x14ac:dyDescent="0.2">
      <c r="A3288">
        <v>5.4955175836350999E-8</v>
      </c>
      <c r="B3288">
        <v>0.25967324628959598</v>
      </c>
      <c r="C3288">
        <v>0.54700000000000004</v>
      </c>
      <c r="D3288">
        <v>0.30199999999999999</v>
      </c>
      <c r="E3288">
        <v>7.6376703377360603E-4</v>
      </c>
      <c r="F3288">
        <v>5</v>
      </c>
      <c r="G3288" t="s">
        <v>5102</v>
      </c>
      <c r="H3288" t="s">
        <v>5103</v>
      </c>
      <c r="I3288" t="str">
        <f>HYPERLINK("https://zfin.org/ZDB-GENE-040927-8")</f>
        <v>https://zfin.org/ZDB-GENE-040927-8</v>
      </c>
      <c r="J3288" t="s">
        <v>5104</v>
      </c>
    </row>
    <row r="3289" spans="1:10" x14ac:dyDescent="0.2">
      <c r="A3289">
        <v>5.5059438607121E-8</v>
      </c>
      <c r="B3289">
        <v>-0.73573195062741703</v>
      </c>
      <c r="C3289">
        <v>0.30399999999999999</v>
      </c>
      <c r="D3289">
        <v>0.46</v>
      </c>
      <c r="E3289">
        <v>7.6521607776176804E-4</v>
      </c>
      <c r="F3289">
        <v>5</v>
      </c>
      <c r="G3289" t="s">
        <v>2466</v>
      </c>
      <c r="H3289" t="s">
        <v>2467</v>
      </c>
      <c r="I3289" t="str">
        <f>HYPERLINK("https://zfin.org/ZDB-GENE-010412-1")</f>
        <v>https://zfin.org/ZDB-GENE-010412-1</v>
      </c>
      <c r="J3289" t="s">
        <v>2468</v>
      </c>
    </row>
    <row r="3290" spans="1:10" x14ac:dyDescent="0.2">
      <c r="A3290">
        <v>5.6096510914396199E-8</v>
      </c>
      <c r="B3290">
        <v>0.28377284541249798</v>
      </c>
      <c r="C3290">
        <v>0.51400000000000001</v>
      </c>
      <c r="D3290">
        <v>0.27700000000000002</v>
      </c>
      <c r="E3290">
        <v>7.7962930868827904E-4</v>
      </c>
      <c r="F3290">
        <v>5</v>
      </c>
      <c r="G3290" t="s">
        <v>4842</v>
      </c>
      <c r="H3290" t="s">
        <v>4843</v>
      </c>
      <c r="I3290" t="str">
        <f>HYPERLINK("https://zfin.org/ZDB-GENE-040718-451")</f>
        <v>https://zfin.org/ZDB-GENE-040718-451</v>
      </c>
      <c r="J3290" t="s">
        <v>4844</v>
      </c>
    </row>
    <row r="3291" spans="1:10" x14ac:dyDescent="0.2">
      <c r="A3291">
        <v>5.7876024164356099E-8</v>
      </c>
      <c r="B3291">
        <v>0.263202542355083</v>
      </c>
      <c r="C3291">
        <v>0.28399999999999997</v>
      </c>
      <c r="D3291">
        <v>0.122</v>
      </c>
      <c r="E3291">
        <v>8.0436098383622099E-4</v>
      </c>
      <c r="F3291">
        <v>5</v>
      </c>
      <c r="G3291" t="s">
        <v>4208</v>
      </c>
      <c r="H3291" t="s">
        <v>4209</v>
      </c>
      <c r="I3291" t="str">
        <f>HYPERLINK("https://zfin.org/ZDB-GENE-040426-905")</f>
        <v>https://zfin.org/ZDB-GENE-040426-905</v>
      </c>
      <c r="J3291" t="s">
        <v>4210</v>
      </c>
    </row>
    <row r="3292" spans="1:10" x14ac:dyDescent="0.2">
      <c r="A3292">
        <v>6.1137577725981406E-8</v>
      </c>
      <c r="B3292">
        <v>0.51674452671327598</v>
      </c>
      <c r="C3292">
        <v>0.96599999999999997</v>
      </c>
      <c r="D3292">
        <v>0.82499999999999996</v>
      </c>
      <c r="E3292">
        <v>8.4969005523568902E-4</v>
      </c>
      <c r="F3292">
        <v>5</v>
      </c>
      <c r="G3292" t="s">
        <v>4420</v>
      </c>
      <c r="H3292" t="s">
        <v>4421</v>
      </c>
      <c r="I3292" t="str">
        <f>HYPERLINK("https://zfin.org/ZDB-GENE-050417-65")</f>
        <v>https://zfin.org/ZDB-GENE-050417-65</v>
      </c>
      <c r="J3292" t="s">
        <v>4422</v>
      </c>
    </row>
    <row r="3293" spans="1:10" x14ac:dyDescent="0.2">
      <c r="A3293">
        <v>6.8881858027993998E-8</v>
      </c>
      <c r="B3293">
        <v>-0.63912456582764698</v>
      </c>
      <c r="C3293">
        <v>0.41199999999999998</v>
      </c>
      <c r="D3293">
        <v>0.53100000000000003</v>
      </c>
      <c r="E3293">
        <v>9.5732006287306104E-4</v>
      </c>
      <c r="F3293">
        <v>5</v>
      </c>
      <c r="G3293" t="s">
        <v>6346</v>
      </c>
      <c r="H3293" t="s">
        <v>6347</v>
      </c>
      <c r="I3293" t="str">
        <f>HYPERLINK("https://zfin.org/ZDB-GENE-001127-3")</f>
        <v>https://zfin.org/ZDB-GENE-001127-3</v>
      </c>
      <c r="J3293" t="s">
        <v>6348</v>
      </c>
    </row>
    <row r="3294" spans="1:10" x14ac:dyDescent="0.2">
      <c r="A3294">
        <v>7.0949981000176005E-8</v>
      </c>
      <c r="B3294">
        <v>0.33033082062220498</v>
      </c>
      <c r="C3294">
        <v>0.49299999999999999</v>
      </c>
      <c r="D3294">
        <v>0.27</v>
      </c>
      <c r="E3294">
        <v>9.8606283594044708E-4</v>
      </c>
      <c r="F3294">
        <v>5</v>
      </c>
      <c r="G3294" t="s">
        <v>3318</v>
      </c>
      <c r="H3294" t="s">
        <v>3319</v>
      </c>
      <c r="I3294" t="str">
        <f>HYPERLINK("https://zfin.org/ZDB-GENE-070410-56")</f>
        <v>https://zfin.org/ZDB-GENE-070410-56</v>
      </c>
      <c r="J3294" t="s">
        <v>3320</v>
      </c>
    </row>
    <row r="3295" spans="1:10" x14ac:dyDescent="0.2">
      <c r="A3295">
        <v>4.0486852592051901E-123</v>
      </c>
      <c r="B3295">
        <v>1.92947321578122</v>
      </c>
      <c r="C3295">
        <v>0.96399999999999997</v>
      </c>
      <c r="D3295">
        <v>0.35799999999999998</v>
      </c>
      <c r="E3295">
        <v>5.6268627732433802E-119</v>
      </c>
      <c r="F3295">
        <v>6</v>
      </c>
      <c r="G3295" t="s">
        <v>6349</v>
      </c>
      <c r="H3295" t="s">
        <v>6350</v>
      </c>
      <c r="I3295" t="str">
        <f>HYPERLINK("https://zfin.org/ZDB-GENE-031222-4")</f>
        <v>https://zfin.org/ZDB-GENE-031222-4</v>
      </c>
      <c r="J3295" t="s">
        <v>6351</v>
      </c>
    </row>
    <row r="3296" spans="1:10" x14ac:dyDescent="0.2">
      <c r="A3296">
        <v>9.4731498945656896E-113</v>
      </c>
      <c r="B3296">
        <v>1.43341813868468</v>
      </c>
      <c r="C3296">
        <v>0.82599999999999996</v>
      </c>
      <c r="D3296">
        <v>0.20699999999999999</v>
      </c>
      <c r="E3296">
        <v>1.31657837234674E-108</v>
      </c>
      <c r="F3296">
        <v>6</v>
      </c>
      <c r="G3296" t="s">
        <v>2616</v>
      </c>
      <c r="H3296" t="s">
        <v>2617</v>
      </c>
      <c r="I3296" t="str">
        <f>HYPERLINK("https://zfin.org/ZDB-GENE-030131-9126")</f>
        <v>https://zfin.org/ZDB-GENE-030131-9126</v>
      </c>
      <c r="J3296" t="s">
        <v>2618</v>
      </c>
    </row>
    <row r="3297" spans="1:10" x14ac:dyDescent="0.2">
      <c r="A3297">
        <v>1.1655353771783301E-106</v>
      </c>
      <c r="B3297">
        <v>1.49792636306461</v>
      </c>
      <c r="C3297">
        <v>0.88800000000000001</v>
      </c>
      <c r="D3297">
        <v>0.28199999999999997</v>
      </c>
      <c r="E3297">
        <v>1.6198610672024399E-102</v>
      </c>
      <c r="F3297">
        <v>6</v>
      </c>
      <c r="G3297" t="s">
        <v>6352</v>
      </c>
      <c r="H3297" t="s">
        <v>6353</v>
      </c>
      <c r="I3297" t="str">
        <f>HYPERLINK("https://zfin.org/ZDB-GENE-040426-2172")</f>
        <v>https://zfin.org/ZDB-GENE-040426-2172</v>
      </c>
      <c r="J3297" t="s">
        <v>6354</v>
      </c>
    </row>
    <row r="3298" spans="1:10" x14ac:dyDescent="0.2">
      <c r="A3298">
        <v>2.8664642744108802E-102</v>
      </c>
      <c r="B3298">
        <v>1.4775230034682301</v>
      </c>
      <c r="C3298">
        <v>0.78600000000000003</v>
      </c>
      <c r="D3298">
        <v>0.21199999999999999</v>
      </c>
      <c r="E3298">
        <v>3.9838120485762503E-98</v>
      </c>
      <c r="F3298">
        <v>6</v>
      </c>
      <c r="G3298" t="s">
        <v>6355</v>
      </c>
      <c r="H3298" t="s">
        <v>6356</v>
      </c>
      <c r="I3298" t="str">
        <f>HYPERLINK("https://zfin.org/ZDB-GENE-040426-2666")</f>
        <v>https://zfin.org/ZDB-GENE-040426-2666</v>
      </c>
      <c r="J3298" t="s">
        <v>6357</v>
      </c>
    </row>
    <row r="3299" spans="1:10" x14ac:dyDescent="0.2">
      <c r="A3299">
        <v>4.3772059431051097E-74</v>
      </c>
      <c r="B3299">
        <v>1.2171844272736201</v>
      </c>
      <c r="C3299">
        <v>0.72799999999999998</v>
      </c>
      <c r="D3299">
        <v>0.23</v>
      </c>
      <c r="E3299">
        <v>6.0834408197274801E-70</v>
      </c>
      <c r="F3299">
        <v>6</v>
      </c>
      <c r="G3299" t="s">
        <v>6358</v>
      </c>
      <c r="H3299" t="s">
        <v>6359</v>
      </c>
      <c r="I3299" t="str">
        <f>HYPERLINK("https://zfin.org/ZDB-GENE-000210-15")</f>
        <v>https://zfin.org/ZDB-GENE-000210-15</v>
      </c>
      <c r="J3299" t="s">
        <v>6360</v>
      </c>
    </row>
    <row r="3300" spans="1:10" x14ac:dyDescent="0.2">
      <c r="A3300">
        <v>7.1147827612479005E-67</v>
      </c>
      <c r="B3300">
        <v>1.34590808982919</v>
      </c>
      <c r="C3300">
        <v>0.96</v>
      </c>
      <c r="D3300">
        <v>0.73399999999999999</v>
      </c>
      <c r="E3300">
        <v>9.8881250815823396E-63</v>
      </c>
      <c r="F3300">
        <v>6</v>
      </c>
      <c r="G3300" t="s">
        <v>1701</v>
      </c>
      <c r="H3300" t="s">
        <v>1702</v>
      </c>
      <c r="I3300" t="str">
        <f>HYPERLINK("https://zfin.org/ZDB-GENE-111109-2")</f>
        <v>https://zfin.org/ZDB-GENE-111109-2</v>
      </c>
      <c r="J3300" t="s">
        <v>1703</v>
      </c>
    </row>
    <row r="3301" spans="1:10" x14ac:dyDescent="0.2">
      <c r="A3301">
        <v>4.4737480593063799E-66</v>
      </c>
      <c r="B3301">
        <v>1.2325870994674999</v>
      </c>
      <c r="C3301">
        <v>0.99099999999999999</v>
      </c>
      <c r="D3301">
        <v>0.88300000000000001</v>
      </c>
      <c r="E3301">
        <v>6.2176150528240099E-62</v>
      </c>
      <c r="F3301">
        <v>6</v>
      </c>
      <c r="G3301" t="s">
        <v>2259</v>
      </c>
      <c r="H3301" t="s">
        <v>2260</v>
      </c>
      <c r="I3301" t="str">
        <f>HYPERLINK("https://zfin.org/ZDB-GENE-121214-193")</f>
        <v>https://zfin.org/ZDB-GENE-121214-193</v>
      </c>
      <c r="J3301" t="s">
        <v>2261</v>
      </c>
    </row>
    <row r="3302" spans="1:10" x14ac:dyDescent="0.2">
      <c r="A3302">
        <v>1.67388070356721E-65</v>
      </c>
      <c r="B3302">
        <v>0.74058649631502504</v>
      </c>
      <c r="C3302">
        <v>1</v>
      </c>
      <c r="D3302">
        <v>1</v>
      </c>
      <c r="E3302">
        <v>2.32635940181771E-61</v>
      </c>
      <c r="F3302">
        <v>6</v>
      </c>
      <c r="G3302" t="s">
        <v>1023</v>
      </c>
      <c r="H3302" t="s">
        <v>1024</v>
      </c>
      <c r="I3302" t="str">
        <f>HYPERLINK("https://zfin.org/ZDB-GENE-130603-61")</f>
        <v>https://zfin.org/ZDB-GENE-130603-61</v>
      </c>
      <c r="J3302" t="s">
        <v>1025</v>
      </c>
    </row>
    <row r="3303" spans="1:10" x14ac:dyDescent="0.2">
      <c r="A3303">
        <v>5.65176305780025E-64</v>
      </c>
      <c r="B3303">
        <v>1.49125627689296</v>
      </c>
      <c r="C3303">
        <v>0.61599999999999999</v>
      </c>
      <c r="D3303">
        <v>0.17799999999999999</v>
      </c>
      <c r="E3303">
        <v>7.8548202977307895E-60</v>
      </c>
      <c r="F3303">
        <v>6</v>
      </c>
      <c r="G3303" t="s">
        <v>3047</v>
      </c>
      <c r="H3303" t="s">
        <v>3048</v>
      </c>
      <c r="I3303" t="str">
        <f>HYPERLINK("https://zfin.org/ZDB-GENE-030131-688")</f>
        <v>https://zfin.org/ZDB-GENE-030131-688</v>
      </c>
      <c r="J3303" t="s">
        <v>3049</v>
      </c>
    </row>
    <row r="3304" spans="1:10" x14ac:dyDescent="0.2">
      <c r="A3304">
        <v>4.8133963726334303E-61</v>
      </c>
      <c r="B3304">
        <v>1.3890003661464301</v>
      </c>
      <c r="C3304">
        <v>0.97799999999999998</v>
      </c>
      <c r="D3304">
        <v>0.83699999999999997</v>
      </c>
      <c r="E3304">
        <v>6.68965827868594E-57</v>
      </c>
      <c r="F3304">
        <v>6</v>
      </c>
      <c r="G3304" t="s">
        <v>1967</v>
      </c>
      <c r="H3304" t="s">
        <v>1968</v>
      </c>
      <c r="I3304" t="str">
        <f>HYPERLINK("https://zfin.org/ZDB-GENE-070705-532")</f>
        <v>https://zfin.org/ZDB-GENE-070705-532</v>
      </c>
      <c r="J3304" t="s">
        <v>1969</v>
      </c>
    </row>
    <row r="3305" spans="1:10" x14ac:dyDescent="0.2">
      <c r="A3305">
        <v>3.03016795714482E-59</v>
      </c>
      <c r="B3305">
        <v>1.2413352136103399</v>
      </c>
      <c r="C3305">
        <v>0.84799999999999998</v>
      </c>
      <c r="D3305">
        <v>0.432</v>
      </c>
      <c r="E3305">
        <v>4.2113274268398703E-55</v>
      </c>
      <c r="F3305">
        <v>6</v>
      </c>
      <c r="G3305" t="s">
        <v>6361</v>
      </c>
      <c r="H3305" t="s">
        <v>6362</v>
      </c>
      <c r="I3305" t="str">
        <f>HYPERLINK("https://zfin.org/ZDB-GENE-030131-7859")</f>
        <v>https://zfin.org/ZDB-GENE-030131-7859</v>
      </c>
      <c r="J3305" t="s">
        <v>6363</v>
      </c>
    </row>
    <row r="3306" spans="1:10" x14ac:dyDescent="0.2">
      <c r="A3306">
        <v>6.6191290895078804E-57</v>
      </c>
      <c r="B3306">
        <v>1.00600095900421</v>
      </c>
      <c r="C3306">
        <v>0.69199999999999995</v>
      </c>
      <c r="D3306">
        <v>0.23200000000000001</v>
      </c>
      <c r="E3306">
        <v>9.19926560859805E-53</v>
      </c>
      <c r="F3306">
        <v>6</v>
      </c>
      <c r="G3306" t="s">
        <v>2763</v>
      </c>
      <c r="H3306" t="s">
        <v>2764</v>
      </c>
      <c r="I3306" t="str">
        <f>HYPERLINK("https://zfin.org/")</f>
        <v>https://zfin.org/</v>
      </c>
    </row>
    <row r="3307" spans="1:10" x14ac:dyDescent="0.2">
      <c r="A3307">
        <v>7.6222599796328304E-57</v>
      </c>
      <c r="B3307">
        <v>0.85014940021334695</v>
      </c>
      <c r="C3307">
        <v>0.19600000000000001</v>
      </c>
      <c r="D3307">
        <v>1.4999999999999999E-2</v>
      </c>
      <c r="E3307">
        <v>1.0593416919693699E-52</v>
      </c>
      <c r="F3307">
        <v>6</v>
      </c>
      <c r="G3307" t="s">
        <v>6364</v>
      </c>
      <c r="H3307" t="s">
        <v>6365</v>
      </c>
      <c r="I3307" t="str">
        <f>HYPERLINK("https://zfin.org/ZDB-GENE-040801-188")</f>
        <v>https://zfin.org/ZDB-GENE-040801-188</v>
      </c>
      <c r="J3307" t="s">
        <v>6366</v>
      </c>
    </row>
    <row r="3308" spans="1:10" x14ac:dyDescent="0.2">
      <c r="A3308">
        <v>6.7488330852867603E-56</v>
      </c>
      <c r="B3308">
        <v>0.99657610469720104</v>
      </c>
      <c r="C3308">
        <v>0.90600000000000003</v>
      </c>
      <c r="D3308">
        <v>0.63200000000000001</v>
      </c>
      <c r="E3308">
        <v>9.3795282219315404E-52</v>
      </c>
      <c r="F3308">
        <v>6</v>
      </c>
      <c r="G3308" t="s">
        <v>6367</v>
      </c>
      <c r="H3308" t="s">
        <v>6368</v>
      </c>
      <c r="I3308" t="str">
        <f>HYPERLINK("https://zfin.org/ZDB-GENE-000511-7")</f>
        <v>https://zfin.org/ZDB-GENE-000511-7</v>
      </c>
      <c r="J3308" t="s">
        <v>6369</v>
      </c>
    </row>
    <row r="3309" spans="1:10" x14ac:dyDescent="0.2">
      <c r="A3309">
        <v>1.9853472589102599E-54</v>
      </c>
      <c r="B3309">
        <v>0.73980995106167102</v>
      </c>
      <c r="C3309">
        <v>0.98699999999999999</v>
      </c>
      <c r="D3309">
        <v>0.91400000000000003</v>
      </c>
      <c r="E3309">
        <v>2.75923562043348E-50</v>
      </c>
      <c r="F3309">
        <v>6</v>
      </c>
      <c r="G3309" t="s">
        <v>1167</v>
      </c>
      <c r="H3309" t="s">
        <v>1168</v>
      </c>
      <c r="I3309" t="str">
        <f>HYPERLINK("https://zfin.org/ZDB-GENE-061201-9")</f>
        <v>https://zfin.org/ZDB-GENE-061201-9</v>
      </c>
      <c r="J3309" t="s">
        <v>1169</v>
      </c>
    </row>
    <row r="3310" spans="1:10" x14ac:dyDescent="0.2">
      <c r="A3310">
        <v>5.4798778120892003E-51</v>
      </c>
      <c r="B3310">
        <v>1.10456693798947</v>
      </c>
      <c r="C3310">
        <v>0.66500000000000004</v>
      </c>
      <c r="D3310">
        <v>0.251</v>
      </c>
      <c r="E3310">
        <v>7.6159341832415804E-47</v>
      </c>
      <c r="F3310">
        <v>6</v>
      </c>
      <c r="G3310" t="s">
        <v>2783</v>
      </c>
      <c r="H3310" t="s">
        <v>2784</v>
      </c>
      <c r="I3310" t="str">
        <f>HYPERLINK("https://zfin.org/ZDB-GENE-070720-11")</f>
        <v>https://zfin.org/ZDB-GENE-070720-11</v>
      </c>
      <c r="J3310" t="s">
        <v>2785</v>
      </c>
    </row>
    <row r="3311" spans="1:10" x14ac:dyDescent="0.2">
      <c r="A3311">
        <v>1.2783644296019201E-47</v>
      </c>
      <c r="B3311">
        <v>0.53175054702403102</v>
      </c>
      <c r="C3311">
        <v>0.192</v>
      </c>
      <c r="D3311">
        <v>1.7999999999999999E-2</v>
      </c>
      <c r="E3311">
        <v>1.77667088426074E-43</v>
      </c>
      <c r="F3311">
        <v>6</v>
      </c>
      <c r="G3311" t="s">
        <v>6370</v>
      </c>
      <c r="H3311" t="s">
        <v>6371</v>
      </c>
      <c r="I3311" t="str">
        <f>HYPERLINK("https://zfin.org/ZDB-GENE-061207-7")</f>
        <v>https://zfin.org/ZDB-GENE-061207-7</v>
      </c>
      <c r="J3311" t="s">
        <v>6372</v>
      </c>
    </row>
    <row r="3312" spans="1:10" x14ac:dyDescent="0.2">
      <c r="A3312">
        <v>5.8742802188653104E-47</v>
      </c>
      <c r="B3312">
        <v>1.3727371297186699</v>
      </c>
      <c r="C3312">
        <v>0.58899999999999997</v>
      </c>
      <c r="D3312">
        <v>0.215</v>
      </c>
      <c r="E3312">
        <v>8.1640746481790102E-43</v>
      </c>
      <c r="F3312">
        <v>6</v>
      </c>
      <c r="G3312" t="s">
        <v>6373</v>
      </c>
      <c r="H3312" t="s">
        <v>6374</v>
      </c>
      <c r="I3312" t="str">
        <f>HYPERLINK("https://zfin.org/ZDB-GENE-160728-105")</f>
        <v>https://zfin.org/ZDB-GENE-160728-105</v>
      </c>
      <c r="J3312" t="s">
        <v>6375</v>
      </c>
    </row>
    <row r="3313" spans="1:10" x14ac:dyDescent="0.2">
      <c r="A3313">
        <v>8.4885678535593599E-44</v>
      </c>
      <c r="B3313">
        <v>0.83155098481499601</v>
      </c>
      <c r="C3313">
        <v>0.41099999999999998</v>
      </c>
      <c r="D3313">
        <v>0.10100000000000001</v>
      </c>
      <c r="E3313">
        <v>1.17974116028768E-39</v>
      </c>
      <c r="F3313">
        <v>6</v>
      </c>
      <c r="G3313" t="s">
        <v>6376</v>
      </c>
      <c r="H3313" t="s">
        <v>6377</v>
      </c>
      <c r="I3313" t="str">
        <f>HYPERLINK("https://zfin.org/ZDB-GENE-061013-174")</f>
        <v>https://zfin.org/ZDB-GENE-061013-174</v>
      </c>
      <c r="J3313" t="s">
        <v>6378</v>
      </c>
    </row>
    <row r="3314" spans="1:10" x14ac:dyDescent="0.2">
      <c r="A3314">
        <v>8.1174228827833501E-42</v>
      </c>
      <c r="B3314">
        <v>0.71401388547518396</v>
      </c>
      <c r="C3314">
        <v>0.95499999999999996</v>
      </c>
      <c r="D3314">
        <v>0.82799999999999996</v>
      </c>
      <c r="E3314">
        <v>1.1281594322492301E-37</v>
      </c>
      <c r="F3314">
        <v>6</v>
      </c>
      <c r="G3314" t="s">
        <v>1275</v>
      </c>
      <c r="H3314" t="s">
        <v>1276</v>
      </c>
      <c r="I3314" t="str">
        <f>HYPERLINK("https://zfin.org/ZDB-GENE-050522-73")</f>
        <v>https://zfin.org/ZDB-GENE-050522-73</v>
      </c>
      <c r="J3314" t="s">
        <v>1277</v>
      </c>
    </row>
    <row r="3315" spans="1:10" x14ac:dyDescent="0.2">
      <c r="A3315">
        <v>8.5173978447785098E-41</v>
      </c>
      <c r="B3315">
        <v>0.94249369238564595</v>
      </c>
      <c r="C3315">
        <v>0.55800000000000005</v>
      </c>
      <c r="D3315">
        <v>0.20100000000000001</v>
      </c>
      <c r="E3315">
        <v>1.18374795246732E-36</v>
      </c>
      <c r="F3315">
        <v>6</v>
      </c>
      <c r="G3315" t="s">
        <v>2981</v>
      </c>
      <c r="H3315" t="s">
        <v>2982</v>
      </c>
      <c r="I3315" t="str">
        <f>HYPERLINK("https://zfin.org/ZDB-GENE-131121-141")</f>
        <v>https://zfin.org/ZDB-GENE-131121-141</v>
      </c>
      <c r="J3315" t="s">
        <v>2983</v>
      </c>
    </row>
    <row r="3316" spans="1:10" x14ac:dyDescent="0.2">
      <c r="A3316">
        <v>1.0396647225686699E-40</v>
      </c>
      <c r="B3316">
        <v>0.82423538433242804</v>
      </c>
      <c r="C3316">
        <v>0.74099999999999999</v>
      </c>
      <c r="D3316">
        <v>0.33400000000000002</v>
      </c>
      <c r="E3316">
        <v>1.44492603142594E-36</v>
      </c>
      <c r="F3316">
        <v>6</v>
      </c>
      <c r="G3316" t="s">
        <v>3360</v>
      </c>
      <c r="H3316" t="s">
        <v>3361</v>
      </c>
      <c r="I3316" t="str">
        <f>HYPERLINK("https://zfin.org/ZDB-GENE-030411-6")</f>
        <v>https://zfin.org/ZDB-GENE-030411-6</v>
      </c>
      <c r="J3316" t="s">
        <v>3362</v>
      </c>
    </row>
    <row r="3317" spans="1:10" x14ac:dyDescent="0.2">
      <c r="A3317">
        <v>1.8540517131308102E-40</v>
      </c>
      <c r="B3317">
        <v>0.66997001818454605</v>
      </c>
      <c r="C3317">
        <v>1</v>
      </c>
      <c r="D3317">
        <v>0.93700000000000006</v>
      </c>
      <c r="E3317">
        <v>2.5767610709092E-36</v>
      </c>
      <c r="F3317">
        <v>6</v>
      </c>
      <c r="G3317" t="s">
        <v>1221</v>
      </c>
      <c r="H3317" t="s">
        <v>1222</v>
      </c>
      <c r="I3317" t="str">
        <f>HYPERLINK("https://zfin.org/ZDB-GENE-040426-1508")</f>
        <v>https://zfin.org/ZDB-GENE-040426-1508</v>
      </c>
      <c r="J3317" t="s">
        <v>1223</v>
      </c>
    </row>
    <row r="3318" spans="1:10" x14ac:dyDescent="0.2">
      <c r="A3318">
        <v>6.4782289405433E-40</v>
      </c>
      <c r="B3318">
        <v>0.85076538324039097</v>
      </c>
      <c r="C3318">
        <v>0.27700000000000002</v>
      </c>
      <c r="D3318">
        <v>5.0999999999999997E-2</v>
      </c>
      <c r="E3318">
        <v>9.0034425815670798E-36</v>
      </c>
      <c r="F3318">
        <v>6</v>
      </c>
      <c r="G3318" t="s">
        <v>6379</v>
      </c>
      <c r="H3318" t="s">
        <v>6380</v>
      </c>
      <c r="I3318" t="str">
        <f>HYPERLINK("https://zfin.org/ZDB-GENE-040718-197")</f>
        <v>https://zfin.org/ZDB-GENE-040718-197</v>
      </c>
      <c r="J3318" t="s">
        <v>6381</v>
      </c>
    </row>
    <row r="3319" spans="1:10" x14ac:dyDescent="0.2">
      <c r="A3319">
        <v>7.8588523636428197E-39</v>
      </c>
      <c r="B3319">
        <v>0.77854797290139099</v>
      </c>
      <c r="C3319">
        <v>0.83</v>
      </c>
      <c r="D3319">
        <v>0.46500000000000002</v>
      </c>
      <c r="E3319">
        <v>1.0922233014990801E-34</v>
      </c>
      <c r="F3319">
        <v>6</v>
      </c>
      <c r="G3319" t="s">
        <v>2262</v>
      </c>
      <c r="H3319" t="s">
        <v>2263</v>
      </c>
      <c r="I3319" t="str">
        <f>HYPERLINK("https://zfin.org/ZDB-GENE-030131-2159")</f>
        <v>https://zfin.org/ZDB-GENE-030131-2159</v>
      </c>
      <c r="J3319" t="s">
        <v>2264</v>
      </c>
    </row>
    <row r="3320" spans="1:10" x14ac:dyDescent="0.2">
      <c r="A3320">
        <v>2.40759847964485E-36</v>
      </c>
      <c r="B3320">
        <v>0.44517273215644998</v>
      </c>
      <c r="C3320">
        <v>0.996</v>
      </c>
      <c r="D3320">
        <v>0.96299999999999997</v>
      </c>
      <c r="E3320">
        <v>3.3460803670104097E-32</v>
      </c>
      <c r="F3320">
        <v>6</v>
      </c>
      <c r="G3320" t="s">
        <v>1125</v>
      </c>
      <c r="H3320" t="s">
        <v>1126</v>
      </c>
      <c r="I3320" t="str">
        <f>HYPERLINK("https://zfin.org/ZDB-GENE-040718-72")</f>
        <v>https://zfin.org/ZDB-GENE-040718-72</v>
      </c>
      <c r="J3320" t="s">
        <v>1127</v>
      </c>
    </row>
    <row r="3321" spans="1:10" x14ac:dyDescent="0.2">
      <c r="A3321">
        <v>9.7367711205644798E-35</v>
      </c>
      <c r="B3321">
        <v>0.847400365468303</v>
      </c>
      <c r="C3321">
        <v>0.54</v>
      </c>
      <c r="D3321">
        <v>0.20699999999999999</v>
      </c>
      <c r="E3321">
        <v>1.35321645033605E-30</v>
      </c>
      <c r="F3321">
        <v>6</v>
      </c>
      <c r="G3321" t="s">
        <v>6382</v>
      </c>
      <c r="H3321" t="s">
        <v>6383</v>
      </c>
      <c r="I3321" t="str">
        <f>HYPERLINK("https://zfin.org/ZDB-GENE-040426-1971")</f>
        <v>https://zfin.org/ZDB-GENE-040426-1971</v>
      </c>
      <c r="J3321" t="s">
        <v>6384</v>
      </c>
    </row>
    <row r="3322" spans="1:10" x14ac:dyDescent="0.2">
      <c r="A3322">
        <v>1.0620597912225299E-34</v>
      </c>
      <c r="B3322">
        <v>0.74737364975640497</v>
      </c>
      <c r="C3322">
        <v>0.504</v>
      </c>
      <c r="D3322">
        <v>0.17699999999999999</v>
      </c>
      <c r="E3322">
        <v>1.4760506978410699E-30</v>
      </c>
      <c r="F3322">
        <v>6</v>
      </c>
      <c r="G3322" t="s">
        <v>2792</v>
      </c>
      <c r="H3322" t="s">
        <v>2793</v>
      </c>
      <c r="I3322" t="str">
        <f>HYPERLINK("https://zfin.org/ZDB-GENE-030131-9149")</f>
        <v>https://zfin.org/ZDB-GENE-030131-9149</v>
      </c>
      <c r="J3322" t="s">
        <v>2794</v>
      </c>
    </row>
    <row r="3323" spans="1:10" x14ac:dyDescent="0.2">
      <c r="A3323">
        <v>1.2369803233703E-33</v>
      </c>
      <c r="B3323">
        <v>0.60094059848936299</v>
      </c>
      <c r="C3323">
        <v>0.27200000000000002</v>
      </c>
      <c r="D3323">
        <v>5.7000000000000002E-2</v>
      </c>
      <c r="E3323">
        <v>1.7191552534200499E-29</v>
      </c>
      <c r="F3323">
        <v>6</v>
      </c>
      <c r="G3323" t="s">
        <v>6385</v>
      </c>
      <c r="H3323" t="s">
        <v>6386</v>
      </c>
      <c r="I3323" t="str">
        <f>HYPERLINK("https://zfin.org/ZDB-GENE-050417-409")</f>
        <v>https://zfin.org/ZDB-GENE-050417-409</v>
      </c>
      <c r="J3323" t="s">
        <v>6387</v>
      </c>
    </row>
    <row r="3324" spans="1:10" x14ac:dyDescent="0.2">
      <c r="A3324">
        <v>1.52981329740021E-32</v>
      </c>
      <c r="B3324">
        <v>0.72583560931551605</v>
      </c>
      <c r="C3324">
        <v>0.88800000000000001</v>
      </c>
      <c r="D3324">
        <v>0.65500000000000003</v>
      </c>
      <c r="E3324">
        <v>2.1261345207268102E-28</v>
      </c>
      <c r="F3324">
        <v>6</v>
      </c>
      <c r="G3324" t="s">
        <v>4701</v>
      </c>
      <c r="H3324" t="s">
        <v>4702</v>
      </c>
      <c r="I3324" t="str">
        <f>HYPERLINK("https://zfin.org/ZDB-GENE-030411-5")</f>
        <v>https://zfin.org/ZDB-GENE-030411-5</v>
      </c>
      <c r="J3324" t="s">
        <v>4703</v>
      </c>
    </row>
    <row r="3325" spans="1:10" x14ac:dyDescent="0.2">
      <c r="A3325">
        <v>2.07692975290171E-32</v>
      </c>
      <c r="B3325">
        <v>0.88993744873043901</v>
      </c>
      <c r="C3325">
        <v>0.5</v>
      </c>
      <c r="D3325">
        <v>0.191</v>
      </c>
      <c r="E3325">
        <v>2.8865169705828001E-28</v>
      </c>
      <c r="F3325">
        <v>6</v>
      </c>
      <c r="G3325" t="s">
        <v>6388</v>
      </c>
      <c r="H3325" t="s">
        <v>6389</v>
      </c>
      <c r="I3325" t="str">
        <f>HYPERLINK("https://zfin.org/ZDB-GENE-030131-6366")</f>
        <v>https://zfin.org/ZDB-GENE-030131-6366</v>
      </c>
      <c r="J3325" t="s">
        <v>6390</v>
      </c>
    </row>
    <row r="3326" spans="1:10" x14ac:dyDescent="0.2">
      <c r="A3326">
        <v>1.79936191861376E-31</v>
      </c>
      <c r="B3326">
        <v>0.97349374309010195</v>
      </c>
      <c r="C3326">
        <v>0.41499999999999998</v>
      </c>
      <c r="D3326">
        <v>0.13500000000000001</v>
      </c>
      <c r="E3326">
        <v>2.5007531944894002E-27</v>
      </c>
      <c r="F3326">
        <v>6</v>
      </c>
      <c r="G3326" t="s">
        <v>3029</v>
      </c>
      <c r="H3326" t="s">
        <v>3030</v>
      </c>
      <c r="I3326" t="str">
        <f>HYPERLINK("https://zfin.org/ZDB-GENE-040704-31")</f>
        <v>https://zfin.org/ZDB-GENE-040704-31</v>
      </c>
      <c r="J3326" t="s">
        <v>3031</v>
      </c>
    </row>
    <row r="3327" spans="1:10" x14ac:dyDescent="0.2">
      <c r="A3327">
        <v>8.2679579117490708E-31</v>
      </c>
      <c r="B3327">
        <v>0.52080210645499903</v>
      </c>
      <c r="C3327">
        <v>0.254</v>
      </c>
      <c r="D3327">
        <v>5.3999999999999999E-2</v>
      </c>
      <c r="E3327">
        <v>1.1490807905748901E-26</v>
      </c>
      <c r="F3327">
        <v>6</v>
      </c>
      <c r="G3327" t="s">
        <v>6391</v>
      </c>
      <c r="H3327" t="s">
        <v>6392</v>
      </c>
      <c r="I3327" t="str">
        <f>HYPERLINK("https://zfin.org/")</f>
        <v>https://zfin.org/</v>
      </c>
    </row>
    <row r="3328" spans="1:10" x14ac:dyDescent="0.2">
      <c r="A3328">
        <v>4.4933444757535401E-30</v>
      </c>
      <c r="B3328">
        <v>1.22608791832188</v>
      </c>
      <c r="C3328">
        <v>0.64700000000000002</v>
      </c>
      <c r="D3328">
        <v>0.36399999999999999</v>
      </c>
      <c r="E3328">
        <v>6.2448501524022597E-26</v>
      </c>
      <c r="F3328">
        <v>6</v>
      </c>
      <c r="G3328" t="s">
        <v>2748</v>
      </c>
      <c r="H3328" t="s">
        <v>2749</v>
      </c>
      <c r="I3328" t="str">
        <f>HYPERLINK("https://zfin.org/ZDB-GENE-040426-1430")</f>
        <v>https://zfin.org/ZDB-GENE-040426-1430</v>
      </c>
      <c r="J3328" t="s">
        <v>2750</v>
      </c>
    </row>
    <row r="3329" spans="1:10" x14ac:dyDescent="0.2">
      <c r="A3329">
        <v>4.7883856658496301E-29</v>
      </c>
      <c r="B3329">
        <v>0.71188577625014304</v>
      </c>
      <c r="C3329">
        <v>0.35299999999999998</v>
      </c>
      <c r="D3329">
        <v>0.104</v>
      </c>
      <c r="E3329">
        <v>6.6548983983978203E-25</v>
      </c>
      <c r="F3329">
        <v>6</v>
      </c>
      <c r="G3329" t="s">
        <v>6393</v>
      </c>
      <c r="H3329" t="s">
        <v>6394</v>
      </c>
      <c r="I3329" t="str">
        <f>HYPERLINK("https://zfin.org/ZDB-GENE-030131-4408")</f>
        <v>https://zfin.org/ZDB-GENE-030131-4408</v>
      </c>
      <c r="J3329" t="s">
        <v>6395</v>
      </c>
    </row>
    <row r="3330" spans="1:10" x14ac:dyDescent="0.2">
      <c r="A3330">
        <v>5.23857405887492E-29</v>
      </c>
      <c r="B3330">
        <v>-0.36242959453266299</v>
      </c>
      <c r="C3330">
        <v>1</v>
      </c>
      <c r="D3330">
        <v>1</v>
      </c>
      <c r="E3330">
        <v>7.2805702270243699E-25</v>
      </c>
      <c r="F3330">
        <v>6</v>
      </c>
      <c r="G3330" t="s">
        <v>1620</v>
      </c>
      <c r="H3330" t="s">
        <v>1621</v>
      </c>
      <c r="I3330" t="str">
        <f>HYPERLINK("https://zfin.org/ZDB-GENE-030131-7528")</f>
        <v>https://zfin.org/ZDB-GENE-030131-7528</v>
      </c>
      <c r="J3330" t="s">
        <v>1622</v>
      </c>
    </row>
    <row r="3331" spans="1:10" x14ac:dyDescent="0.2">
      <c r="A3331">
        <v>1.6334764399559001E-28</v>
      </c>
      <c r="B3331">
        <v>0.47231721224469198</v>
      </c>
      <c r="C3331">
        <v>0.183</v>
      </c>
      <c r="D3331">
        <v>3.1E-2</v>
      </c>
      <c r="E3331">
        <v>2.2702055562507098E-24</v>
      </c>
      <c r="F3331">
        <v>6</v>
      </c>
      <c r="G3331" t="s">
        <v>6396</v>
      </c>
      <c r="H3331" t="s">
        <v>6397</v>
      </c>
      <c r="I3331" t="str">
        <f>HYPERLINK("https://zfin.org/ZDB-GENE-060929-512")</f>
        <v>https://zfin.org/ZDB-GENE-060929-512</v>
      </c>
      <c r="J3331" t="s">
        <v>6398</v>
      </c>
    </row>
    <row r="3332" spans="1:10" x14ac:dyDescent="0.2">
      <c r="A3332">
        <v>6.0410614658320896E-28</v>
      </c>
      <c r="B3332">
        <v>0.75183803957760298</v>
      </c>
      <c r="C3332">
        <v>0.58499999999999996</v>
      </c>
      <c r="D3332">
        <v>0.26300000000000001</v>
      </c>
      <c r="E3332">
        <v>8.3958672252134304E-24</v>
      </c>
      <c r="F3332">
        <v>6</v>
      </c>
      <c r="G3332" t="s">
        <v>2751</v>
      </c>
      <c r="H3332" t="s">
        <v>2752</v>
      </c>
      <c r="I3332" t="str">
        <f>HYPERLINK("https://zfin.org/ZDB-GENE-980605-16")</f>
        <v>https://zfin.org/ZDB-GENE-980605-16</v>
      </c>
      <c r="J3332" t="s">
        <v>2753</v>
      </c>
    </row>
    <row r="3333" spans="1:10" x14ac:dyDescent="0.2">
      <c r="A3333">
        <v>3.7663274246534697E-27</v>
      </c>
      <c r="B3333">
        <v>0.465223870600248</v>
      </c>
      <c r="C3333">
        <v>0.98699999999999999</v>
      </c>
      <c r="D3333">
        <v>0.89300000000000002</v>
      </c>
      <c r="E3333">
        <v>5.2344418547834E-23</v>
      </c>
      <c r="F3333">
        <v>6</v>
      </c>
      <c r="G3333" t="s">
        <v>6399</v>
      </c>
      <c r="H3333" t="s">
        <v>6400</v>
      </c>
      <c r="I3333" t="str">
        <f>HYPERLINK("https://zfin.org/ZDB-GENE-061110-88")</f>
        <v>https://zfin.org/ZDB-GENE-061110-88</v>
      </c>
      <c r="J3333" t="s">
        <v>6401</v>
      </c>
    </row>
    <row r="3334" spans="1:10" x14ac:dyDescent="0.2">
      <c r="A3334">
        <v>6.3703096259756702E-27</v>
      </c>
      <c r="B3334">
        <v>0.85987138882972003</v>
      </c>
      <c r="C3334">
        <v>0.66500000000000004</v>
      </c>
      <c r="D3334">
        <v>0.39</v>
      </c>
      <c r="E3334">
        <v>8.8534563181809802E-23</v>
      </c>
      <c r="F3334">
        <v>6</v>
      </c>
      <c r="G3334" t="s">
        <v>2697</v>
      </c>
      <c r="H3334" t="s">
        <v>2698</v>
      </c>
      <c r="I3334" t="str">
        <f>HYPERLINK("https://zfin.org/ZDB-GENE-141215-49")</f>
        <v>https://zfin.org/ZDB-GENE-141215-49</v>
      </c>
      <c r="J3334" t="s">
        <v>2699</v>
      </c>
    </row>
    <row r="3335" spans="1:10" x14ac:dyDescent="0.2">
      <c r="A3335">
        <v>9.9404733099127998E-27</v>
      </c>
      <c r="B3335">
        <v>0.71242345806978502</v>
      </c>
      <c r="C3335">
        <v>0.65600000000000003</v>
      </c>
      <c r="D3335">
        <v>0.35099999999999998</v>
      </c>
      <c r="E3335">
        <v>1.38152698061168E-22</v>
      </c>
      <c r="F3335">
        <v>6</v>
      </c>
      <c r="G3335" t="s">
        <v>2526</v>
      </c>
      <c r="H3335" t="s">
        <v>2527</v>
      </c>
      <c r="I3335" t="str">
        <f>HYPERLINK("https://zfin.org/ZDB-GENE-030131-8760")</f>
        <v>https://zfin.org/ZDB-GENE-030131-8760</v>
      </c>
      <c r="J3335" t="s">
        <v>2528</v>
      </c>
    </row>
    <row r="3336" spans="1:10" x14ac:dyDescent="0.2">
      <c r="A3336">
        <v>2.2701643316867899E-26</v>
      </c>
      <c r="B3336">
        <v>0.53747078462308895</v>
      </c>
      <c r="C3336">
        <v>0.23699999999999999</v>
      </c>
      <c r="D3336">
        <v>5.3999999999999999E-2</v>
      </c>
      <c r="E3336">
        <v>3.1550743881782999E-22</v>
      </c>
      <c r="F3336">
        <v>6</v>
      </c>
      <c r="G3336" t="s">
        <v>6402</v>
      </c>
      <c r="H3336" t="s">
        <v>6403</v>
      </c>
      <c r="I3336" t="str">
        <f>HYPERLINK("https://zfin.org/ZDB-GENE-040704-4")</f>
        <v>https://zfin.org/ZDB-GENE-040704-4</v>
      </c>
      <c r="J3336" t="s">
        <v>6404</v>
      </c>
    </row>
    <row r="3337" spans="1:10" x14ac:dyDescent="0.2">
      <c r="A3337">
        <v>2.3306928455960001E-26</v>
      </c>
      <c r="B3337">
        <v>0.51959654447958203</v>
      </c>
      <c r="C3337">
        <v>0.92400000000000004</v>
      </c>
      <c r="D3337">
        <v>0.67600000000000005</v>
      </c>
      <c r="E3337">
        <v>3.2391969168093298E-22</v>
      </c>
      <c r="F3337">
        <v>6</v>
      </c>
      <c r="G3337" t="s">
        <v>4214</v>
      </c>
      <c r="H3337" t="s">
        <v>4215</v>
      </c>
      <c r="I3337" t="str">
        <f>HYPERLINK("https://zfin.org/ZDB-GENE-030131-925")</f>
        <v>https://zfin.org/ZDB-GENE-030131-925</v>
      </c>
      <c r="J3337" t="s">
        <v>4216</v>
      </c>
    </row>
    <row r="3338" spans="1:10" x14ac:dyDescent="0.2">
      <c r="A3338">
        <v>3.3924264197388901E-26</v>
      </c>
      <c r="B3338">
        <v>0.593287291133059</v>
      </c>
      <c r="C3338">
        <v>0.17899999999999999</v>
      </c>
      <c r="D3338">
        <v>3.2000000000000001E-2</v>
      </c>
      <c r="E3338">
        <v>4.7147942381531098E-22</v>
      </c>
      <c r="F3338">
        <v>6</v>
      </c>
      <c r="G3338" t="s">
        <v>6405</v>
      </c>
      <c r="H3338" t="s">
        <v>6406</v>
      </c>
      <c r="I3338" t="str">
        <f>HYPERLINK("https://zfin.org/ZDB-GENE-980526-320")</f>
        <v>https://zfin.org/ZDB-GENE-980526-320</v>
      </c>
      <c r="J3338" t="s">
        <v>6407</v>
      </c>
    </row>
    <row r="3339" spans="1:10" x14ac:dyDescent="0.2">
      <c r="A3339">
        <v>4.5261635972644202E-26</v>
      </c>
      <c r="B3339">
        <v>0.60867247336757802</v>
      </c>
      <c r="C3339">
        <v>0.85699999999999998</v>
      </c>
      <c r="D3339">
        <v>0.59</v>
      </c>
      <c r="E3339">
        <v>6.2904621674780999E-22</v>
      </c>
      <c r="F3339">
        <v>6</v>
      </c>
      <c r="G3339" t="s">
        <v>1558</v>
      </c>
      <c r="H3339" t="s">
        <v>1559</v>
      </c>
      <c r="I3339" t="str">
        <f>HYPERLINK("https://zfin.org/")</f>
        <v>https://zfin.org/</v>
      </c>
    </row>
    <row r="3340" spans="1:10" x14ac:dyDescent="0.2">
      <c r="A3340">
        <v>1.21602591317105E-24</v>
      </c>
      <c r="B3340">
        <v>0.60574458830127398</v>
      </c>
      <c r="C3340">
        <v>0.77200000000000002</v>
      </c>
      <c r="D3340">
        <v>0.47299999999999998</v>
      </c>
      <c r="E3340">
        <v>1.6900328141251301E-20</v>
      </c>
      <c r="F3340">
        <v>6</v>
      </c>
      <c r="G3340" t="s">
        <v>2559</v>
      </c>
      <c r="H3340" t="s">
        <v>2560</v>
      </c>
      <c r="I3340" t="str">
        <f>HYPERLINK("https://zfin.org/ZDB-GENE-990708-8")</f>
        <v>https://zfin.org/ZDB-GENE-990708-8</v>
      </c>
      <c r="J3340" t="s">
        <v>2561</v>
      </c>
    </row>
    <row r="3341" spans="1:10" x14ac:dyDescent="0.2">
      <c r="A3341">
        <v>2.4418925193222601E-24</v>
      </c>
      <c r="B3341">
        <v>0.47441311356480198</v>
      </c>
      <c r="C3341">
        <v>0.97299999999999998</v>
      </c>
      <c r="D3341">
        <v>0.79500000000000004</v>
      </c>
      <c r="E3341">
        <v>3.3937422233540799E-20</v>
      </c>
      <c r="F3341">
        <v>6</v>
      </c>
      <c r="G3341" t="s">
        <v>1341</v>
      </c>
      <c r="H3341" t="s">
        <v>1342</v>
      </c>
      <c r="I3341" t="str">
        <f>HYPERLINK("https://zfin.org/ZDB-GENE-011210-2")</f>
        <v>https://zfin.org/ZDB-GENE-011210-2</v>
      </c>
      <c r="J3341" t="s">
        <v>1343</v>
      </c>
    </row>
    <row r="3342" spans="1:10" x14ac:dyDescent="0.2">
      <c r="A3342">
        <v>7.5622000934154404E-24</v>
      </c>
      <c r="B3342">
        <v>0.70345697268478102</v>
      </c>
      <c r="C3342">
        <v>0.78600000000000003</v>
      </c>
      <c r="D3342">
        <v>0.55200000000000005</v>
      </c>
      <c r="E3342">
        <v>1.05099456898288E-19</v>
      </c>
      <c r="F3342">
        <v>6</v>
      </c>
      <c r="G3342" t="s">
        <v>2777</v>
      </c>
      <c r="H3342" t="s">
        <v>2778</v>
      </c>
      <c r="I3342" t="str">
        <f>HYPERLINK("https://zfin.org/ZDB-GENE-030428-2")</f>
        <v>https://zfin.org/ZDB-GENE-030428-2</v>
      </c>
      <c r="J3342" t="s">
        <v>2779</v>
      </c>
    </row>
    <row r="3343" spans="1:10" x14ac:dyDescent="0.2">
      <c r="A3343">
        <v>7.7715614853558797E-24</v>
      </c>
      <c r="B3343">
        <v>0.75546063265433805</v>
      </c>
      <c r="C3343">
        <v>0.70099999999999996</v>
      </c>
      <c r="D3343">
        <v>0.41799999999999998</v>
      </c>
      <c r="E3343">
        <v>1.08009161523476E-19</v>
      </c>
      <c r="F3343">
        <v>6</v>
      </c>
      <c r="G3343" t="s">
        <v>2706</v>
      </c>
      <c r="H3343" t="s">
        <v>2707</v>
      </c>
      <c r="I3343" t="str">
        <f>HYPERLINK("https://zfin.org/ZDB-GENE-080829-12")</f>
        <v>https://zfin.org/ZDB-GENE-080829-12</v>
      </c>
      <c r="J3343" t="s">
        <v>2708</v>
      </c>
    </row>
    <row r="3344" spans="1:10" x14ac:dyDescent="0.2">
      <c r="A3344">
        <v>3.3953110146229102E-23</v>
      </c>
      <c r="B3344">
        <v>0.64019642682236799</v>
      </c>
      <c r="C3344">
        <v>0.46899999999999997</v>
      </c>
      <c r="D3344">
        <v>0.19800000000000001</v>
      </c>
      <c r="E3344">
        <v>4.7188032481229203E-19</v>
      </c>
      <c r="F3344">
        <v>6</v>
      </c>
      <c r="G3344" t="s">
        <v>6408</v>
      </c>
      <c r="H3344" t="s">
        <v>6409</v>
      </c>
      <c r="I3344" t="str">
        <f>HYPERLINK("https://zfin.org/ZDB-GENE-061013-139")</f>
        <v>https://zfin.org/ZDB-GENE-061013-139</v>
      </c>
      <c r="J3344" t="s">
        <v>6410</v>
      </c>
    </row>
    <row r="3345" spans="1:10" x14ac:dyDescent="0.2">
      <c r="A3345">
        <v>3.5991069153575399E-23</v>
      </c>
      <c r="B3345">
        <v>0.556276923616561</v>
      </c>
      <c r="C3345">
        <v>0.317</v>
      </c>
      <c r="D3345">
        <v>9.9000000000000005E-2</v>
      </c>
      <c r="E3345">
        <v>5.0020387909638999E-19</v>
      </c>
      <c r="F3345">
        <v>6</v>
      </c>
      <c r="G3345" t="s">
        <v>3118</v>
      </c>
      <c r="H3345" t="s">
        <v>3119</v>
      </c>
      <c r="I3345" t="str">
        <f>HYPERLINK("https://zfin.org/ZDB-GENE-100921-8")</f>
        <v>https://zfin.org/ZDB-GENE-100921-8</v>
      </c>
      <c r="J3345" t="s">
        <v>3120</v>
      </c>
    </row>
    <row r="3346" spans="1:10" x14ac:dyDescent="0.2">
      <c r="A3346">
        <v>4.8352912645760101E-23</v>
      </c>
      <c r="B3346">
        <v>0.55492239889397499</v>
      </c>
      <c r="C3346">
        <v>0.75900000000000001</v>
      </c>
      <c r="D3346">
        <v>0.47799999999999998</v>
      </c>
      <c r="E3346">
        <v>6.7200877995077398E-19</v>
      </c>
      <c r="F3346">
        <v>6</v>
      </c>
      <c r="G3346" t="s">
        <v>2111</v>
      </c>
      <c r="H3346" t="s">
        <v>2112</v>
      </c>
      <c r="I3346" t="str">
        <f>HYPERLINK("https://zfin.org/ZDB-GENE-060126-3")</f>
        <v>https://zfin.org/ZDB-GENE-060126-3</v>
      </c>
      <c r="J3346" t="s">
        <v>2113</v>
      </c>
    </row>
    <row r="3347" spans="1:10" x14ac:dyDescent="0.2">
      <c r="A3347">
        <v>1.8016156125522701E-22</v>
      </c>
      <c r="B3347">
        <v>0.55678296579992903</v>
      </c>
      <c r="C3347">
        <v>0.27700000000000002</v>
      </c>
      <c r="D3347">
        <v>8.1000000000000003E-2</v>
      </c>
      <c r="E3347">
        <v>2.5038853783251398E-18</v>
      </c>
      <c r="F3347">
        <v>6</v>
      </c>
      <c r="G3347" t="s">
        <v>3264</v>
      </c>
      <c r="H3347" t="s">
        <v>3265</v>
      </c>
      <c r="I3347" t="str">
        <f>HYPERLINK("https://zfin.org/ZDB-GENE-110718-2")</f>
        <v>https://zfin.org/ZDB-GENE-110718-2</v>
      </c>
      <c r="J3347" t="s">
        <v>3266</v>
      </c>
    </row>
    <row r="3348" spans="1:10" x14ac:dyDescent="0.2">
      <c r="A3348">
        <v>1.84527112598743E-22</v>
      </c>
      <c r="B3348">
        <v>0.58702025963877202</v>
      </c>
      <c r="C3348">
        <v>0.47299999999999998</v>
      </c>
      <c r="D3348">
        <v>0.19600000000000001</v>
      </c>
      <c r="E3348">
        <v>2.5645578108973202E-18</v>
      </c>
      <c r="F3348">
        <v>6</v>
      </c>
      <c r="G3348" t="s">
        <v>2918</v>
      </c>
      <c r="H3348" t="s">
        <v>2919</v>
      </c>
      <c r="I3348" t="str">
        <f>HYPERLINK("https://zfin.org/ZDB-GENE-040718-440")</f>
        <v>https://zfin.org/ZDB-GENE-040718-440</v>
      </c>
      <c r="J3348" t="s">
        <v>2920</v>
      </c>
    </row>
    <row r="3349" spans="1:10" x14ac:dyDescent="0.2">
      <c r="A3349">
        <v>4.8446179737445004E-22</v>
      </c>
      <c r="B3349">
        <v>0.58704256283402401</v>
      </c>
      <c r="C3349">
        <v>0.82599999999999996</v>
      </c>
      <c r="D3349">
        <v>0.59799999999999998</v>
      </c>
      <c r="E3349">
        <v>6.7330500599100998E-18</v>
      </c>
      <c r="F3349">
        <v>6</v>
      </c>
      <c r="G3349" t="s">
        <v>1997</v>
      </c>
      <c r="H3349" t="s">
        <v>1998</v>
      </c>
      <c r="I3349" t="str">
        <f>HYPERLINK("https://zfin.org/ZDB-GENE-030131-9")</f>
        <v>https://zfin.org/ZDB-GENE-030131-9</v>
      </c>
      <c r="J3349" t="s">
        <v>1999</v>
      </c>
    </row>
    <row r="3350" spans="1:10" x14ac:dyDescent="0.2">
      <c r="A3350">
        <v>7.0813698326272201E-22</v>
      </c>
      <c r="B3350">
        <v>0.63078215614634403</v>
      </c>
      <c r="C3350">
        <v>0.47299999999999998</v>
      </c>
      <c r="D3350">
        <v>0.20699999999999999</v>
      </c>
      <c r="E3350">
        <v>9.8416877933853098E-18</v>
      </c>
      <c r="F3350">
        <v>6</v>
      </c>
      <c r="G3350" t="s">
        <v>2789</v>
      </c>
      <c r="H3350" t="s">
        <v>2790</v>
      </c>
      <c r="I3350" t="str">
        <f>HYPERLINK("https://zfin.org/ZDB-GENE-070705-193")</f>
        <v>https://zfin.org/ZDB-GENE-070705-193</v>
      </c>
      <c r="J3350" t="s">
        <v>2791</v>
      </c>
    </row>
    <row r="3351" spans="1:10" x14ac:dyDescent="0.2">
      <c r="A3351">
        <v>3.3628599095684002E-21</v>
      </c>
      <c r="B3351">
        <v>0.64439158583049805</v>
      </c>
      <c r="C3351">
        <v>0.66100000000000003</v>
      </c>
      <c r="D3351">
        <v>0.40600000000000003</v>
      </c>
      <c r="E3351">
        <v>4.67370270231816E-17</v>
      </c>
      <c r="F3351">
        <v>6</v>
      </c>
      <c r="G3351" t="s">
        <v>6411</v>
      </c>
      <c r="H3351" t="s">
        <v>6412</v>
      </c>
      <c r="I3351" t="str">
        <f>HYPERLINK("https://zfin.org/ZDB-GENE-030616-127")</f>
        <v>https://zfin.org/ZDB-GENE-030616-127</v>
      </c>
      <c r="J3351" t="s">
        <v>6413</v>
      </c>
    </row>
    <row r="3352" spans="1:10" x14ac:dyDescent="0.2">
      <c r="A3352">
        <v>3.3671850859871899E-21</v>
      </c>
      <c r="B3352">
        <v>0.59988272351861105</v>
      </c>
      <c r="C3352">
        <v>0.81200000000000006</v>
      </c>
      <c r="D3352">
        <v>0.58299999999999996</v>
      </c>
      <c r="E3352">
        <v>4.6797138325049901E-17</v>
      </c>
      <c r="F3352">
        <v>6</v>
      </c>
      <c r="G3352" t="s">
        <v>2170</v>
      </c>
      <c r="H3352" t="s">
        <v>2171</v>
      </c>
      <c r="I3352" t="str">
        <f>HYPERLINK("https://zfin.org/ZDB-GENE-040426-2826")</f>
        <v>https://zfin.org/ZDB-GENE-040426-2826</v>
      </c>
      <c r="J3352" t="s">
        <v>2172</v>
      </c>
    </row>
    <row r="3353" spans="1:10" x14ac:dyDescent="0.2">
      <c r="A3353">
        <v>3.66803285828432E-21</v>
      </c>
      <c r="B3353">
        <v>0.58610476078448104</v>
      </c>
      <c r="C3353">
        <v>0.312</v>
      </c>
      <c r="D3353">
        <v>0.106</v>
      </c>
      <c r="E3353">
        <v>5.0978320664435402E-17</v>
      </c>
      <c r="F3353">
        <v>6</v>
      </c>
      <c r="G3353" t="s">
        <v>6414</v>
      </c>
      <c r="H3353" t="s">
        <v>6415</v>
      </c>
      <c r="I3353" t="str">
        <f>HYPERLINK("https://zfin.org/ZDB-GENE-041111-222")</f>
        <v>https://zfin.org/ZDB-GENE-041111-222</v>
      </c>
      <c r="J3353" t="s">
        <v>6416</v>
      </c>
    </row>
    <row r="3354" spans="1:10" x14ac:dyDescent="0.2">
      <c r="A3354">
        <v>1.9151125102560599E-20</v>
      </c>
      <c r="B3354">
        <v>0.59311566630521795</v>
      </c>
      <c r="C3354">
        <v>0.45500000000000002</v>
      </c>
      <c r="D3354">
        <v>0.20599999999999999</v>
      </c>
      <c r="E3354">
        <v>2.6616233667538702E-16</v>
      </c>
      <c r="F3354">
        <v>6</v>
      </c>
      <c r="G3354" t="s">
        <v>2852</v>
      </c>
      <c r="H3354" t="s">
        <v>2853</v>
      </c>
      <c r="I3354" t="str">
        <f>HYPERLINK("https://zfin.org/ZDB-GENE-041130-1")</f>
        <v>https://zfin.org/ZDB-GENE-041130-1</v>
      </c>
      <c r="J3354" t="s">
        <v>2854</v>
      </c>
    </row>
    <row r="3355" spans="1:10" x14ac:dyDescent="0.2">
      <c r="A3355">
        <v>4.73261432131495E-20</v>
      </c>
      <c r="B3355">
        <v>-0.31405727858086502</v>
      </c>
      <c r="C3355">
        <v>1</v>
      </c>
      <c r="D3355">
        <v>0.999</v>
      </c>
      <c r="E3355">
        <v>6.5773873837635105E-16</v>
      </c>
      <c r="F3355">
        <v>6</v>
      </c>
      <c r="G3355" t="s">
        <v>1284</v>
      </c>
      <c r="H3355" t="s">
        <v>1285</v>
      </c>
      <c r="I3355" t="str">
        <f>HYPERLINK("https://zfin.org/ZDB-GENE-030131-8663")</f>
        <v>https://zfin.org/ZDB-GENE-030131-8663</v>
      </c>
      <c r="J3355" t="s">
        <v>1286</v>
      </c>
    </row>
    <row r="3356" spans="1:10" x14ac:dyDescent="0.2">
      <c r="A3356">
        <v>5.1904463079896101E-20</v>
      </c>
      <c r="B3356">
        <v>0.80175488003052398</v>
      </c>
      <c r="C3356">
        <v>0.33</v>
      </c>
      <c r="D3356">
        <v>0.126</v>
      </c>
      <c r="E3356">
        <v>7.2136822788439599E-16</v>
      </c>
      <c r="F3356">
        <v>6</v>
      </c>
      <c r="G3356" t="s">
        <v>6417</v>
      </c>
      <c r="H3356" t="s">
        <v>6418</v>
      </c>
      <c r="I3356" t="str">
        <f>HYPERLINK("https://zfin.org/ZDB-GENE-040426-780")</f>
        <v>https://zfin.org/ZDB-GENE-040426-780</v>
      </c>
      <c r="J3356" t="s">
        <v>6419</v>
      </c>
    </row>
    <row r="3357" spans="1:10" x14ac:dyDescent="0.2">
      <c r="A3357">
        <v>9.3935140975701596E-20</v>
      </c>
      <c r="B3357">
        <v>0.464498363129631</v>
      </c>
      <c r="C3357">
        <v>0.19600000000000001</v>
      </c>
      <c r="D3357">
        <v>4.8000000000000001E-2</v>
      </c>
      <c r="E3357">
        <v>1.3055105892803E-15</v>
      </c>
      <c r="F3357">
        <v>6</v>
      </c>
      <c r="G3357" t="s">
        <v>6420</v>
      </c>
      <c r="H3357" t="s">
        <v>6421</v>
      </c>
      <c r="I3357" t="str">
        <f>HYPERLINK("https://zfin.org/ZDB-GENE-070119-3")</f>
        <v>https://zfin.org/ZDB-GENE-070119-3</v>
      </c>
      <c r="J3357" t="s">
        <v>6422</v>
      </c>
    </row>
    <row r="3358" spans="1:10" x14ac:dyDescent="0.2">
      <c r="A3358">
        <v>4.7709688332273401E-19</v>
      </c>
      <c r="B3358">
        <v>-0.32223330335355199</v>
      </c>
      <c r="C3358">
        <v>0.996</v>
      </c>
      <c r="D3358">
        <v>0.998</v>
      </c>
      <c r="E3358">
        <v>6.6306924844193597E-15</v>
      </c>
      <c r="F3358">
        <v>6</v>
      </c>
      <c r="G3358" t="s">
        <v>1653</v>
      </c>
      <c r="H3358" t="s">
        <v>1654</v>
      </c>
      <c r="I3358" t="str">
        <f>HYPERLINK("https://zfin.org/ZDB-GENE-040426-2284")</f>
        <v>https://zfin.org/ZDB-GENE-040426-2284</v>
      </c>
      <c r="J3358" t="s">
        <v>1655</v>
      </c>
    </row>
    <row r="3359" spans="1:10" x14ac:dyDescent="0.2">
      <c r="A3359">
        <v>5.0296604614252197E-19</v>
      </c>
      <c r="B3359">
        <v>0.54906625830704003</v>
      </c>
      <c r="C3359">
        <v>0.73699999999999999</v>
      </c>
      <c r="D3359">
        <v>0.47699999999999998</v>
      </c>
      <c r="E3359">
        <v>6.9902221092887802E-15</v>
      </c>
      <c r="F3359">
        <v>6</v>
      </c>
      <c r="G3359" t="s">
        <v>2325</v>
      </c>
      <c r="H3359" t="s">
        <v>2326</v>
      </c>
      <c r="I3359" t="str">
        <f>HYPERLINK("https://zfin.org/ZDB-GENE-060503-431")</f>
        <v>https://zfin.org/ZDB-GENE-060503-431</v>
      </c>
      <c r="J3359" t="s">
        <v>2327</v>
      </c>
    </row>
    <row r="3360" spans="1:10" x14ac:dyDescent="0.2">
      <c r="A3360">
        <v>5.1470142154966999E-19</v>
      </c>
      <c r="B3360">
        <v>0.45937964730481701</v>
      </c>
      <c r="C3360">
        <v>0.20499999999999999</v>
      </c>
      <c r="D3360">
        <v>5.3999999999999999E-2</v>
      </c>
      <c r="E3360">
        <v>7.1533203566973107E-15</v>
      </c>
      <c r="F3360">
        <v>6</v>
      </c>
      <c r="G3360" t="s">
        <v>6423</v>
      </c>
      <c r="H3360" t="s">
        <v>6424</v>
      </c>
      <c r="I3360" t="str">
        <f>HYPERLINK("https://zfin.org/ZDB-GENE-080215-10")</f>
        <v>https://zfin.org/ZDB-GENE-080215-10</v>
      </c>
      <c r="J3360" t="s">
        <v>6425</v>
      </c>
    </row>
    <row r="3361" spans="1:10" x14ac:dyDescent="0.2">
      <c r="A3361">
        <v>6.8213148838060498E-19</v>
      </c>
      <c r="B3361">
        <v>0.73363655415748097</v>
      </c>
      <c r="C3361">
        <v>0.45500000000000002</v>
      </c>
      <c r="D3361">
        <v>0.223</v>
      </c>
      <c r="E3361">
        <v>9.4802634255136495E-15</v>
      </c>
      <c r="F3361">
        <v>6</v>
      </c>
      <c r="G3361" t="s">
        <v>3933</v>
      </c>
      <c r="H3361" t="s">
        <v>3934</v>
      </c>
      <c r="I3361" t="str">
        <f>HYPERLINK("https://zfin.org/ZDB-GENE-050320-36")</f>
        <v>https://zfin.org/ZDB-GENE-050320-36</v>
      </c>
      <c r="J3361" t="s">
        <v>3935</v>
      </c>
    </row>
    <row r="3362" spans="1:10" x14ac:dyDescent="0.2">
      <c r="A3362">
        <v>4.2426587444627999E-18</v>
      </c>
      <c r="B3362">
        <v>0.467617788752968</v>
      </c>
      <c r="C3362">
        <v>0.88800000000000001</v>
      </c>
      <c r="D3362">
        <v>0.71199999999999997</v>
      </c>
      <c r="E3362">
        <v>5.8964471230543898E-14</v>
      </c>
      <c r="F3362">
        <v>6</v>
      </c>
      <c r="G3362" t="s">
        <v>3085</v>
      </c>
      <c r="H3362" t="s">
        <v>3086</v>
      </c>
      <c r="I3362" t="str">
        <f>HYPERLINK("https://zfin.org/ZDB-GENE-000329-1")</f>
        <v>https://zfin.org/ZDB-GENE-000329-1</v>
      </c>
      <c r="J3362" t="s">
        <v>3087</v>
      </c>
    </row>
    <row r="3363" spans="1:10" x14ac:dyDescent="0.2">
      <c r="A3363">
        <v>4.8124307355107097E-18</v>
      </c>
      <c r="B3363">
        <v>0.48174872721177298</v>
      </c>
      <c r="C3363">
        <v>0.83499999999999996</v>
      </c>
      <c r="D3363">
        <v>0.58899999999999997</v>
      </c>
      <c r="E3363">
        <v>6.6883162362127798E-14</v>
      </c>
      <c r="F3363">
        <v>6</v>
      </c>
      <c r="G3363" t="s">
        <v>1895</v>
      </c>
      <c r="H3363" t="s">
        <v>1896</v>
      </c>
      <c r="I3363" t="str">
        <f>HYPERLINK("https://zfin.org/ZDB-GENE-030131-2391")</f>
        <v>https://zfin.org/ZDB-GENE-030131-2391</v>
      </c>
      <c r="J3363" t="s">
        <v>1897</v>
      </c>
    </row>
    <row r="3364" spans="1:10" x14ac:dyDescent="0.2">
      <c r="A3364">
        <v>6.5277054517717197E-18</v>
      </c>
      <c r="B3364">
        <v>0.43059943008042301</v>
      </c>
      <c r="C3364">
        <v>0.91100000000000003</v>
      </c>
      <c r="D3364">
        <v>0.79600000000000004</v>
      </c>
      <c r="E3364">
        <v>9.0722050368723395E-14</v>
      </c>
      <c r="F3364">
        <v>6</v>
      </c>
      <c r="G3364" t="s">
        <v>1373</v>
      </c>
      <c r="H3364" t="s">
        <v>1374</v>
      </c>
      <c r="I3364" t="str">
        <f>HYPERLINK("https://zfin.org/ZDB-GENE-010726-1")</f>
        <v>https://zfin.org/ZDB-GENE-010726-1</v>
      </c>
      <c r="J3364" t="s">
        <v>1375</v>
      </c>
    </row>
    <row r="3365" spans="1:10" x14ac:dyDescent="0.2">
      <c r="A3365">
        <v>1.1677597679131101E-17</v>
      </c>
      <c r="B3365">
        <v>0.458563925849999</v>
      </c>
      <c r="C3365">
        <v>0.214</v>
      </c>
      <c r="D3365">
        <v>6.2E-2</v>
      </c>
      <c r="E3365">
        <v>1.6229525254456401E-13</v>
      </c>
      <c r="F3365">
        <v>6</v>
      </c>
      <c r="G3365" t="s">
        <v>6426</v>
      </c>
      <c r="H3365" t="s">
        <v>6427</v>
      </c>
      <c r="I3365" t="str">
        <f>HYPERLINK("https://zfin.org/ZDB-GENE-090313-161")</f>
        <v>https://zfin.org/ZDB-GENE-090313-161</v>
      </c>
      <c r="J3365" t="s">
        <v>6428</v>
      </c>
    </row>
    <row r="3366" spans="1:10" x14ac:dyDescent="0.2">
      <c r="A3366">
        <v>2.4578831813368801E-17</v>
      </c>
      <c r="B3366">
        <v>0.33511201718219802</v>
      </c>
      <c r="C3366">
        <v>0.161</v>
      </c>
      <c r="D3366">
        <v>3.7999999999999999E-2</v>
      </c>
      <c r="E3366">
        <v>3.4159660454219898E-13</v>
      </c>
      <c r="F3366">
        <v>6</v>
      </c>
      <c r="G3366" t="s">
        <v>6429</v>
      </c>
      <c r="H3366" t="s">
        <v>6430</v>
      </c>
      <c r="I3366" t="str">
        <f>HYPERLINK("https://zfin.org/ZDB-GENE-111109-3")</f>
        <v>https://zfin.org/ZDB-GENE-111109-3</v>
      </c>
      <c r="J3366" t="s">
        <v>6431</v>
      </c>
    </row>
    <row r="3367" spans="1:10" x14ac:dyDescent="0.2">
      <c r="A3367">
        <v>2.68728964647538E-17</v>
      </c>
      <c r="B3367">
        <v>0.56399172222890603</v>
      </c>
      <c r="C3367">
        <v>0.46899999999999997</v>
      </c>
      <c r="D3367">
        <v>0.221</v>
      </c>
      <c r="E3367">
        <v>3.7347951506714802E-13</v>
      </c>
      <c r="F3367">
        <v>6</v>
      </c>
      <c r="G3367" t="s">
        <v>2801</v>
      </c>
      <c r="H3367" t="s">
        <v>2802</v>
      </c>
      <c r="I3367" t="str">
        <f>HYPERLINK("https://zfin.org/ZDB-GENE-980526-112")</f>
        <v>https://zfin.org/ZDB-GENE-980526-112</v>
      </c>
      <c r="J3367" t="s">
        <v>2803</v>
      </c>
    </row>
    <row r="3368" spans="1:10" x14ac:dyDescent="0.2">
      <c r="A3368">
        <v>3.8586250851924497E-17</v>
      </c>
      <c r="B3368">
        <v>-0.324643376465241</v>
      </c>
      <c r="C3368">
        <v>0.97299999999999998</v>
      </c>
      <c r="D3368">
        <v>0.98699999999999999</v>
      </c>
      <c r="E3368">
        <v>5.3627171434004699E-13</v>
      </c>
      <c r="F3368">
        <v>6</v>
      </c>
      <c r="G3368" t="s">
        <v>2193</v>
      </c>
      <c r="H3368" t="s">
        <v>2194</v>
      </c>
      <c r="I3368" t="str">
        <f>HYPERLINK("https://zfin.org/ZDB-GENE-040426-1718")</f>
        <v>https://zfin.org/ZDB-GENE-040426-1718</v>
      </c>
      <c r="J3368" t="s">
        <v>2195</v>
      </c>
    </row>
    <row r="3369" spans="1:10" x14ac:dyDescent="0.2">
      <c r="A3369">
        <v>4.8743886950484998E-17</v>
      </c>
      <c r="B3369">
        <v>-0.29990897757070401</v>
      </c>
      <c r="C3369">
        <v>0.98699999999999999</v>
      </c>
      <c r="D3369">
        <v>0.98899999999999999</v>
      </c>
      <c r="E3369">
        <v>6.7744254083784103E-13</v>
      </c>
      <c r="F3369">
        <v>6</v>
      </c>
      <c r="G3369" t="s">
        <v>2211</v>
      </c>
      <c r="H3369" t="s">
        <v>2212</v>
      </c>
      <c r="I3369" t="str">
        <f>HYPERLINK("https://zfin.org/ZDB-GENE-040426-1071")</f>
        <v>https://zfin.org/ZDB-GENE-040426-1071</v>
      </c>
      <c r="J3369" t="s">
        <v>2213</v>
      </c>
    </row>
    <row r="3370" spans="1:10" x14ac:dyDescent="0.2">
      <c r="A3370">
        <v>7.1880692787086496E-17</v>
      </c>
      <c r="B3370">
        <v>0.45388223859809002</v>
      </c>
      <c r="C3370">
        <v>0.214</v>
      </c>
      <c r="D3370">
        <v>6.5000000000000002E-2</v>
      </c>
      <c r="E3370">
        <v>9.9899786835492802E-13</v>
      </c>
      <c r="F3370">
        <v>6</v>
      </c>
      <c r="G3370" t="s">
        <v>6432</v>
      </c>
      <c r="H3370" t="s">
        <v>6433</v>
      </c>
      <c r="I3370" t="str">
        <f>HYPERLINK("https://zfin.org/")</f>
        <v>https://zfin.org/</v>
      </c>
      <c r="J3370" t="s">
        <v>6434</v>
      </c>
    </row>
    <row r="3371" spans="1:10" x14ac:dyDescent="0.2">
      <c r="A3371">
        <v>8.0998510493895798E-17</v>
      </c>
      <c r="B3371">
        <v>0.56205070603440599</v>
      </c>
      <c r="C3371">
        <v>0.71899999999999997</v>
      </c>
      <c r="D3371">
        <v>0.54100000000000004</v>
      </c>
      <c r="E3371">
        <v>1.1257172988441599E-12</v>
      </c>
      <c r="F3371">
        <v>6</v>
      </c>
      <c r="G3371" t="s">
        <v>6435</v>
      </c>
      <c r="H3371" t="s">
        <v>6436</v>
      </c>
      <c r="I3371" t="str">
        <f>HYPERLINK("https://zfin.org/ZDB-GENE-070928-23")</f>
        <v>https://zfin.org/ZDB-GENE-070928-23</v>
      </c>
      <c r="J3371" t="s">
        <v>6437</v>
      </c>
    </row>
    <row r="3372" spans="1:10" x14ac:dyDescent="0.2">
      <c r="A3372">
        <v>1.01551347867782E-16</v>
      </c>
      <c r="B3372">
        <v>0.62303215559939396</v>
      </c>
      <c r="C3372">
        <v>0.70099999999999996</v>
      </c>
      <c r="D3372">
        <v>0.45500000000000002</v>
      </c>
      <c r="E3372">
        <v>1.41136063266643E-12</v>
      </c>
      <c r="F3372">
        <v>6</v>
      </c>
      <c r="G3372" t="s">
        <v>4494</v>
      </c>
      <c r="H3372" t="s">
        <v>4495</v>
      </c>
      <c r="I3372" t="str">
        <f>HYPERLINK("https://zfin.org/ZDB-GENE-020910-1")</f>
        <v>https://zfin.org/ZDB-GENE-020910-1</v>
      </c>
      <c r="J3372" t="s">
        <v>4496</v>
      </c>
    </row>
    <row r="3373" spans="1:10" x14ac:dyDescent="0.2">
      <c r="A3373">
        <v>1.1174367022498399E-16</v>
      </c>
      <c r="B3373">
        <v>0.51366318446725701</v>
      </c>
      <c r="C3373">
        <v>0.192</v>
      </c>
      <c r="D3373">
        <v>5.3999999999999999E-2</v>
      </c>
      <c r="E3373">
        <v>1.5530135287868301E-12</v>
      </c>
      <c r="F3373">
        <v>6</v>
      </c>
      <c r="G3373" t="s">
        <v>6438</v>
      </c>
      <c r="H3373" t="s">
        <v>6439</v>
      </c>
      <c r="I3373" t="str">
        <f>HYPERLINK("https://zfin.org/ZDB-GENE-040426-1866")</f>
        <v>https://zfin.org/ZDB-GENE-040426-1866</v>
      </c>
      <c r="J3373" t="s">
        <v>6440</v>
      </c>
    </row>
    <row r="3374" spans="1:10" x14ac:dyDescent="0.2">
      <c r="A3374">
        <v>1.3232298666138E-16</v>
      </c>
      <c r="B3374">
        <v>0.44848987452185501</v>
      </c>
      <c r="C3374">
        <v>0.442</v>
      </c>
      <c r="D3374">
        <v>0.19900000000000001</v>
      </c>
      <c r="E3374">
        <v>1.8390248686198699E-12</v>
      </c>
      <c r="F3374">
        <v>6</v>
      </c>
      <c r="G3374" t="s">
        <v>2807</v>
      </c>
      <c r="H3374" t="s">
        <v>2808</v>
      </c>
      <c r="I3374" t="str">
        <f>HYPERLINK("https://zfin.org/ZDB-GENE-070112-292")</f>
        <v>https://zfin.org/ZDB-GENE-070112-292</v>
      </c>
      <c r="J3374" t="s">
        <v>2809</v>
      </c>
    </row>
    <row r="3375" spans="1:10" x14ac:dyDescent="0.2">
      <c r="A3375">
        <v>1.98140560102711E-16</v>
      </c>
      <c r="B3375">
        <v>0.49173078785415902</v>
      </c>
      <c r="C3375">
        <v>0.183</v>
      </c>
      <c r="D3375">
        <v>4.9000000000000002E-2</v>
      </c>
      <c r="E3375">
        <v>2.75375750430748E-12</v>
      </c>
      <c r="F3375">
        <v>6</v>
      </c>
      <c r="G3375" t="s">
        <v>6441</v>
      </c>
      <c r="H3375" t="s">
        <v>6442</v>
      </c>
      <c r="I3375" t="str">
        <f>HYPERLINK("https://zfin.org/ZDB-GENE-040801-217")</f>
        <v>https://zfin.org/ZDB-GENE-040801-217</v>
      </c>
      <c r="J3375" t="s">
        <v>6443</v>
      </c>
    </row>
    <row r="3376" spans="1:10" x14ac:dyDescent="0.2">
      <c r="A3376">
        <v>2.15411887774997E-16</v>
      </c>
      <c r="B3376">
        <v>0.775753929959204</v>
      </c>
      <c r="C3376">
        <v>0.54500000000000004</v>
      </c>
      <c r="D3376">
        <v>0.314</v>
      </c>
      <c r="E3376">
        <v>2.9937944162969E-12</v>
      </c>
      <c r="F3376">
        <v>6</v>
      </c>
      <c r="G3376" t="s">
        <v>5123</v>
      </c>
      <c r="H3376" t="s">
        <v>5124</v>
      </c>
      <c r="I3376" t="str">
        <f>HYPERLINK("https://zfin.org/ZDB-GENE-070424-74")</f>
        <v>https://zfin.org/ZDB-GENE-070424-74</v>
      </c>
      <c r="J3376" t="s">
        <v>5125</v>
      </c>
    </row>
    <row r="3377" spans="1:10" x14ac:dyDescent="0.2">
      <c r="A3377">
        <v>2.8105092714364898E-16</v>
      </c>
      <c r="B3377">
        <v>-0.324446241883033</v>
      </c>
      <c r="C3377">
        <v>0.97799999999999998</v>
      </c>
      <c r="D3377">
        <v>0.97199999999999998</v>
      </c>
      <c r="E3377">
        <v>3.9060457854424301E-12</v>
      </c>
      <c r="F3377">
        <v>6</v>
      </c>
      <c r="G3377" t="s">
        <v>2072</v>
      </c>
      <c r="H3377" t="s">
        <v>2073</v>
      </c>
      <c r="I3377" t="str">
        <f>HYPERLINK("https://zfin.org/ZDB-GENE-040801-8")</f>
        <v>https://zfin.org/ZDB-GENE-040801-8</v>
      </c>
      <c r="J3377" t="s">
        <v>2074</v>
      </c>
    </row>
    <row r="3378" spans="1:10" x14ac:dyDescent="0.2">
      <c r="A3378">
        <v>3.4061767861941801E-16</v>
      </c>
      <c r="B3378">
        <v>0.332052380559066</v>
      </c>
      <c r="C3378">
        <v>0.98699999999999999</v>
      </c>
      <c r="D3378">
        <v>0.96599999999999997</v>
      </c>
      <c r="E3378">
        <v>4.7339044974526703E-12</v>
      </c>
      <c r="F3378">
        <v>6</v>
      </c>
      <c r="G3378" t="s">
        <v>957</v>
      </c>
      <c r="H3378" t="s">
        <v>958</v>
      </c>
      <c r="I3378" t="str">
        <f>HYPERLINK("https://zfin.org/ZDB-GENE-010328-2")</f>
        <v>https://zfin.org/ZDB-GENE-010328-2</v>
      </c>
      <c r="J3378" t="s">
        <v>959</v>
      </c>
    </row>
    <row r="3379" spans="1:10" x14ac:dyDescent="0.2">
      <c r="A3379">
        <v>4.0932256526825298E-16</v>
      </c>
      <c r="B3379">
        <v>0.39785910570102401</v>
      </c>
      <c r="C3379">
        <v>0.121</v>
      </c>
      <c r="D3379">
        <v>2.4E-2</v>
      </c>
      <c r="E3379">
        <v>5.6887650120981697E-12</v>
      </c>
      <c r="F3379">
        <v>6</v>
      </c>
      <c r="G3379" t="s">
        <v>6444</v>
      </c>
      <c r="H3379" t="s">
        <v>6445</v>
      </c>
      <c r="I3379" t="str">
        <f>HYPERLINK("https://zfin.org/ZDB-GENE-040426-728")</f>
        <v>https://zfin.org/ZDB-GENE-040426-728</v>
      </c>
      <c r="J3379" t="s">
        <v>6446</v>
      </c>
    </row>
    <row r="3380" spans="1:10" x14ac:dyDescent="0.2">
      <c r="A3380">
        <v>4.7390232415437803E-16</v>
      </c>
      <c r="B3380">
        <v>0.51506847098180497</v>
      </c>
      <c r="C3380">
        <v>0.52700000000000002</v>
      </c>
      <c r="D3380">
        <v>0.27800000000000002</v>
      </c>
      <c r="E3380">
        <v>6.5862945010975402E-12</v>
      </c>
      <c r="F3380">
        <v>6</v>
      </c>
      <c r="G3380" t="s">
        <v>6447</v>
      </c>
      <c r="H3380" t="s">
        <v>6448</v>
      </c>
      <c r="I3380" t="str">
        <f>HYPERLINK("https://zfin.org/ZDB-GENE-030131-2681")</f>
        <v>https://zfin.org/ZDB-GENE-030131-2681</v>
      </c>
      <c r="J3380" t="s">
        <v>6449</v>
      </c>
    </row>
    <row r="3381" spans="1:10" x14ac:dyDescent="0.2">
      <c r="A3381">
        <v>4.8789669157925102E-16</v>
      </c>
      <c r="B3381">
        <v>0.64472163393343496</v>
      </c>
      <c r="C3381">
        <v>0.30399999999999999</v>
      </c>
      <c r="D3381">
        <v>0.12</v>
      </c>
      <c r="E3381">
        <v>6.78078821956843E-12</v>
      </c>
      <c r="F3381">
        <v>6</v>
      </c>
      <c r="G3381" t="s">
        <v>6450</v>
      </c>
      <c r="H3381" t="s">
        <v>6451</v>
      </c>
      <c r="I3381" t="str">
        <f>HYPERLINK("https://zfin.org/ZDB-GENE-020111-4")</f>
        <v>https://zfin.org/ZDB-GENE-020111-4</v>
      </c>
      <c r="J3381" t="s">
        <v>6452</v>
      </c>
    </row>
    <row r="3382" spans="1:10" x14ac:dyDescent="0.2">
      <c r="A3382">
        <v>5.4411507909988797E-16</v>
      </c>
      <c r="B3382">
        <v>-0.27016121571749602</v>
      </c>
      <c r="C3382">
        <v>1</v>
      </c>
      <c r="D3382">
        <v>0.998</v>
      </c>
      <c r="E3382">
        <v>7.5621113693302399E-12</v>
      </c>
      <c r="F3382">
        <v>6</v>
      </c>
      <c r="G3382" t="s">
        <v>1698</v>
      </c>
      <c r="H3382" t="s">
        <v>1699</v>
      </c>
      <c r="I3382" t="str">
        <f>HYPERLINK("https://zfin.org/ZDB-GENE-040622-2")</f>
        <v>https://zfin.org/ZDB-GENE-040622-2</v>
      </c>
      <c r="J3382" t="s">
        <v>1700</v>
      </c>
    </row>
    <row r="3383" spans="1:10" x14ac:dyDescent="0.2">
      <c r="A3383">
        <v>7.3046040410454798E-16</v>
      </c>
      <c r="B3383">
        <v>-0.27536690356451099</v>
      </c>
      <c r="C3383">
        <v>0.99099999999999999</v>
      </c>
      <c r="D3383">
        <v>0.996</v>
      </c>
      <c r="E3383">
        <v>1.0151938696245E-11</v>
      </c>
      <c r="F3383">
        <v>6</v>
      </c>
      <c r="G3383" t="s">
        <v>1836</v>
      </c>
      <c r="H3383" t="s">
        <v>1837</v>
      </c>
      <c r="I3383" t="str">
        <f>HYPERLINK("https://zfin.org/ZDB-GENE-060331-105")</f>
        <v>https://zfin.org/ZDB-GENE-060331-105</v>
      </c>
      <c r="J3383" t="s">
        <v>1838</v>
      </c>
    </row>
    <row r="3384" spans="1:10" x14ac:dyDescent="0.2">
      <c r="A3384">
        <v>9.99168492236659E-16</v>
      </c>
      <c r="B3384">
        <v>-0.314396113394453</v>
      </c>
      <c r="C3384">
        <v>0.98699999999999999</v>
      </c>
      <c r="D3384">
        <v>0.98799999999999999</v>
      </c>
      <c r="E3384">
        <v>1.3886443705105101E-11</v>
      </c>
      <c r="F3384">
        <v>6</v>
      </c>
      <c r="G3384" t="s">
        <v>1898</v>
      </c>
      <c r="H3384" t="s">
        <v>1899</v>
      </c>
      <c r="I3384" t="str">
        <f>HYPERLINK("https://zfin.org/ZDB-GENE-031001-9")</f>
        <v>https://zfin.org/ZDB-GENE-031001-9</v>
      </c>
      <c r="J3384" t="s">
        <v>1900</v>
      </c>
    </row>
    <row r="3385" spans="1:10" x14ac:dyDescent="0.2">
      <c r="A3385">
        <v>1.1328131674557301E-15</v>
      </c>
      <c r="B3385">
        <v>0.51547660003802698</v>
      </c>
      <c r="C3385">
        <v>0.32600000000000001</v>
      </c>
      <c r="D3385">
        <v>0.13500000000000001</v>
      </c>
      <c r="E3385">
        <v>1.5743837401299698E-11</v>
      </c>
      <c r="F3385">
        <v>6</v>
      </c>
      <c r="G3385" t="s">
        <v>6453</v>
      </c>
      <c r="H3385" t="s">
        <v>6454</v>
      </c>
      <c r="I3385" t="str">
        <f>HYPERLINK("https://zfin.org/ZDB-GENE-040426-2018")</f>
        <v>https://zfin.org/ZDB-GENE-040426-2018</v>
      </c>
      <c r="J3385" t="s">
        <v>6455</v>
      </c>
    </row>
    <row r="3386" spans="1:10" x14ac:dyDescent="0.2">
      <c r="A3386">
        <v>1.5942814721895099E-15</v>
      </c>
      <c r="B3386">
        <v>-0.45311102608649401</v>
      </c>
      <c r="C3386">
        <v>0.99099999999999999</v>
      </c>
      <c r="D3386">
        <v>0.98899999999999999</v>
      </c>
      <c r="E3386">
        <v>2.2157323900489801E-11</v>
      </c>
      <c r="F3386">
        <v>6</v>
      </c>
      <c r="G3386" t="s">
        <v>3498</v>
      </c>
      <c r="H3386" t="s">
        <v>3499</v>
      </c>
      <c r="I3386" t="str">
        <f>HYPERLINK("https://zfin.org/ZDB-GENE-030131-8681")</f>
        <v>https://zfin.org/ZDB-GENE-030131-8681</v>
      </c>
      <c r="J3386" t="s">
        <v>3500</v>
      </c>
    </row>
    <row r="3387" spans="1:10" x14ac:dyDescent="0.2">
      <c r="A3387">
        <v>1.9871940596179999E-15</v>
      </c>
      <c r="B3387">
        <v>-0.27483270664445603</v>
      </c>
      <c r="C3387">
        <v>1</v>
      </c>
      <c r="D3387">
        <v>0.999</v>
      </c>
      <c r="E3387">
        <v>2.7618023040570999E-11</v>
      </c>
      <c r="F3387">
        <v>6</v>
      </c>
      <c r="G3387" t="s">
        <v>1498</v>
      </c>
      <c r="H3387" t="s">
        <v>1499</v>
      </c>
      <c r="I3387" t="str">
        <f>HYPERLINK("https://zfin.org/ZDB-GENE-030131-2022")</f>
        <v>https://zfin.org/ZDB-GENE-030131-2022</v>
      </c>
      <c r="J3387" t="s">
        <v>1500</v>
      </c>
    </row>
    <row r="3388" spans="1:10" x14ac:dyDescent="0.2">
      <c r="A3388">
        <v>2.41150973656324E-15</v>
      </c>
      <c r="B3388">
        <v>0.56633257984042695</v>
      </c>
      <c r="C3388">
        <v>0.42399999999999999</v>
      </c>
      <c r="D3388">
        <v>0.21199999999999999</v>
      </c>
      <c r="E3388">
        <v>3.35151623187559E-11</v>
      </c>
      <c r="F3388">
        <v>6</v>
      </c>
      <c r="G3388" t="s">
        <v>6456</v>
      </c>
      <c r="H3388" t="s">
        <v>6457</v>
      </c>
      <c r="I3388" t="str">
        <f>HYPERLINK("https://zfin.org/ZDB-GENE-030131-1957")</f>
        <v>https://zfin.org/ZDB-GENE-030131-1957</v>
      </c>
      <c r="J3388" t="s">
        <v>6458</v>
      </c>
    </row>
    <row r="3389" spans="1:10" x14ac:dyDescent="0.2">
      <c r="A3389">
        <v>2.5387810039421502E-15</v>
      </c>
      <c r="B3389">
        <v>-0.28043872860333302</v>
      </c>
      <c r="C3389">
        <v>0.996</v>
      </c>
      <c r="D3389">
        <v>0.997</v>
      </c>
      <c r="E3389">
        <v>3.5283978392788002E-11</v>
      </c>
      <c r="F3389">
        <v>6</v>
      </c>
      <c r="G3389" t="s">
        <v>1713</v>
      </c>
      <c r="H3389" t="s">
        <v>1714</v>
      </c>
      <c r="I3389" t="str">
        <f>HYPERLINK("https://zfin.org/ZDB-GENE-040625-39")</f>
        <v>https://zfin.org/ZDB-GENE-040625-39</v>
      </c>
      <c r="J3389" t="s">
        <v>1715</v>
      </c>
    </row>
    <row r="3390" spans="1:10" x14ac:dyDescent="0.2">
      <c r="A3390">
        <v>8.0506426982950796E-15</v>
      </c>
      <c r="B3390">
        <v>0.44812557790461599</v>
      </c>
      <c r="C3390">
        <v>0.746</v>
      </c>
      <c r="D3390">
        <v>0.51100000000000001</v>
      </c>
      <c r="E3390">
        <v>1.11887832220905E-10</v>
      </c>
      <c r="F3390">
        <v>6</v>
      </c>
      <c r="G3390" t="s">
        <v>2090</v>
      </c>
      <c r="H3390" t="s">
        <v>2091</v>
      </c>
      <c r="I3390" t="str">
        <f>HYPERLINK("https://zfin.org/ZDB-GENE-141212-380")</f>
        <v>https://zfin.org/ZDB-GENE-141212-380</v>
      </c>
      <c r="J3390" t="s">
        <v>2092</v>
      </c>
    </row>
    <row r="3391" spans="1:10" x14ac:dyDescent="0.2">
      <c r="A3391">
        <v>2.7106004546478401E-14</v>
      </c>
      <c r="B3391">
        <v>0.57832193091236095</v>
      </c>
      <c r="C3391">
        <v>0.28100000000000003</v>
      </c>
      <c r="D3391">
        <v>0.11</v>
      </c>
      <c r="E3391">
        <v>3.7671925118695702E-10</v>
      </c>
      <c r="F3391">
        <v>6</v>
      </c>
      <c r="G3391" t="s">
        <v>3210</v>
      </c>
      <c r="H3391" t="s">
        <v>3211</v>
      </c>
      <c r="I3391" t="str">
        <f>HYPERLINK("https://zfin.org/ZDB-GENE-050417-363")</f>
        <v>https://zfin.org/ZDB-GENE-050417-363</v>
      </c>
      <c r="J3391" t="s">
        <v>3212</v>
      </c>
    </row>
    <row r="3392" spans="1:10" x14ac:dyDescent="0.2">
      <c r="A3392">
        <v>3.5424033227652101E-14</v>
      </c>
      <c r="B3392">
        <v>-0.30971348619733002</v>
      </c>
      <c r="C3392">
        <v>0.96899999999999997</v>
      </c>
      <c r="D3392">
        <v>0.97499999999999998</v>
      </c>
      <c r="E3392">
        <v>4.9232321379790904E-10</v>
      </c>
      <c r="F3392">
        <v>6</v>
      </c>
      <c r="G3392" t="s">
        <v>2361</v>
      </c>
      <c r="H3392" t="s">
        <v>2362</v>
      </c>
      <c r="I3392" t="str">
        <f>HYPERLINK("https://zfin.org/ZDB-GENE-040801-183")</f>
        <v>https://zfin.org/ZDB-GENE-040801-183</v>
      </c>
      <c r="J3392" t="s">
        <v>2363</v>
      </c>
    </row>
    <row r="3393" spans="1:10" x14ac:dyDescent="0.2">
      <c r="A3393">
        <v>4.8323130118790002E-14</v>
      </c>
      <c r="B3393">
        <v>0.51344309797043497</v>
      </c>
      <c r="C3393">
        <v>0.32600000000000001</v>
      </c>
      <c r="D3393">
        <v>0.14299999999999999</v>
      </c>
      <c r="E3393">
        <v>6.7159486239094405E-10</v>
      </c>
      <c r="F3393">
        <v>6</v>
      </c>
      <c r="G3393" t="s">
        <v>6459</v>
      </c>
      <c r="H3393" t="s">
        <v>6460</v>
      </c>
      <c r="I3393" t="str">
        <f>HYPERLINK("https://zfin.org/ZDB-GENE-030131-7626")</f>
        <v>https://zfin.org/ZDB-GENE-030131-7626</v>
      </c>
      <c r="J3393" t="s">
        <v>6461</v>
      </c>
    </row>
    <row r="3394" spans="1:10" x14ac:dyDescent="0.2">
      <c r="A3394">
        <v>6.0865732533018605E-14</v>
      </c>
      <c r="B3394">
        <v>-0.26006966118055003</v>
      </c>
      <c r="C3394">
        <v>0.996</v>
      </c>
      <c r="D3394">
        <v>0.995</v>
      </c>
      <c r="E3394">
        <v>8.4591195074389296E-10</v>
      </c>
      <c r="F3394">
        <v>6</v>
      </c>
      <c r="G3394" t="s">
        <v>2105</v>
      </c>
      <c r="H3394" t="s">
        <v>2106</v>
      </c>
      <c r="I3394" t="str">
        <f>HYPERLINK("https://zfin.org/ZDB-GENE-040426-1716")</f>
        <v>https://zfin.org/ZDB-GENE-040426-1716</v>
      </c>
      <c r="J3394" t="s">
        <v>2107</v>
      </c>
    </row>
    <row r="3395" spans="1:10" x14ac:dyDescent="0.2">
      <c r="A3395">
        <v>6.1946140108987399E-14</v>
      </c>
      <c r="B3395">
        <v>-0.25486803937330699</v>
      </c>
      <c r="C3395">
        <v>0.996</v>
      </c>
      <c r="D3395">
        <v>0.99399999999999999</v>
      </c>
      <c r="E3395">
        <v>8.6092745523470596E-10</v>
      </c>
      <c r="F3395">
        <v>6</v>
      </c>
      <c r="G3395" t="s">
        <v>1671</v>
      </c>
      <c r="H3395" t="s">
        <v>1672</v>
      </c>
      <c r="I3395" t="str">
        <f>HYPERLINK("https://zfin.org/ZDB-GENE-040625-147")</f>
        <v>https://zfin.org/ZDB-GENE-040625-147</v>
      </c>
      <c r="J3395" t="s">
        <v>1673</v>
      </c>
    </row>
    <row r="3396" spans="1:10" x14ac:dyDescent="0.2">
      <c r="A3396">
        <v>9.2222873607888405E-14</v>
      </c>
      <c r="B3396">
        <v>0.43252759845605299</v>
      </c>
      <c r="C3396">
        <v>0.308</v>
      </c>
      <c r="D3396">
        <v>0.13</v>
      </c>
      <c r="E3396">
        <v>1.2817134974024299E-9</v>
      </c>
      <c r="F3396">
        <v>6</v>
      </c>
      <c r="G3396" t="s">
        <v>6462</v>
      </c>
      <c r="H3396" t="s">
        <v>6463</v>
      </c>
      <c r="I3396" t="str">
        <f>HYPERLINK("https://zfin.org/ZDB-GENE-040426-2361")</f>
        <v>https://zfin.org/ZDB-GENE-040426-2361</v>
      </c>
      <c r="J3396" t="s">
        <v>6464</v>
      </c>
    </row>
    <row r="3397" spans="1:10" x14ac:dyDescent="0.2">
      <c r="A3397">
        <v>1.11407992645983E-13</v>
      </c>
      <c r="B3397">
        <v>0.577117385256536</v>
      </c>
      <c r="C3397">
        <v>0.50900000000000001</v>
      </c>
      <c r="D3397">
        <v>0.28699999999999998</v>
      </c>
      <c r="E3397">
        <v>1.54834828179388E-9</v>
      </c>
      <c r="F3397">
        <v>6</v>
      </c>
      <c r="G3397" t="s">
        <v>942</v>
      </c>
      <c r="H3397" t="s">
        <v>943</v>
      </c>
      <c r="I3397" t="str">
        <f>HYPERLINK("https://zfin.org/ZDB-GENE-040801-218")</f>
        <v>https://zfin.org/ZDB-GENE-040801-218</v>
      </c>
      <c r="J3397" t="s">
        <v>944</v>
      </c>
    </row>
    <row r="3398" spans="1:10" x14ac:dyDescent="0.2">
      <c r="A3398">
        <v>1.3434046528220899E-13</v>
      </c>
      <c r="B3398">
        <v>-0.33191534822777702</v>
      </c>
      <c r="C3398">
        <v>0.93799999999999994</v>
      </c>
      <c r="D3398">
        <v>0.95399999999999996</v>
      </c>
      <c r="E3398">
        <v>1.8670637864921401E-9</v>
      </c>
      <c r="F3398">
        <v>6</v>
      </c>
      <c r="G3398" t="s">
        <v>1821</v>
      </c>
      <c r="H3398" t="s">
        <v>1822</v>
      </c>
      <c r="I3398" t="str">
        <f>HYPERLINK("https://zfin.org/ZDB-GENE-031007-1")</f>
        <v>https://zfin.org/ZDB-GENE-031007-1</v>
      </c>
      <c r="J3398" t="s">
        <v>1823</v>
      </c>
    </row>
    <row r="3399" spans="1:10" x14ac:dyDescent="0.2">
      <c r="A3399">
        <v>2.65233154138527E-13</v>
      </c>
      <c r="B3399">
        <v>-0.30900305700869402</v>
      </c>
      <c r="C3399">
        <v>0.98199999999999998</v>
      </c>
      <c r="D3399">
        <v>0.98599999999999999</v>
      </c>
      <c r="E3399">
        <v>3.68621037621725E-9</v>
      </c>
      <c r="F3399">
        <v>6</v>
      </c>
      <c r="G3399" t="s">
        <v>1991</v>
      </c>
      <c r="H3399" t="s">
        <v>1992</v>
      </c>
      <c r="I3399" t="str">
        <f>HYPERLINK("https://zfin.org/ZDB-GENE-040426-811")</f>
        <v>https://zfin.org/ZDB-GENE-040426-811</v>
      </c>
      <c r="J3399" t="s">
        <v>1993</v>
      </c>
    </row>
    <row r="3400" spans="1:10" x14ac:dyDescent="0.2">
      <c r="A3400">
        <v>2.96533476847167E-13</v>
      </c>
      <c r="B3400">
        <v>0.28695495877701299</v>
      </c>
      <c r="C3400">
        <v>0.10299999999999999</v>
      </c>
      <c r="D3400">
        <v>2.1000000000000001E-2</v>
      </c>
      <c r="E3400">
        <v>4.1212222612219299E-9</v>
      </c>
      <c r="F3400">
        <v>6</v>
      </c>
      <c r="G3400" t="s">
        <v>6465</v>
      </c>
      <c r="H3400" t="s">
        <v>6466</v>
      </c>
      <c r="I3400" t="str">
        <f>HYPERLINK("https://zfin.org/ZDB-GENE-070620-8")</f>
        <v>https://zfin.org/ZDB-GENE-070620-8</v>
      </c>
      <c r="J3400" t="s">
        <v>6467</v>
      </c>
    </row>
    <row r="3401" spans="1:10" x14ac:dyDescent="0.2">
      <c r="A3401">
        <v>3.1960839004649598E-13</v>
      </c>
      <c r="B3401">
        <v>0.43697742134525802</v>
      </c>
      <c r="C3401">
        <v>0.88800000000000001</v>
      </c>
      <c r="D3401">
        <v>0.88400000000000001</v>
      </c>
      <c r="E3401">
        <v>4.4419174048662104E-9</v>
      </c>
      <c r="F3401">
        <v>6</v>
      </c>
      <c r="G3401" t="s">
        <v>1344</v>
      </c>
      <c r="H3401" t="s">
        <v>1345</v>
      </c>
      <c r="I3401" t="str">
        <f>HYPERLINK("https://zfin.org/ZDB-GENE-141222-6")</f>
        <v>https://zfin.org/ZDB-GENE-141222-6</v>
      </c>
      <c r="J3401" t="s">
        <v>1346</v>
      </c>
    </row>
    <row r="3402" spans="1:10" x14ac:dyDescent="0.2">
      <c r="A3402">
        <v>3.65777069199462E-13</v>
      </c>
      <c r="B3402">
        <v>0.37041684901588801</v>
      </c>
      <c r="C3402">
        <v>0.14299999999999999</v>
      </c>
      <c r="D3402">
        <v>3.9E-2</v>
      </c>
      <c r="E3402">
        <v>5.08356970773413E-9</v>
      </c>
      <c r="F3402">
        <v>6</v>
      </c>
      <c r="G3402" t="s">
        <v>6468</v>
      </c>
      <c r="H3402" t="s">
        <v>6469</v>
      </c>
      <c r="I3402" t="str">
        <f>HYPERLINK("https://zfin.org/ZDB-GENE-030131-7461")</f>
        <v>https://zfin.org/ZDB-GENE-030131-7461</v>
      </c>
      <c r="J3402" t="s">
        <v>6470</v>
      </c>
    </row>
    <row r="3403" spans="1:10" x14ac:dyDescent="0.2">
      <c r="A3403">
        <v>3.6619914668117802E-13</v>
      </c>
      <c r="B3403">
        <v>0.53324422853530495</v>
      </c>
      <c r="C3403">
        <v>0.46899999999999997</v>
      </c>
      <c r="D3403">
        <v>0.27400000000000002</v>
      </c>
      <c r="E3403">
        <v>5.0894357405750098E-9</v>
      </c>
      <c r="F3403">
        <v>6</v>
      </c>
      <c r="G3403" t="s">
        <v>6471</v>
      </c>
      <c r="H3403" t="s">
        <v>6472</v>
      </c>
      <c r="I3403" t="str">
        <f>HYPERLINK("https://zfin.org/ZDB-GENE-040426-2379")</f>
        <v>https://zfin.org/ZDB-GENE-040426-2379</v>
      </c>
      <c r="J3403" t="s">
        <v>6473</v>
      </c>
    </row>
    <row r="3404" spans="1:10" x14ac:dyDescent="0.2">
      <c r="A3404">
        <v>4.6757488732971196E-13</v>
      </c>
      <c r="B3404">
        <v>0.43482914886929402</v>
      </c>
      <c r="C3404">
        <v>0.41099999999999998</v>
      </c>
      <c r="D3404">
        <v>0.20899999999999999</v>
      </c>
      <c r="E3404">
        <v>6.4983557841083399E-9</v>
      </c>
      <c r="F3404">
        <v>6</v>
      </c>
      <c r="G3404" t="s">
        <v>6474</v>
      </c>
      <c r="H3404" t="s">
        <v>6475</v>
      </c>
      <c r="I3404" t="str">
        <f>HYPERLINK("https://zfin.org/ZDB-GENE-000607-70")</f>
        <v>https://zfin.org/ZDB-GENE-000607-70</v>
      </c>
      <c r="J3404" t="s">
        <v>6476</v>
      </c>
    </row>
    <row r="3405" spans="1:10" x14ac:dyDescent="0.2">
      <c r="A3405">
        <v>5.4676703953110303E-13</v>
      </c>
      <c r="B3405">
        <v>-0.71045681143411898</v>
      </c>
      <c r="C3405">
        <v>0.25</v>
      </c>
      <c r="D3405">
        <v>0.47799999999999998</v>
      </c>
      <c r="E3405">
        <v>7.59896831540326E-9</v>
      </c>
      <c r="F3405">
        <v>6</v>
      </c>
      <c r="G3405" t="s">
        <v>2607</v>
      </c>
      <c r="H3405" t="s">
        <v>2608</v>
      </c>
      <c r="I3405" t="str">
        <f>HYPERLINK("https://zfin.org/ZDB-GENE-030911-2")</f>
        <v>https://zfin.org/ZDB-GENE-030911-2</v>
      </c>
      <c r="J3405" t="s">
        <v>2609</v>
      </c>
    </row>
    <row r="3406" spans="1:10" x14ac:dyDescent="0.2">
      <c r="A3406">
        <v>8.3814948893482396E-13</v>
      </c>
      <c r="B3406">
        <v>0.39307507041057099</v>
      </c>
      <c r="C3406">
        <v>0.188</v>
      </c>
      <c r="D3406">
        <v>6.0999999999999999E-2</v>
      </c>
      <c r="E3406">
        <v>1.1648601597216201E-8</v>
      </c>
      <c r="F3406">
        <v>6</v>
      </c>
      <c r="G3406" t="s">
        <v>6477</v>
      </c>
      <c r="H3406" t="s">
        <v>6478</v>
      </c>
      <c r="I3406" t="str">
        <f>HYPERLINK("https://zfin.org/")</f>
        <v>https://zfin.org/</v>
      </c>
    </row>
    <row r="3407" spans="1:10" x14ac:dyDescent="0.2">
      <c r="A3407">
        <v>8.81265144435962E-13</v>
      </c>
      <c r="B3407">
        <v>0.41769876076940299</v>
      </c>
      <c r="C3407">
        <v>0.219</v>
      </c>
      <c r="D3407">
        <v>7.9000000000000001E-2</v>
      </c>
      <c r="E3407">
        <v>1.2247822977371E-8</v>
      </c>
      <c r="F3407">
        <v>6</v>
      </c>
      <c r="G3407" t="s">
        <v>6479</v>
      </c>
      <c r="H3407" t="s">
        <v>6480</v>
      </c>
      <c r="I3407" t="str">
        <f>HYPERLINK("https://zfin.org/ZDB-GENE-020320-4")</f>
        <v>https://zfin.org/ZDB-GENE-020320-4</v>
      </c>
      <c r="J3407" t="s">
        <v>6481</v>
      </c>
    </row>
    <row r="3408" spans="1:10" x14ac:dyDescent="0.2">
      <c r="A3408">
        <v>9.1044325771670206E-13</v>
      </c>
      <c r="B3408">
        <v>0.42622834932708198</v>
      </c>
      <c r="C3408">
        <v>0.65600000000000003</v>
      </c>
      <c r="D3408">
        <v>0.435</v>
      </c>
      <c r="E3408">
        <v>1.26533403957467E-8</v>
      </c>
      <c r="F3408">
        <v>6</v>
      </c>
      <c r="G3408" t="s">
        <v>2322</v>
      </c>
      <c r="H3408" t="s">
        <v>2323</v>
      </c>
      <c r="I3408" t="str">
        <f>HYPERLINK("https://zfin.org/ZDB-GENE-040426-1362")</f>
        <v>https://zfin.org/ZDB-GENE-040426-1362</v>
      </c>
      <c r="J3408" t="s">
        <v>2324</v>
      </c>
    </row>
    <row r="3409" spans="1:10" x14ac:dyDescent="0.2">
      <c r="A3409">
        <v>9.7320107000526207E-13</v>
      </c>
      <c r="B3409">
        <v>-0.32996650234703701</v>
      </c>
      <c r="C3409">
        <v>0.97799999999999998</v>
      </c>
      <c r="D3409">
        <v>0.98099999999999998</v>
      </c>
      <c r="E3409">
        <v>1.35255484709331E-8</v>
      </c>
      <c r="F3409">
        <v>6</v>
      </c>
      <c r="G3409" t="s">
        <v>1883</v>
      </c>
      <c r="H3409" t="s">
        <v>1884</v>
      </c>
      <c r="I3409" t="str">
        <f>HYPERLINK("https://zfin.org/ZDB-GENE-070327-2")</f>
        <v>https://zfin.org/ZDB-GENE-070327-2</v>
      </c>
      <c r="J3409" t="s">
        <v>1885</v>
      </c>
    </row>
    <row r="3410" spans="1:10" x14ac:dyDescent="0.2">
      <c r="A3410">
        <v>1.03511801868304E-12</v>
      </c>
      <c r="B3410">
        <v>-0.28589248854302202</v>
      </c>
      <c r="C3410">
        <v>0.94599999999999995</v>
      </c>
      <c r="D3410">
        <v>0.96799999999999997</v>
      </c>
      <c r="E3410">
        <v>1.43860702236569E-8</v>
      </c>
      <c r="F3410">
        <v>6</v>
      </c>
      <c r="G3410" t="s">
        <v>1749</v>
      </c>
      <c r="H3410" t="s">
        <v>1750</v>
      </c>
      <c r="I3410" t="str">
        <f>HYPERLINK("https://zfin.org/ZDB-GENE-040927-19")</f>
        <v>https://zfin.org/ZDB-GENE-040927-19</v>
      </c>
      <c r="J3410" t="s">
        <v>1751</v>
      </c>
    </row>
    <row r="3411" spans="1:10" x14ac:dyDescent="0.2">
      <c r="A3411">
        <v>1.35946269768522E-12</v>
      </c>
      <c r="B3411">
        <v>0.338634240372364</v>
      </c>
      <c r="C3411">
        <v>0.152</v>
      </c>
      <c r="D3411">
        <v>4.3999999999999997E-2</v>
      </c>
      <c r="E3411">
        <v>1.8893812572429299E-8</v>
      </c>
      <c r="F3411">
        <v>6</v>
      </c>
      <c r="G3411" t="s">
        <v>6482</v>
      </c>
      <c r="H3411" t="s">
        <v>6483</v>
      </c>
      <c r="I3411" t="str">
        <f>HYPERLINK("https://zfin.org/ZDB-GENE-060512-221")</f>
        <v>https://zfin.org/ZDB-GENE-060512-221</v>
      </c>
      <c r="J3411" t="s">
        <v>6484</v>
      </c>
    </row>
    <row r="3412" spans="1:10" x14ac:dyDescent="0.2">
      <c r="A3412">
        <v>1.6966819785288601E-12</v>
      </c>
      <c r="B3412">
        <v>0.44735838641957998</v>
      </c>
      <c r="C3412">
        <v>0.379</v>
      </c>
      <c r="D3412">
        <v>0.185</v>
      </c>
      <c r="E3412">
        <v>2.3580486137594099E-8</v>
      </c>
      <c r="F3412">
        <v>6</v>
      </c>
      <c r="G3412" t="s">
        <v>2966</v>
      </c>
      <c r="H3412" t="s">
        <v>2967</v>
      </c>
      <c r="I3412" t="str">
        <f>HYPERLINK("https://zfin.org/ZDB-GENE-040718-449")</f>
        <v>https://zfin.org/ZDB-GENE-040718-449</v>
      </c>
      <c r="J3412" t="s">
        <v>2968</v>
      </c>
    </row>
    <row r="3413" spans="1:10" x14ac:dyDescent="0.2">
      <c r="A3413">
        <v>1.9225609088803198E-12</v>
      </c>
      <c r="B3413">
        <v>-0.28479150028396299</v>
      </c>
      <c r="C3413">
        <v>0.97799999999999998</v>
      </c>
      <c r="D3413">
        <v>0.97899999999999998</v>
      </c>
      <c r="E3413">
        <v>2.67197515116187E-8</v>
      </c>
      <c r="F3413">
        <v>6</v>
      </c>
      <c r="G3413" t="s">
        <v>1913</v>
      </c>
      <c r="H3413" t="s">
        <v>1914</v>
      </c>
      <c r="I3413" t="str">
        <f>HYPERLINK("https://zfin.org/ZDB-GENE-030131-8646")</f>
        <v>https://zfin.org/ZDB-GENE-030131-8646</v>
      </c>
      <c r="J3413" t="s">
        <v>1915</v>
      </c>
    </row>
    <row r="3414" spans="1:10" x14ac:dyDescent="0.2">
      <c r="A3414">
        <v>2.1004435979412601E-12</v>
      </c>
      <c r="B3414">
        <v>-0.30422016004667601</v>
      </c>
      <c r="C3414">
        <v>0.92400000000000004</v>
      </c>
      <c r="D3414">
        <v>0.96799999999999997</v>
      </c>
      <c r="E3414">
        <v>2.9191965124187699E-8</v>
      </c>
      <c r="F3414">
        <v>6</v>
      </c>
      <c r="G3414" t="s">
        <v>1758</v>
      </c>
      <c r="H3414" t="s">
        <v>1759</v>
      </c>
      <c r="I3414" t="str">
        <f>HYPERLINK("https://zfin.org/ZDB-GENE-040718-190")</f>
        <v>https://zfin.org/ZDB-GENE-040718-190</v>
      </c>
      <c r="J3414" t="s">
        <v>1760</v>
      </c>
    </row>
    <row r="3415" spans="1:10" x14ac:dyDescent="0.2">
      <c r="A3415">
        <v>3.18751138983881E-12</v>
      </c>
      <c r="B3415">
        <v>0.31187926039070801</v>
      </c>
      <c r="C3415">
        <v>0.93799999999999994</v>
      </c>
      <c r="D3415">
        <v>0.85</v>
      </c>
      <c r="E3415">
        <v>4.4300033295979702E-8</v>
      </c>
      <c r="F3415">
        <v>6</v>
      </c>
      <c r="G3415" t="s">
        <v>1704</v>
      </c>
      <c r="H3415" t="s">
        <v>1705</v>
      </c>
      <c r="I3415" t="str">
        <f>HYPERLINK("https://zfin.org/ZDB-GENE-030131-5475")</f>
        <v>https://zfin.org/ZDB-GENE-030131-5475</v>
      </c>
      <c r="J3415" t="s">
        <v>1706</v>
      </c>
    </row>
    <row r="3416" spans="1:10" x14ac:dyDescent="0.2">
      <c r="A3416">
        <v>3.22444143229435E-12</v>
      </c>
      <c r="B3416">
        <v>0.48126202889084202</v>
      </c>
      <c r="C3416">
        <v>0.45500000000000002</v>
      </c>
      <c r="D3416">
        <v>0.25800000000000001</v>
      </c>
      <c r="E3416">
        <v>4.4813287026026802E-8</v>
      </c>
      <c r="F3416">
        <v>6</v>
      </c>
      <c r="G3416" t="s">
        <v>3426</v>
      </c>
      <c r="H3416" t="s">
        <v>3427</v>
      </c>
      <c r="I3416" t="str">
        <f>HYPERLINK("https://zfin.org/ZDB-GENE-030131-7332")</f>
        <v>https://zfin.org/ZDB-GENE-030131-7332</v>
      </c>
      <c r="J3416" t="s">
        <v>3428</v>
      </c>
    </row>
    <row r="3417" spans="1:10" x14ac:dyDescent="0.2">
      <c r="A3417">
        <v>5.1759814375725099E-12</v>
      </c>
      <c r="B3417">
        <v>0.43843747721360599</v>
      </c>
      <c r="C3417">
        <v>0.192</v>
      </c>
      <c r="D3417">
        <v>6.7000000000000004E-2</v>
      </c>
      <c r="E3417">
        <v>7.1935790019382704E-8</v>
      </c>
      <c r="F3417">
        <v>6</v>
      </c>
      <c r="G3417" t="s">
        <v>6485</v>
      </c>
      <c r="H3417" t="s">
        <v>6486</v>
      </c>
      <c r="I3417" t="str">
        <f>HYPERLINK("https://zfin.org/ZDB-GENE-141216-226")</f>
        <v>https://zfin.org/ZDB-GENE-141216-226</v>
      </c>
      <c r="J3417" t="s">
        <v>6487</v>
      </c>
    </row>
    <row r="3418" spans="1:10" x14ac:dyDescent="0.2">
      <c r="A3418">
        <v>5.2697772250438404E-12</v>
      </c>
      <c r="B3418">
        <v>-0.26934271307929297</v>
      </c>
      <c r="C3418">
        <v>0.98699999999999999</v>
      </c>
      <c r="D3418">
        <v>0.98699999999999999</v>
      </c>
      <c r="E3418">
        <v>7.3239363873659194E-8</v>
      </c>
      <c r="F3418">
        <v>6</v>
      </c>
      <c r="G3418" t="s">
        <v>1910</v>
      </c>
      <c r="H3418" t="s">
        <v>1911</v>
      </c>
      <c r="I3418" t="str">
        <f>HYPERLINK("https://zfin.org/ZDB-GENE-030131-8951")</f>
        <v>https://zfin.org/ZDB-GENE-030131-8951</v>
      </c>
      <c r="J3418" t="s">
        <v>1912</v>
      </c>
    </row>
    <row r="3419" spans="1:10" x14ac:dyDescent="0.2">
      <c r="A3419">
        <v>6.2781376992867999E-12</v>
      </c>
      <c r="B3419">
        <v>0.50346003802252703</v>
      </c>
      <c r="C3419">
        <v>0.57599999999999996</v>
      </c>
      <c r="D3419">
        <v>0.38400000000000001</v>
      </c>
      <c r="E3419">
        <v>8.7253557744687904E-8</v>
      </c>
      <c r="F3419">
        <v>6</v>
      </c>
      <c r="G3419" t="s">
        <v>2700</v>
      </c>
      <c r="H3419" t="s">
        <v>2701</v>
      </c>
      <c r="I3419" t="str">
        <f>HYPERLINK("https://zfin.org/ZDB-GENE-050417-338")</f>
        <v>https://zfin.org/ZDB-GENE-050417-338</v>
      </c>
      <c r="J3419" t="s">
        <v>2702</v>
      </c>
    </row>
    <row r="3420" spans="1:10" x14ac:dyDescent="0.2">
      <c r="A3420">
        <v>7.5524630861059402E-12</v>
      </c>
      <c r="B3420">
        <v>-0.85331950829713898</v>
      </c>
      <c r="C3420">
        <v>0.17399999999999999</v>
      </c>
      <c r="D3420">
        <v>0.39400000000000002</v>
      </c>
      <c r="E3420">
        <v>1.0496413197069999E-7</v>
      </c>
      <c r="F3420">
        <v>6</v>
      </c>
      <c r="G3420" t="s">
        <v>2634</v>
      </c>
      <c r="H3420" t="s">
        <v>2635</v>
      </c>
      <c r="I3420" t="str">
        <f>HYPERLINK("https://zfin.org/ZDB-GENE-011212-6")</f>
        <v>https://zfin.org/ZDB-GENE-011212-6</v>
      </c>
      <c r="J3420" t="s">
        <v>2636</v>
      </c>
    </row>
    <row r="3421" spans="1:10" x14ac:dyDescent="0.2">
      <c r="A3421">
        <v>8.0284037277634494E-12</v>
      </c>
      <c r="B3421">
        <v>-0.91700154082128404</v>
      </c>
      <c r="C3421">
        <v>0.17899999999999999</v>
      </c>
      <c r="D3421">
        <v>0.39300000000000002</v>
      </c>
      <c r="E3421">
        <v>1.11578755008456E-7</v>
      </c>
      <c r="F3421">
        <v>6</v>
      </c>
      <c r="G3421" t="s">
        <v>984</v>
      </c>
      <c r="H3421" t="s">
        <v>985</v>
      </c>
      <c r="I3421" t="str">
        <f>HYPERLINK("https://zfin.org/ZDB-GENE-040718-162")</f>
        <v>https://zfin.org/ZDB-GENE-040718-162</v>
      </c>
      <c r="J3421" t="s">
        <v>986</v>
      </c>
    </row>
    <row r="3422" spans="1:10" x14ac:dyDescent="0.2">
      <c r="A3422">
        <v>8.7341174975625093E-12</v>
      </c>
      <c r="B3422">
        <v>0.36987590925483199</v>
      </c>
      <c r="C3422">
        <v>0.63400000000000001</v>
      </c>
      <c r="D3422">
        <v>0.40500000000000003</v>
      </c>
      <c r="E3422">
        <v>1.21386764981124E-7</v>
      </c>
      <c r="F3422">
        <v>6</v>
      </c>
      <c r="G3422" t="s">
        <v>2403</v>
      </c>
      <c r="H3422" t="s">
        <v>2404</v>
      </c>
      <c r="I3422" t="str">
        <f>HYPERLINK("https://zfin.org/ZDB-GENE-040801-77")</f>
        <v>https://zfin.org/ZDB-GENE-040801-77</v>
      </c>
      <c r="J3422" t="s">
        <v>2405</v>
      </c>
    </row>
    <row r="3423" spans="1:10" x14ac:dyDescent="0.2">
      <c r="A3423">
        <v>9.1863424865568106E-12</v>
      </c>
      <c r="B3423">
        <v>0.37926045638471501</v>
      </c>
      <c r="C3423">
        <v>0.60699999999999998</v>
      </c>
      <c r="D3423">
        <v>0.38300000000000001</v>
      </c>
      <c r="E3423">
        <v>1.2767178787816699E-7</v>
      </c>
      <c r="F3423">
        <v>6</v>
      </c>
      <c r="G3423" t="s">
        <v>2274</v>
      </c>
      <c r="H3423" t="s">
        <v>2275</v>
      </c>
      <c r="I3423" t="str">
        <f>HYPERLINK("https://zfin.org/ZDB-GENE-041114-138")</f>
        <v>https://zfin.org/ZDB-GENE-041114-138</v>
      </c>
      <c r="J3423" t="s">
        <v>2276</v>
      </c>
    </row>
    <row r="3424" spans="1:10" x14ac:dyDescent="0.2">
      <c r="A3424">
        <v>1.04947445135619E-11</v>
      </c>
      <c r="B3424">
        <v>-0.250522578150842</v>
      </c>
      <c r="C3424">
        <v>1</v>
      </c>
      <c r="D3424">
        <v>0.98599999999999999</v>
      </c>
      <c r="E3424">
        <v>1.4585595924948399E-7</v>
      </c>
      <c r="F3424">
        <v>6</v>
      </c>
      <c r="G3424" t="s">
        <v>1875</v>
      </c>
      <c r="H3424" t="s">
        <v>1876</v>
      </c>
      <c r="I3424" t="str">
        <f>HYPERLINK("https://zfin.org/ZDB-GENE-030131-8626")</f>
        <v>https://zfin.org/ZDB-GENE-030131-8626</v>
      </c>
      <c r="J3424" t="s">
        <v>1877</v>
      </c>
    </row>
    <row r="3425" spans="1:10" x14ac:dyDescent="0.2">
      <c r="A3425">
        <v>1.3146933313388E-11</v>
      </c>
      <c r="B3425">
        <v>-0.25305089692414301</v>
      </c>
      <c r="C3425">
        <v>0.98199999999999998</v>
      </c>
      <c r="D3425">
        <v>0.98499999999999999</v>
      </c>
      <c r="E3425">
        <v>1.82716079189466E-7</v>
      </c>
      <c r="F3425">
        <v>6</v>
      </c>
      <c r="G3425" t="s">
        <v>1860</v>
      </c>
      <c r="H3425" t="s">
        <v>1861</v>
      </c>
      <c r="I3425" t="str">
        <f>HYPERLINK("https://zfin.org/ZDB-GENE-040801-165")</f>
        <v>https://zfin.org/ZDB-GENE-040801-165</v>
      </c>
      <c r="J3425" t="s">
        <v>1862</v>
      </c>
    </row>
    <row r="3426" spans="1:10" x14ac:dyDescent="0.2">
      <c r="A3426">
        <v>1.4075659560269601E-11</v>
      </c>
      <c r="B3426">
        <v>-0.29576950586379103</v>
      </c>
      <c r="C3426">
        <v>0.94599999999999995</v>
      </c>
      <c r="D3426">
        <v>0.95899999999999996</v>
      </c>
      <c r="E3426">
        <v>1.95623516568627E-7</v>
      </c>
      <c r="F3426">
        <v>6</v>
      </c>
      <c r="G3426" t="s">
        <v>2009</v>
      </c>
      <c r="H3426" t="s">
        <v>2010</v>
      </c>
      <c r="I3426" t="str">
        <f>HYPERLINK("https://zfin.org/ZDB-GENE-030131-4343")</f>
        <v>https://zfin.org/ZDB-GENE-030131-4343</v>
      </c>
      <c r="J3426" t="s">
        <v>2011</v>
      </c>
    </row>
    <row r="3427" spans="1:10" x14ac:dyDescent="0.2">
      <c r="A3427">
        <v>1.93631645540714E-11</v>
      </c>
      <c r="B3427">
        <v>-0.294043825093458</v>
      </c>
      <c r="C3427">
        <v>0.94199999999999995</v>
      </c>
      <c r="D3427">
        <v>0.96599999999999997</v>
      </c>
      <c r="E3427">
        <v>2.69109260972484E-7</v>
      </c>
      <c r="F3427">
        <v>6</v>
      </c>
      <c r="G3427" t="s">
        <v>2885</v>
      </c>
      <c r="H3427" t="s">
        <v>2886</v>
      </c>
      <c r="I3427" t="str">
        <f>HYPERLINK("https://zfin.org/ZDB-GENE-000629-1")</f>
        <v>https://zfin.org/ZDB-GENE-000629-1</v>
      </c>
      <c r="J3427" t="s">
        <v>2887</v>
      </c>
    </row>
    <row r="3428" spans="1:10" x14ac:dyDescent="0.2">
      <c r="A3428">
        <v>2.2982938300833201E-11</v>
      </c>
      <c r="B3428">
        <v>0.50387392800658404</v>
      </c>
      <c r="C3428">
        <v>0.63400000000000001</v>
      </c>
      <c r="D3428">
        <v>0.432</v>
      </c>
      <c r="E3428">
        <v>3.1941687650498001E-7</v>
      </c>
      <c r="F3428">
        <v>6</v>
      </c>
      <c r="G3428" t="s">
        <v>2328</v>
      </c>
      <c r="H3428" t="s">
        <v>2329</v>
      </c>
      <c r="I3428" t="str">
        <f>HYPERLINK("https://zfin.org/ZDB-GENE-030707-2")</f>
        <v>https://zfin.org/ZDB-GENE-030707-2</v>
      </c>
      <c r="J3428" t="s">
        <v>2330</v>
      </c>
    </row>
    <row r="3429" spans="1:10" x14ac:dyDescent="0.2">
      <c r="A3429">
        <v>2.6667549483203E-11</v>
      </c>
      <c r="B3429">
        <v>0.31779482482858201</v>
      </c>
      <c r="C3429">
        <v>0.28100000000000003</v>
      </c>
      <c r="D3429">
        <v>0.122</v>
      </c>
      <c r="E3429">
        <v>3.7062560271755598E-7</v>
      </c>
      <c r="F3429">
        <v>6</v>
      </c>
      <c r="G3429" t="s">
        <v>3222</v>
      </c>
      <c r="H3429" t="s">
        <v>3223</v>
      </c>
      <c r="I3429" t="str">
        <f>HYPERLINK("https://zfin.org/ZDB-GENE-000627-1")</f>
        <v>https://zfin.org/ZDB-GENE-000627-1</v>
      </c>
      <c r="J3429" t="s">
        <v>3224</v>
      </c>
    </row>
    <row r="3430" spans="1:10" x14ac:dyDescent="0.2">
      <c r="A3430">
        <v>3.0372538607840302E-11</v>
      </c>
      <c r="B3430">
        <v>0.41033316253206398</v>
      </c>
      <c r="C3430">
        <v>0.45100000000000001</v>
      </c>
      <c r="D3430">
        <v>0.25900000000000001</v>
      </c>
      <c r="E3430">
        <v>4.2211754157176402E-7</v>
      </c>
      <c r="F3430">
        <v>6</v>
      </c>
      <c r="G3430" t="s">
        <v>2903</v>
      </c>
      <c r="H3430" t="s">
        <v>2904</v>
      </c>
      <c r="I3430" t="str">
        <f>HYPERLINK("https://zfin.org/ZDB-GENE-041210-181")</f>
        <v>https://zfin.org/ZDB-GENE-041210-181</v>
      </c>
      <c r="J3430" t="s">
        <v>2905</v>
      </c>
    </row>
    <row r="3431" spans="1:10" x14ac:dyDescent="0.2">
      <c r="A3431">
        <v>3.1160231150108598E-11</v>
      </c>
      <c r="B3431">
        <v>-0.27368717596668501</v>
      </c>
      <c r="C3431">
        <v>0.96899999999999997</v>
      </c>
      <c r="D3431">
        <v>0.97099999999999997</v>
      </c>
      <c r="E3431">
        <v>4.33064892524209E-7</v>
      </c>
      <c r="F3431">
        <v>6</v>
      </c>
      <c r="G3431" t="s">
        <v>1635</v>
      </c>
      <c r="H3431" t="s">
        <v>1636</v>
      </c>
      <c r="I3431" t="str">
        <f>HYPERLINK("https://zfin.org/ZDB-GENE-040426-1102")</f>
        <v>https://zfin.org/ZDB-GENE-040426-1102</v>
      </c>
      <c r="J3431" t="s">
        <v>1637</v>
      </c>
    </row>
    <row r="3432" spans="1:10" x14ac:dyDescent="0.2">
      <c r="A3432">
        <v>4.9014170245771003E-11</v>
      </c>
      <c r="B3432">
        <v>-0.25920636596017499</v>
      </c>
      <c r="C3432">
        <v>0.96899999999999997</v>
      </c>
      <c r="D3432">
        <v>0.97699999999999998</v>
      </c>
      <c r="E3432">
        <v>6.8119893807572601E-7</v>
      </c>
      <c r="F3432">
        <v>6</v>
      </c>
      <c r="G3432" t="s">
        <v>2400</v>
      </c>
      <c r="H3432" t="s">
        <v>2401</v>
      </c>
      <c r="I3432" t="str">
        <f>HYPERLINK("https://zfin.org/ZDB-GENE-040426-1670")</f>
        <v>https://zfin.org/ZDB-GENE-040426-1670</v>
      </c>
      <c r="J3432" t="s">
        <v>2402</v>
      </c>
    </row>
    <row r="3433" spans="1:10" x14ac:dyDescent="0.2">
      <c r="A3433">
        <v>5.3242337547895002E-11</v>
      </c>
      <c r="B3433">
        <v>0.31995869330982202</v>
      </c>
      <c r="C3433">
        <v>0.79900000000000004</v>
      </c>
      <c r="D3433">
        <v>0.629</v>
      </c>
      <c r="E3433">
        <v>7.3996200724064496E-7</v>
      </c>
      <c r="F3433">
        <v>6</v>
      </c>
      <c r="G3433" t="s">
        <v>2364</v>
      </c>
      <c r="H3433" t="s">
        <v>2365</v>
      </c>
      <c r="I3433" t="str">
        <f>HYPERLINK("https://zfin.org/ZDB-GENE-080204-124")</f>
        <v>https://zfin.org/ZDB-GENE-080204-124</v>
      </c>
      <c r="J3433" t="s">
        <v>2366</v>
      </c>
    </row>
    <row r="3434" spans="1:10" x14ac:dyDescent="0.2">
      <c r="A3434">
        <v>6.2380652960994302E-11</v>
      </c>
      <c r="B3434">
        <v>-0.27121752070945199</v>
      </c>
      <c r="C3434">
        <v>0.96399999999999997</v>
      </c>
      <c r="D3434">
        <v>0.93899999999999995</v>
      </c>
      <c r="E3434">
        <v>8.6696631485189895E-7</v>
      </c>
      <c r="F3434">
        <v>6</v>
      </c>
      <c r="G3434" t="s">
        <v>1863</v>
      </c>
      <c r="H3434" t="s">
        <v>1864</v>
      </c>
      <c r="I3434" t="str">
        <f>HYPERLINK("https://zfin.org/ZDB-GENE-030131-9184")</f>
        <v>https://zfin.org/ZDB-GENE-030131-9184</v>
      </c>
      <c r="J3434" t="s">
        <v>1865</v>
      </c>
    </row>
    <row r="3435" spans="1:10" x14ac:dyDescent="0.2">
      <c r="A3435">
        <v>6.9097748386765503E-11</v>
      </c>
      <c r="B3435">
        <v>-0.276654405560812</v>
      </c>
      <c r="C3435">
        <v>0.98199999999999998</v>
      </c>
      <c r="D3435">
        <v>0.97699999999999998</v>
      </c>
      <c r="E3435">
        <v>9.6032050707926693E-7</v>
      </c>
      <c r="F3435">
        <v>6</v>
      </c>
      <c r="G3435" t="s">
        <v>2250</v>
      </c>
      <c r="H3435" t="s">
        <v>2251</v>
      </c>
      <c r="I3435" t="str">
        <f>HYPERLINK("https://zfin.org/ZDB-GENE-030131-8654")</f>
        <v>https://zfin.org/ZDB-GENE-030131-8654</v>
      </c>
      <c r="J3435" t="s">
        <v>2252</v>
      </c>
    </row>
    <row r="3436" spans="1:10" x14ac:dyDescent="0.2">
      <c r="A3436">
        <v>7.11851905011161E-11</v>
      </c>
      <c r="B3436">
        <v>-0.76352411055723401</v>
      </c>
      <c r="C3436">
        <v>0.46</v>
      </c>
      <c r="D3436">
        <v>0.61799999999999999</v>
      </c>
      <c r="E3436">
        <v>9.8933177758451093E-7</v>
      </c>
      <c r="F3436">
        <v>6</v>
      </c>
      <c r="G3436" t="s">
        <v>2153</v>
      </c>
      <c r="H3436" t="s">
        <v>2154</v>
      </c>
      <c r="I3436" t="str">
        <f>HYPERLINK("https://zfin.org/ZDB-GENE-031016-2")</f>
        <v>https://zfin.org/ZDB-GENE-031016-2</v>
      </c>
      <c r="J3436" t="s">
        <v>2155</v>
      </c>
    </row>
    <row r="3437" spans="1:10" x14ac:dyDescent="0.2">
      <c r="A3437">
        <v>7.8151790428607495E-11</v>
      </c>
      <c r="B3437">
        <v>0.420746261135994</v>
      </c>
      <c r="C3437">
        <v>0.55400000000000005</v>
      </c>
      <c r="D3437">
        <v>0.35399999999999998</v>
      </c>
      <c r="E3437">
        <v>1.0861535833767901E-6</v>
      </c>
      <c r="F3437">
        <v>6</v>
      </c>
      <c r="G3437" t="s">
        <v>6488</v>
      </c>
      <c r="H3437" t="s">
        <v>6489</v>
      </c>
      <c r="I3437" t="str">
        <f>HYPERLINK("https://zfin.org/ZDB-GENE-050411-10")</f>
        <v>https://zfin.org/ZDB-GENE-050411-10</v>
      </c>
      <c r="J3437" t="s">
        <v>6490</v>
      </c>
    </row>
    <row r="3438" spans="1:10" x14ac:dyDescent="0.2">
      <c r="A3438">
        <v>8.3087904523401905E-11</v>
      </c>
      <c r="B3438">
        <v>0.42078092847149301</v>
      </c>
      <c r="C3438">
        <v>0.68799999999999994</v>
      </c>
      <c r="D3438">
        <v>0.47499999999999998</v>
      </c>
      <c r="E3438">
        <v>1.1547556970662399E-6</v>
      </c>
      <c r="F3438">
        <v>6</v>
      </c>
      <c r="G3438" t="s">
        <v>2289</v>
      </c>
      <c r="H3438" t="s">
        <v>2290</v>
      </c>
      <c r="I3438" t="str">
        <f>HYPERLINK("https://zfin.org/ZDB-GENE-030131-4678")</f>
        <v>https://zfin.org/ZDB-GENE-030131-4678</v>
      </c>
      <c r="J3438" t="s">
        <v>2291</v>
      </c>
    </row>
    <row r="3439" spans="1:10" x14ac:dyDescent="0.2">
      <c r="A3439">
        <v>8.89388675881933E-11</v>
      </c>
      <c r="B3439">
        <v>0.38123705341695802</v>
      </c>
      <c r="C3439">
        <v>0.192</v>
      </c>
      <c r="D3439">
        <v>7.1999999999999995E-2</v>
      </c>
      <c r="E3439">
        <v>1.23607238174071E-6</v>
      </c>
      <c r="F3439">
        <v>6</v>
      </c>
      <c r="G3439" t="s">
        <v>6491</v>
      </c>
      <c r="H3439" t="s">
        <v>6492</v>
      </c>
      <c r="I3439" t="str">
        <f>HYPERLINK("https://zfin.org/ZDB-GENE-050105-1")</f>
        <v>https://zfin.org/ZDB-GENE-050105-1</v>
      </c>
      <c r="J3439" t="s">
        <v>6493</v>
      </c>
    </row>
    <row r="3440" spans="1:10" x14ac:dyDescent="0.2">
      <c r="A3440">
        <v>1.10060651437851E-10</v>
      </c>
      <c r="B3440">
        <v>0.31061673160952602</v>
      </c>
      <c r="C3440">
        <v>0.17</v>
      </c>
      <c r="D3440">
        <v>5.8000000000000003E-2</v>
      </c>
      <c r="E3440">
        <v>1.52962293368326E-6</v>
      </c>
      <c r="F3440">
        <v>6</v>
      </c>
      <c r="G3440" t="s">
        <v>6494</v>
      </c>
      <c r="H3440" t="s">
        <v>6495</v>
      </c>
      <c r="I3440" t="str">
        <f>HYPERLINK("https://zfin.org/ZDB-GENE-040426-1909")</f>
        <v>https://zfin.org/ZDB-GENE-040426-1909</v>
      </c>
      <c r="J3440" t="s">
        <v>6496</v>
      </c>
    </row>
    <row r="3441" spans="1:10" x14ac:dyDescent="0.2">
      <c r="A3441">
        <v>1.2811806702866299E-10</v>
      </c>
      <c r="B3441">
        <v>0.44963633838144701</v>
      </c>
      <c r="C3441">
        <v>0.433</v>
      </c>
      <c r="D3441">
        <v>0.246</v>
      </c>
      <c r="E3441">
        <v>1.7805848955643599E-6</v>
      </c>
      <c r="F3441">
        <v>6</v>
      </c>
      <c r="G3441" t="s">
        <v>3348</v>
      </c>
      <c r="H3441" t="s">
        <v>3349</v>
      </c>
      <c r="I3441" t="str">
        <f>HYPERLINK("https://zfin.org/ZDB-GENE-120215-253")</f>
        <v>https://zfin.org/ZDB-GENE-120215-253</v>
      </c>
      <c r="J3441" t="s">
        <v>3350</v>
      </c>
    </row>
    <row r="3442" spans="1:10" x14ac:dyDescent="0.2">
      <c r="A3442">
        <v>1.3138404284606901E-10</v>
      </c>
      <c r="B3442">
        <v>0.44575657966266502</v>
      </c>
      <c r="C3442">
        <v>0.20499999999999999</v>
      </c>
      <c r="D3442">
        <v>8.1000000000000003E-2</v>
      </c>
      <c r="E3442">
        <v>1.82597542747466E-6</v>
      </c>
      <c r="F3442">
        <v>6</v>
      </c>
      <c r="G3442" t="s">
        <v>6497</v>
      </c>
      <c r="H3442" t="s">
        <v>6498</v>
      </c>
      <c r="I3442" t="str">
        <f>HYPERLINK("https://zfin.org/ZDB-GENE-070820-6")</f>
        <v>https://zfin.org/ZDB-GENE-070820-6</v>
      </c>
      <c r="J3442" t="s">
        <v>6499</v>
      </c>
    </row>
    <row r="3443" spans="1:10" x14ac:dyDescent="0.2">
      <c r="A3443">
        <v>1.3936522463933701E-10</v>
      </c>
      <c r="B3443">
        <v>0.43584288055027298</v>
      </c>
      <c r="C3443">
        <v>0.57999999999999996</v>
      </c>
      <c r="D3443">
        <v>0.39800000000000002</v>
      </c>
      <c r="E3443">
        <v>1.93689789203751E-6</v>
      </c>
      <c r="F3443">
        <v>6</v>
      </c>
      <c r="G3443" t="s">
        <v>2780</v>
      </c>
      <c r="H3443" t="s">
        <v>2781</v>
      </c>
      <c r="I3443" t="str">
        <f>HYPERLINK("https://zfin.org/ZDB-GENE-030131-5283")</f>
        <v>https://zfin.org/ZDB-GENE-030131-5283</v>
      </c>
      <c r="J3443" t="s">
        <v>2782</v>
      </c>
    </row>
    <row r="3444" spans="1:10" x14ac:dyDescent="0.2">
      <c r="A3444">
        <v>1.5374587162478E-10</v>
      </c>
      <c r="B3444">
        <v>0.44968996880811601</v>
      </c>
      <c r="C3444">
        <v>0.28100000000000003</v>
      </c>
      <c r="D3444">
        <v>0.13400000000000001</v>
      </c>
      <c r="E3444">
        <v>2.13676012384119E-6</v>
      </c>
      <c r="F3444">
        <v>6</v>
      </c>
      <c r="G3444" t="s">
        <v>6500</v>
      </c>
      <c r="H3444" t="s">
        <v>6501</v>
      </c>
      <c r="I3444" t="str">
        <f>HYPERLINK("https://zfin.org/ZDB-GENE-030131-2378")</f>
        <v>https://zfin.org/ZDB-GENE-030131-2378</v>
      </c>
      <c r="J3444" t="s">
        <v>6502</v>
      </c>
    </row>
    <row r="3445" spans="1:10" x14ac:dyDescent="0.2">
      <c r="A3445">
        <v>1.63648814561924E-10</v>
      </c>
      <c r="B3445">
        <v>0.31663273023072502</v>
      </c>
      <c r="C3445">
        <v>0.17899999999999999</v>
      </c>
      <c r="D3445">
        <v>6.3E-2</v>
      </c>
      <c r="E3445">
        <v>2.2743912247816201E-6</v>
      </c>
      <c r="F3445">
        <v>6</v>
      </c>
      <c r="G3445" t="s">
        <v>6503</v>
      </c>
      <c r="H3445" t="s">
        <v>6504</v>
      </c>
      <c r="I3445" t="str">
        <f>HYPERLINK("https://zfin.org/ZDB-GENE-111004-2")</f>
        <v>https://zfin.org/ZDB-GENE-111004-2</v>
      </c>
      <c r="J3445" t="s">
        <v>6505</v>
      </c>
    </row>
    <row r="3446" spans="1:10" x14ac:dyDescent="0.2">
      <c r="A3446">
        <v>2.5081003518206399E-10</v>
      </c>
      <c r="B3446">
        <v>0.43614954672772499</v>
      </c>
      <c r="C3446">
        <v>0.48699999999999999</v>
      </c>
      <c r="D3446">
        <v>0.30399999999999999</v>
      </c>
      <c r="E3446">
        <v>3.4857578689603302E-6</v>
      </c>
      <c r="F3446">
        <v>6</v>
      </c>
      <c r="G3446" t="s">
        <v>6506</v>
      </c>
      <c r="H3446" t="s">
        <v>6507</v>
      </c>
      <c r="I3446" t="str">
        <f>HYPERLINK("https://zfin.org/ZDB-GENE-030131-373")</f>
        <v>https://zfin.org/ZDB-GENE-030131-373</v>
      </c>
      <c r="J3446" t="s">
        <v>6508</v>
      </c>
    </row>
    <row r="3447" spans="1:10" x14ac:dyDescent="0.2">
      <c r="A3447">
        <v>2.6072112855478402E-10</v>
      </c>
      <c r="B3447">
        <v>0.431166754534972</v>
      </c>
      <c r="C3447">
        <v>0.40200000000000002</v>
      </c>
      <c r="D3447">
        <v>0.221</v>
      </c>
      <c r="E3447">
        <v>3.6235022446543899E-6</v>
      </c>
      <c r="F3447">
        <v>6</v>
      </c>
      <c r="G3447" t="s">
        <v>2879</v>
      </c>
      <c r="H3447" t="s">
        <v>2880</v>
      </c>
      <c r="I3447" t="str">
        <f>HYPERLINK("https://zfin.org/ZDB-GENE-011213-1")</f>
        <v>https://zfin.org/ZDB-GENE-011213-1</v>
      </c>
      <c r="J3447" t="s">
        <v>2881</v>
      </c>
    </row>
    <row r="3448" spans="1:10" x14ac:dyDescent="0.2">
      <c r="A3448">
        <v>3.3878715354196799E-10</v>
      </c>
      <c r="B3448">
        <v>-0.25221333339787499</v>
      </c>
      <c r="C3448">
        <v>0.95499999999999996</v>
      </c>
      <c r="D3448">
        <v>0.96599999999999997</v>
      </c>
      <c r="E3448">
        <v>4.7084638599262697E-6</v>
      </c>
      <c r="F3448">
        <v>6</v>
      </c>
      <c r="G3448" t="s">
        <v>2202</v>
      </c>
      <c r="H3448" t="s">
        <v>2203</v>
      </c>
      <c r="I3448" t="str">
        <f>HYPERLINK("https://zfin.org/ZDB-GENE-020419-20")</f>
        <v>https://zfin.org/ZDB-GENE-020419-20</v>
      </c>
      <c r="J3448" t="s">
        <v>2204</v>
      </c>
    </row>
    <row r="3449" spans="1:10" x14ac:dyDescent="0.2">
      <c r="A3449">
        <v>4.2689155841593598E-10</v>
      </c>
      <c r="B3449">
        <v>0.38953537370633601</v>
      </c>
      <c r="C3449">
        <v>0.41099999999999998</v>
      </c>
      <c r="D3449">
        <v>0.23300000000000001</v>
      </c>
      <c r="E3449">
        <v>5.9329388788646904E-6</v>
      </c>
      <c r="F3449">
        <v>6</v>
      </c>
      <c r="G3449" t="s">
        <v>2996</v>
      </c>
      <c r="H3449" t="s">
        <v>2997</v>
      </c>
      <c r="I3449" t="str">
        <f>HYPERLINK("https://zfin.org/ZDB-GENE-070719-5")</f>
        <v>https://zfin.org/ZDB-GENE-070719-5</v>
      </c>
      <c r="J3449" t="s">
        <v>2998</v>
      </c>
    </row>
    <row r="3450" spans="1:10" x14ac:dyDescent="0.2">
      <c r="A3450">
        <v>5.25326987739866E-10</v>
      </c>
      <c r="B3450">
        <v>-0.54228484731189897</v>
      </c>
      <c r="C3450">
        <v>0.375</v>
      </c>
      <c r="D3450">
        <v>0.55800000000000005</v>
      </c>
      <c r="E3450">
        <v>7.3009944756086504E-6</v>
      </c>
      <c r="F3450">
        <v>6</v>
      </c>
      <c r="G3450" t="s">
        <v>6509</v>
      </c>
      <c r="H3450" t="s">
        <v>6510</v>
      </c>
      <c r="I3450" t="str">
        <f>HYPERLINK("https://zfin.org/ZDB-GENE-060503-86")</f>
        <v>https://zfin.org/ZDB-GENE-060503-86</v>
      </c>
      <c r="J3450" t="s">
        <v>6511</v>
      </c>
    </row>
    <row r="3451" spans="1:10" x14ac:dyDescent="0.2">
      <c r="A3451">
        <v>7.4274735852622003E-10</v>
      </c>
      <c r="B3451">
        <v>0.26614748299726998</v>
      </c>
      <c r="C3451">
        <v>0.13400000000000001</v>
      </c>
      <c r="D3451">
        <v>4.2000000000000003E-2</v>
      </c>
      <c r="E3451">
        <v>1.03227027887974E-5</v>
      </c>
      <c r="F3451">
        <v>6</v>
      </c>
      <c r="G3451" t="s">
        <v>6512</v>
      </c>
      <c r="H3451" t="s">
        <v>6513</v>
      </c>
      <c r="I3451" t="str">
        <f>HYPERLINK("https://zfin.org/ZDB-GENE-980526-260")</f>
        <v>https://zfin.org/ZDB-GENE-980526-260</v>
      </c>
      <c r="J3451" t="s">
        <v>6514</v>
      </c>
    </row>
    <row r="3452" spans="1:10" x14ac:dyDescent="0.2">
      <c r="A3452">
        <v>9.2380488911904802E-10</v>
      </c>
      <c r="B3452">
        <v>-0.27096147892558903</v>
      </c>
      <c r="C3452">
        <v>0.88400000000000001</v>
      </c>
      <c r="D3452">
        <v>0.93200000000000005</v>
      </c>
      <c r="E3452">
        <v>1.28390403489765E-5</v>
      </c>
      <c r="F3452">
        <v>6</v>
      </c>
      <c r="G3452" t="s">
        <v>2550</v>
      </c>
      <c r="H3452" t="s">
        <v>2551</v>
      </c>
      <c r="I3452" t="str">
        <f>HYPERLINK("https://zfin.org/ZDB-GENE-020423-4")</f>
        <v>https://zfin.org/ZDB-GENE-020423-4</v>
      </c>
      <c r="J3452" t="s">
        <v>2552</v>
      </c>
    </row>
    <row r="3453" spans="1:10" x14ac:dyDescent="0.2">
      <c r="A3453">
        <v>1.19246675189049E-9</v>
      </c>
      <c r="B3453">
        <v>0.45738222746072299</v>
      </c>
      <c r="C3453">
        <v>0.79900000000000004</v>
      </c>
      <c r="D3453">
        <v>0.66</v>
      </c>
      <c r="E3453">
        <v>1.6572902917773999E-5</v>
      </c>
      <c r="F3453">
        <v>6</v>
      </c>
      <c r="G3453" t="s">
        <v>2021</v>
      </c>
      <c r="H3453" t="s">
        <v>2022</v>
      </c>
      <c r="I3453" t="str">
        <f>HYPERLINK("https://zfin.org/ZDB-GENE-030131-1819")</f>
        <v>https://zfin.org/ZDB-GENE-030131-1819</v>
      </c>
      <c r="J3453" t="s">
        <v>2023</v>
      </c>
    </row>
    <row r="3454" spans="1:10" x14ac:dyDescent="0.2">
      <c r="A3454">
        <v>1.2513327317321601E-9</v>
      </c>
      <c r="B3454">
        <v>-0.25343947501855202</v>
      </c>
      <c r="C3454">
        <v>0.92</v>
      </c>
      <c r="D3454">
        <v>0.94299999999999995</v>
      </c>
      <c r="E3454">
        <v>1.7391022305613499E-5</v>
      </c>
      <c r="F3454">
        <v>6</v>
      </c>
      <c r="G3454" t="s">
        <v>2316</v>
      </c>
      <c r="H3454" t="s">
        <v>2317</v>
      </c>
      <c r="I3454" t="str">
        <f>HYPERLINK("https://zfin.org/ZDB-GENE-030131-10018")</f>
        <v>https://zfin.org/ZDB-GENE-030131-10018</v>
      </c>
      <c r="J3454" t="s">
        <v>2318</v>
      </c>
    </row>
    <row r="3455" spans="1:10" x14ac:dyDescent="0.2">
      <c r="A3455">
        <v>1.6075822316197501E-9</v>
      </c>
      <c r="B3455">
        <v>0.32512713562643097</v>
      </c>
      <c r="C3455">
        <v>0.21</v>
      </c>
      <c r="D3455">
        <v>8.6999999999999994E-2</v>
      </c>
      <c r="E3455">
        <v>2.2342177855051301E-5</v>
      </c>
      <c r="F3455">
        <v>6</v>
      </c>
      <c r="G3455" t="s">
        <v>6515</v>
      </c>
      <c r="H3455" t="s">
        <v>6516</v>
      </c>
      <c r="I3455" t="str">
        <f>HYPERLINK("https://zfin.org/ZDB-GENE-031002-35")</f>
        <v>https://zfin.org/ZDB-GENE-031002-35</v>
      </c>
      <c r="J3455" t="s">
        <v>6517</v>
      </c>
    </row>
    <row r="3456" spans="1:10" x14ac:dyDescent="0.2">
      <c r="A3456">
        <v>1.7703124970553299E-9</v>
      </c>
      <c r="B3456">
        <v>0.362709461808634</v>
      </c>
      <c r="C3456">
        <v>0.308</v>
      </c>
      <c r="D3456">
        <v>0.156</v>
      </c>
      <c r="E3456">
        <v>2.4603803084074899E-5</v>
      </c>
      <c r="F3456">
        <v>6</v>
      </c>
      <c r="G3456" t="s">
        <v>6518</v>
      </c>
      <c r="H3456" t="s">
        <v>6519</v>
      </c>
      <c r="I3456" t="str">
        <f>HYPERLINK("https://zfin.org/")</f>
        <v>https://zfin.org/</v>
      </c>
    </row>
    <row r="3457" spans="1:10" x14ac:dyDescent="0.2">
      <c r="A3457">
        <v>1.9069134068713598E-9</v>
      </c>
      <c r="B3457">
        <v>0.47665349595505302</v>
      </c>
      <c r="C3457">
        <v>0.38800000000000001</v>
      </c>
      <c r="D3457">
        <v>0.22</v>
      </c>
      <c r="E3457">
        <v>2.6502282528698199E-5</v>
      </c>
      <c r="F3457">
        <v>6</v>
      </c>
      <c r="G3457" t="s">
        <v>3121</v>
      </c>
      <c r="H3457" t="s">
        <v>3122</v>
      </c>
      <c r="I3457" t="str">
        <f>HYPERLINK("https://zfin.org/ZDB-GENE-081105-74")</f>
        <v>https://zfin.org/ZDB-GENE-081105-74</v>
      </c>
      <c r="J3457" t="s">
        <v>3123</v>
      </c>
    </row>
    <row r="3458" spans="1:10" x14ac:dyDescent="0.2">
      <c r="A3458">
        <v>1.9531953091208499E-9</v>
      </c>
      <c r="B3458">
        <v>0.43052441016395598</v>
      </c>
      <c r="C3458">
        <v>0.33500000000000002</v>
      </c>
      <c r="D3458">
        <v>0.18</v>
      </c>
      <c r="E3458">
        <v>2.7145508406161498E-5</v>
      </c>
      <c r="F3458">
        <v>6</v>
      </c>
      <c r="G3458" t="s">
        <v>6520</v>
      </c>
      <c r="H3458" t="s">
        <v>6521</v>
      </c>
      <c r="I3458" t="str">
        <f>HYPERLINK("https://zfin.org/ZDB-GENE-040426-1785")</f>
        <v>https://zfin.org/ZDB-GENE-040426-1785</v>
      </c>
      <c r="J3458" t="s">
        <v>6522</v>
      </c>
    </row>
    <row r="3459" spans="1:10" x14ac:dyDescent="0.2">
      <c r="A3459">
        <v>2.3294998430687999E-9</v>
      </c>
      <c r="B3459">
        <v>0.310060397633177</v>
      </c>
      <c r="C3459">
        <v>0.17399999999999999</v>
      </c>
      <c r="D3459">
        <v>6.6000000000000003E-2</v>
      </c>
      <c r="E3459">
        <v>3.2375388818970199E-5</v>
      </c>
      <c r="F3459">
        <v>6</v>
      </c>
      <c r="G3459" t="s">
        <v>6523</v>
      </c>
      <c r="H3459" t="s">
        <v>6524</v>
      </c>
      <c r="I3459" t="str">
        <f>HYPERLINK("https://zfin.org/ZDB-GENE-060825-154")</f>
        <v>https://zfin.org/ZDB-GENE-060825-154</v>
      </c>
      <c r="J3459" t="s">
        <v>6525</v>
      </c>
    </row>
    <row r="3460" spans="1:10" x14ac:dyDescent="0.2">
      <c r="A3460">
        <v>2.63256987720452E-9</v>
      </c>
      <c r="B3460">
        <v>0.35217845906122203</v>
      </c>
      <c r="C3460">
        <v>0.214</v>
      </c>
      <c r="D3460">
        <v>9.1999999999999998E-2</v>
      </c>
      <c r="E3460">
        <v>3.6587456153388398E-5</v>
      </c>
      <c r="F3460">
        <v>6</v>
      </c>
      <c r="G3460" t="s">
        <v>3372</v>
      </c>
      <c r="H3460" t="s">
        <v>3373</v>
      </c>
      <c r="I3460" t="str">
        <f>HYPERLINK("https://zfin.org/ZDB-GENE-050522-34")</f>
        <v>https://zfin.org/ZDB-GENE-050522-34</v>
      </c>
      <c r="J3460" t="s">
        <v>3374</v>
      </c>
    </row>
    <row r="3461" spans="1:10" x14ac:dyDescent="0.2">
      <c r="A3461">
        <v>2.6819536024179599E-9</v>
      </c>
      <c r="B3461">
        <v>-0.25063972890121</v>
      </c>
      <c r="C3461">
        <v>0.95499999999999996</v>
      </c>
      <c r="D3461">
        <v>0.95299999999999996</v>
      </c>
      <c r="E3461">
        <v>3.7273791166404702E-5</v>
      </c>
      <c r="F3461">
        <v>6</v>
      </c>
      <c r="G3461" t="s">
        <v>2331</v>
      </c>
      <c r="H3461" t="s">
        <v>2332</v>
      </c>
      <c r="I3461" t="str">
        <f>HYPERLINK("https://zfin.org/ZDB-GENE-040426-1700")</f>
        <v>https://zfin.org/ZDB-GENE-040426-1700</v>
      </c>
      <c r="J3461" t="s">
        <v>2333</v>
      </c>
    </row>
    <row r="3462" spans="1:10" x14ac:dyDescent="0.2">
      <c r="A3462">
        <v>2.8338274740823998E-9</v>
      </c>
      <c r="B3462">
        <v>-0.25433525550729402</v>
      </c>
      <c r="C3462">
        <v>0.93799999999999994</v>
      </c>
      <c r="D3462">
        <v>0.95699999999999996</v>
      </c>
      <c r="E3462">
        <v>3.9384534234797101E-5</v>
      </c>
      <c r="F3462">
        <v>6</v>
      </c>
      <c r="G3462" t="s">
        <v>2349</v>
      </c>
      <c r="H3462" t="s">
        <v>2350</v>
      </c>
      <c r="I3462" t="str">
        <f>HYPERLINK("https://zfin.org/ZDB-GENE-030131-8656")</f>
        <v>https://zfin.org/ZDB-GENE-030131-8656</v>
      </c>
      <c r="J3462" t="s">
        <v>2351</v>
      </c>
    </row>
    <row r="3463" spans="1:10" x14ac:dyDescent="0.2">
      <c r="A3463">
        <v>2.95512558988364E-9</v>
      </c>
      <c r="B3463">
        <v>0.28847398656828299</v>
      </c>
      <c r="C3463">
        <v>0.89700000000000002</v>
      </c>
      <c r="D3463">
        <v>0.81100000000000005</v>
      </c>
      <c r="E3463">
        <v>4.1070335448202803E-5</v>
      </c>
      <c r="F3463">
        <v>6</v>
      </c>
      <c r="G3463" t="s">
        <v>2631</v>
      </c>
      <c r="H3463" t="s">
        <v>2632</v>
      </c>
      <c r="I3463" t="str">
        <f>HYPERLINK("https://zfin.org/ZDB-GENE-050419-122")</f>
        <v>https://zfin.org/ZDB-GENE-050419-122</v>
      </c>
      <c r="J3463" t="s">
        <v>2633</v>
      </c>
    </row>
    <row r="3464" spans="1:10" x14ac:dyDescent="0.2">
      <c r="A3464">
        <v>3.6681645160373199E-9</v>
      </c>
      <c r="B3464">
        <v>-0.77552672706061998</v>
      </c>
      <c r="C3464">
        <v>0.375</v>
      </c>
      <c r="D3464">
        <v>0.54200000000000004</v>
      </c>
      <c r="E3464">
        <v>5.09801504438866E-5</v>
      </c>
      <c r="F3464">
        <v>6</v>
      </c>
      <c r="G3464" t="s">
        <v>764</v>
      </c>
      <c r="H3464" t="s">
        <v>765</v>
      </c>
      <c r="I3464" t="str">
        <f>HYPERLINK("https://zfin.org/ZDB-GENE-030131-5590")</f>
        <v>https://zfin.org/ZDB-GENE-030131-5590</v>
      </c>
      <c r="J3464" t="s">
        <v>766</v>
      </c>
    </row>
    <row r="3465" spans="1:10" x14ac:dyDescent="0.2">
      <c r="A3465">
        <v>4.2404400309204901E-9</v>
      </c>
      <c r="B3465">
        <v>0.57586735946809897</v>
      </c>
      <c r="C3465">
        <v>0.438</v>
      </c>
      <c r="D3465">
        <v>0.27100000000000002</v>
      </c>
      <c r="E3465">
        <v>5.8933635549732999E-5</v>
      </c>
      <c r="F3465">
        <v>6</v>
      </c>
      <c r="G3465" t="s">
        <v>6526</v>
      </c>
      <c r="H3465" t="s">
        <v>6527</v>
      </c>
      <c r="I3465" t="str">
        <f>HYPERLINK("https://zfin.org/ZDB-GENE-061103-301")</f>
        <v>https://zfin.org/ZDB-GENE-061103-301</v>
      </c>
      <c r="J3465" t="s">
        <v>6528</v>
      </c>
    </row>
    <row r="3466" spans="1:10" x14ac:dyDescent="0.2">
      <c r="A3466">
        <v>4.3195320464438998E-9</v>
      </c>
      <c r="B3466">
        <v>0.363315401283547</v>
      </c>
      <c r="C3466">
        <v>0.28599999999999998</v>
      </c>
      <c r="D3466">
        <v>0.14099999999999999</v>
      </c>
      <c r="E3466">
        <v>6.0032856381477299E-5</v>
      </c>
      <c r="F3466">
        <v>6</v>
      </c>
      <c r="G3466" t="s">
        <v>6529</v>
      </c>
      <c r="H3466" t="s">
        <v>6530</v>
      </c>
      <c r="I3466" t="str">
        <f>HYPERLINK("https://zfin.org/ZDB-GENE-030131-1042")</f>
        <v>https://zfin.org/ZDB-GENE-030131-1042</v>
      </c>
      <c r="J3466" t="s">
        <v>6531</v>
      </c>
    </row>
    <row r="3467" spans="1:10" x14ac:dyDescent="0.2">
      <c r="A3467">
        <v>5.0777385641064497E-9</v>
      </c>
      <c r="B3467">
        <v>0.29852426162231599</v>
      </c>
      <c r="C3467">
        <v>0.161</v>
      </c>
      <c r="D3467">
        <v>0.06</v>
      </c>
      <c r="E3467">
        <v>7.0570410563951499E-5</v>
      </c>
      <c r="F3467">
        <v>6</v>
      </c>
      <c r="G3467" t="s">
        <v>6532</v>
      </c>
      <c r="H3467" t="s">
        <v>6533</v>
      </c>
      <c r="I3467" t="str">
        <f>HYPERLINK("https://zfin.org/ZDB-GENE-031222-2")</f>
        <v>https://zfin.org/ZDB-GENE-031222-2</v>
      </c>
      <c r="J3467" t="s">
        <v>6534</v>
      </c>
    </row>
    <row r="3468" spans="1:10" x14ac:dyDescent="0.2">
      <c r="A3468">
        <v>7.2783588325665599E-9</v>
      </c>
      <c r="B3468">
        <v>0.38562109300323599</v>
      </c>
      <c r="C3468">
        <v>0.14299999999999999</v>
      </c>
      <c r="D3468">
        <v>0.05</v>
      </c>
      <c r="E3468">
        <v>1.0115463105501001E-4</v>
      </c>
      <c r="F3468">
        <v>6</v>
      </c>
      <c r="G3468" t="s">
        <v>6535</v>
      </c>
      <c r="H3468" t="s">
        <v>6536</v>
      </c>
      <c r="I3468" t="str">
        <f>HYPERLINK("https://zfin.org/ZDB-GENE-040426-793")</f>
        <v>https://zfin.org/ZDB-GENE-040426-793</v>
      </c>
      <c r="J3468" t="s">
        <v>6537</v>
      </c>
    </row>
    <row r="3469" spans="1:10" x14ac:dyDescent="0.2">
      <c r="A3469">
        <v>9.0846948770707506E-9</v>
      </c>
      <c r="B3469">
        <v>-1.26752818307396</v>
      </c>
      <c r="C3469">
        <v>1</v>
      </c>
      <c r="D3469">
        <v>0.998</v>
      </c>
      <c r="E3469">
        <v>1.26259089401529E-4</v>
      </c>
      <c r="F3469">
        <v>6</v>
      </c>
      <c r="G3469" t="s">
        <v>752</v>
      </c>
      <c r="H3469" t="s">
        <v>753</v>
      </c>
      <c r="I3469" t="str">
        <f>HYPERLINK("https://zfin.org/ZDB-GENE-030805-3")</f>
        <v>https://zfin.org/ZDB-GENE-030805-3</v>
      </c>
      <c r="J3469" t="s">
        <v>754</v>
      </c>
    </row>
    <row r="3470" spans="1:10" x14ac:dyDescent="0.2">
      <c r="A3470">
        <v>1.32245447904623E-8</v>
      </c>
      <c r="B3470">
        <v>0.33285735605355699</v>
      </c>
      <c r="C3470">
        <v>0.223</v>
      </c>
      <c r="D3470">
        <v>0.10199999999999999</v>
      </c>
      <c r="E3470">
        <v>1.83794723497844E-4</v>
      </c>
      <c r="F3470">
        <v>6</v>
      </c>
      <c r="G3470" t="s">
        <v>3384</v>
      </c>
      <c r="H3470" t="s">
        <v>3385</v>
      </c>
      <c r="I3470" t="str">
        <f>HYPERLINK("https://zfin.org/ZDB-GENE-050417-201")</f>
        <v>https://zfin.org/ZDB-GENE-050417-201</v>
      </c>
      <c r="J3470" t="s">
        <v>3386</v>
      </c>
    </row>
    <row r="3471" spans="1:10" x14ac:dyDescent="0.2">
      <c r="A3471">
        <v>1.3722580774448399E-8</v>
      </c>
      <c r="B3471">
        <v>-0.31659618381582699</v>
      </c>
      <c r="C3471">
        <v>0.80400000000000005</v>
      </c>
      <c r="D3471">
        <v>0.85699999999999998</v>
      </c>
      <c r="E3471">
        <v>1.9071642760328401E-4</v>
      </c>
      <c r="F3471">
        <v>6</v>
      </c>
      <c r="G3471" t="s">
        <v>2409</v>
      </c>
      <c r="H3471" t="s">
        <v>2410</v>
      </c>
      <c r="I3471" t="str">
        <f>HYPERLINK("https://zfin.org/ZDB-GENE-080220-50")</f>
        <v>https://zfin.org/ZDB-GENE-080220-50</v>
      </c>
      <c r="J3471" t="s">
        <v>2411</v>
      </c>
    </row>
    <row r="3472" spans="1:10" x14ac:dyDescent="0.2">
      <c r="A3472">
        <v>1.6033617438418999E-8</v>
      </c>
      <c r="B3472">
        <v>0.285088689215859</v>
      </c>
      <c r="C3472">
        <v>0.35299999999999998</v>
      </c>
      <c r="D3472">
        <v>0.189</v>
      </c>
      <c r="E3472">
        <v>2.2283521515914701E-4</v>
      </c>
      <c r="F3472">
        <v>6</v>
      </c>
      <c r="G3472" t="s">
        <v>6538</v>
      </c>
      <c r="H3472" t="s">
        <v>6539</v>
      </c>
      <c r="I3472" t="str">
        <f>HYPERLINK("https://zfin.org/ZDB-GENE-000831-5")</f>
        <v>https://zfin.org/ZDB-GENE-000831-5</v>
      </c>
      <c r="J3472" t="s">
        <v>6540</v>
      </c>
    </row>
    <row r="3473" spans="1:10" x14ac:dyDescent="0.2">
      <c r="A3473">
        <v>1.68326954186853E-8</v>
      </c>
      <c r="B3473">
        <v>0.36193390277100101</v>
      </c>
      <c r="C3473">
        <v>0.20499999999999999</v>
      </c>
      <c r="D3473">
        <v>9.0999999999999998E-2</v>
      </c>
      <c r="E3473">
        <v>2.3394080092888799E-4</v>
      </c>
      <c r="F3473">
        <v>6</v>
      </c>
      <c r="G3473" t="s">
        <v>6541</v>
      </c>
      <c r="H3473" t="s">
        <v>6542</v>
      </c>
      <c r="I3473" t="str">
        <f>HYPERLINK("https://zfin.org/ZDB-GENE-081022-158")</f>
        <v>https://zfin.org/ZDB-GENE-081022-158</v>
      </c>
      <c r="J3473" t="s">
        <v>6543</v>
      </c>
    </row>
    <row r="3474" spans="1:10" x14ac:dyDescent="0.2">
      <c r="A3474">
        <v>1.7623658931392601E-8</v>
      </c>
      <c r="B3474">
        <v>-0.63181178253896397</v>
      </c>
      <c r="C3474">
        <v>0.14299999999999999</v>
      </c>
      <c r="D3474">
        <v>0.313</v>
      </c>
      <c r="E3474">
        <v>2.4493361182849501E-4</v>
      </c>
      <c r="F3474">
        <v>6</v>
      </c>
      <c r="G3474" t="s">
        <v>2673</v>
      </c>
      <c r="H3474" t="s">
        <v>2674</v>
      </c>
      <c r="I3474" t="str">
        <f>HYPERLINK("https://zfin.org/ZDB-GENE-061103-283")</f>
        <v>https://zfin.org/ZDB-GENE-061103-283</v>
      </c>
      <c r="J3474" t="s">
        <v>2675</v>
      </c>
    </row>
    <row r="3475" spans="1:10" x14ac:dyDescent="0.2">
      <c r="A3475">
        <v>1.9856810985288301E-8</v>
      </c>
      <c r="B3475">
        <v>-0.56905594965244</v>
      </c>
      <c r="C3475">
        <v>5.3999999999999999E-2</v>
      </c>
      <c r="D3475">
        <v>0.20699999999999999</v>
      </c>
      <c r="E3475">
        <v>2.7596995907353699E-4</v>
      </c>
      <c r="F3475">
        <v>6</v>
      </c>
      <c r="G3475" t="s">
        <v>591</v>
      </c>
      <c r="H3475" t="s">
        <v>592</v>
      </c>
      <c r="I3475" t="str">
        <f>HYPERLINK("https://zfin.org/ZDB-GENE-070424-267")</f>
        <v>https://zfin.org/ZDB-GENE-070424-267</v>
      </c>
      <c r="J3475" t="s">
        <v>593</v>
      </c>
    </row>
    <row r="3476" spans="1:10" x14ac:dyDescent="0.2">
      <c r="A3476">
        <v>2.36684914597487E-8</v>
      </c>
      <c r="B3476">
        <v>0.33158358633699497</v>
      </c>
      <c r="C3476">
        <v>0.13400000000000001</v>
      </c>
      <c r="D3476">
        <v>4.7E-2</v>
      </c>
      <c r="E3476">
        <v>3.2894469430758702E-4</v>
      </c>
      <c r="F3476">
        <v>6</v>
      </c>
      <c r="G3476" t="s">
        <v>6544</v>
      </c>
      <c r="H3476" t="s">
        <v>6545</v>
      </c>
      <c r="I3476" t="str">
        <f>HYPERLINK("https://zfin.org/ZDB-GENE-040426-1760")</f>
        <v>https://zfin.org/ZDB-GENE-040426-1760</v>
      </c>
      <c r="J3476" t="s">
        <v>6546</v>
      </c>
    </row>
    <row r="3477" spans="1:10" x14ac:dyDescent="0.2">
      <c r="A3477">
        <v>2.5802476320045299E-8</v>
      </c>
      <c r="B3477">
        <v>-0.55846620811759695</v>
      </c>
      <c r="C3477">
        <v>0.36599999999999999</v>
      </c>
      <c r="D3477">
        <v>0.53800000000000003</v>
      </c>
      <c r="E3477">
        <v>3.5860281589598897E-4</v>
      </c>
      <c r="F3477">
        <v>6</v>
      </c>
      <c r="G3477" t="s">
        <v>6547</v>
      </c>
      <c r="H3477" t="s">
        <v>6548</v>
      </c>
      <c r="I3477" t="str">
        <f>HYPERLINK("https://zfin.org/ZDB-GENE-991008-6")</f>
        <v>https://zfin.org/ZDB-GENE-991008-6</v>
      </c>
      <c r="J3477" t="s">
        <v>6549</v>
      </c>
    </row>
    <row r="3478" spans="1:10" x14ac:dyDescent="0.2">
      <c r="A3478">
        <v>2.8445513425381901E-8</v>
      </c>
      <c r="B3478">
        <v>0.25947665945004</v>
      </c>
      <c r="C3478">
        <v>0.88400000000000001</v>
      </c>
      <c r="D3478">
        <v>0.81100000000000005</v>
      </c>
      <c r="E3478">
        <v>3.9533574558595801E-4</v>
      </c>
      <c r="F3478">
        <v>6</v>
      </c>
      <c r="G3478" t="s">
        <v>2583</v>
      </c>
      <c r="H3478" t="s">
        <v>2584</v>
      </c>
      <c r="I3478" t="str">
        <f>HYPERLINK("https://zfin.org/ZDB-GENE-030131-8625")</f>
        <v>https://zfin.org/ZDB-GENE-030131-8625</v>
      </c>
      <c r="J3478" t="s">
        <v>2585</v>
      </c>
    </row>
    <row r="3479" spans="1:10" x14ac:dyDescent="0.2">
      <c r="A3479">
        <v>3.4561578921874998E-8</v>
      </c>
      <c r="B3479">
        <v>-0.29532004316718502</v>
      </c>
      <c r="C3479">
        <v>0.81699999999999995</v>
      </c>
      <c r="D3479">
        <v>0.85899999999999999</v>
      </c>
      <c r="E3479">
        <v>4.8033682385621902E-4</v>
      </c>
      <c r="F3479">
        <v>6</v>
      </c>
      <c r="G3479" t="s">
        <v>2376</v>
      </c>
      <c r="H3479" t="s">
        <v>2377</v>
      </c>
      <c r="I3479" t="str">
        <f>HYPERLINK("https://zfin.org/ZDB-GENE-040426-1706")</f>
        <v>https://zfin.org/ZDB-GENE-040426-1706</v>
      </c>
      <c r="J3479" t="s">
        <v>2378</v>
      </c>
    </row>
    <row r="3480" spans="1:10" x14ac:dyDescent="0.2">
      <c r="A3480">
        <v>3.4941647087625498E-8</v>
      </c>
      <c r="B3480">
        <v>-0.33839736307062601</v>
      </c>
      <c r="C3480">
        <v>0.67</v>
      </c>
      <c r="D3480">
        <v>0.76200000000000001</v>
      </c>
      <c r="E3480">
        <v>4.8561901122381898E-4</v>
      </c>
      <c r="F3480">
        <v>6</v>
      </c>
      <c r="G3480" t="s">
        <v>3100</v>
      </c>
      <c r="H3480" t="s">
        <v>3101</v>
      </c>
      <c r="I3480" t="str">
        <f>HYPERLINK("https://zfin.org/ZDB-GENE-040426-1852")</f>
        <v>https://zfin.org/ZDB-GENE-040426-1852</v>
      </c>
      <c r="J3480" t="s">
        <v>3102</v>
      </c>
    </row>
    <row r="3481" spans="1:10" x14ac:dyDescent="0.2">
      <c r="A3481">
        <v>3.5162258181506399E-8</v>
      </c>
      <c r="B3481">
        <v>0.29794591535665899</v>
      </c>
      <c r="C3481">
        <v>0.156</v>
      </c>
      <c r="D3481">
        <v>0.06</v>
      </c>
      <c r="E3481">
        <v>4.8868506420657602E-4</v>
      </c>
      <c r="F3481">
        <v>6</v>
      </c>
      <c r="G3481" t="s">
        <v>6550</v>
      </c>
      <c r="H3481" t="s">
        <v>6551</v>
      </c>
      <c r="I3481" t="str">
        <f>HYPERLINK("https://zfin.org/ZDB-GENE-060331-57")</f>
        <v>https://zfin.org/ZDB-GENE-060331-57</v>
      </c>
      <c r="J3481" t="s">
        <v>6552</v>
      </c>
    </row>
    <row r="3482" spans="1:10" x14ac:dyDescent="0.2">
      <c r="A3482">
        <v>3.5708376792852397E-8</v>
      </c>
      <c r="B3482">
        <v>0.38855826079102102</v>
      </c>
      <c r="C3482">
        <v>0.375</v>
      </c>
      <c r="D3482">
        <v>0.223</v>
      </c>
      <c r="E3482">
        <v>4.9627502066706204E-4</v>
      </c>
      <c r="F3482">
        <v>6</v>
      </c>
      <c r="G3482" t="s">
        <v>6553</v>
      </c>
      <c r="H3482" t="s">
        <v>6554</v>
      </c>
      <c r="I3482" t="str">
        <f>HYPERLINK("https://zfin.org/ZDB-GENE-030131-7016")</f>
        <v>https://zfin.org/ZDB-GENE-030131-7016</v>
      </c>
      <c r="J3482" t="s">
        <v>6555</v>
      </c>
    </row>
    <row r="3483" spans="1:10" x14ac:dyDescent="0.2">
      <c r="A3483">
        <v>3.68681439101935E-8</v>
      </c>
      <c r="B3483">
        <v>-0.55075937858241197</v>
      </c>
      <c r="C3483">
        <v>0.125</v>
      </c>
      <c r="D3483">
        <v>0.28799999999999998</v>
      </c>
      <c r="E3483">
        <v>5.1239346406387E-4</v>
      </c>
      <c r="F3483">
        <v>6</v>
      </c>
      <c r="G3483" t="s">
        <v>3014</v>
      </c>
      <c r="H3483" t="s">
        <v>3015</v>
      </c>
      <c r="I3483" t="str">
        <f>HYPERLINK("https://zfin.org/ZDB-GENE-040912-46")</f>
        <v>https://zfin.org/ZDB-GENE-040912-46</v>
      </c>
      <c r="J3483" t="s">
        <v>3016</v>
      </c>
    </row>
    <row r="3484" spans="1:10" x14ac:dyDescent="0.2">
      <c r="A3484">
        <v>3.7379744920647097E-8</v>
      </c>
      <c r="B3484">
        <v>0.26921325043776001</v>
      </c>
      <c r="C3484">
        <v>0.88800000000000001</v>
      </c>
      <c r="D3484">
        <v>0.77400000000000002</v>
      </c>
      <c r="E3484">
        <v>5.19503694907154E-4</v>
      </c>
      <c r="F3484">
        <v>6</v>
      </c>
      <c r="G3484" t="s">
        <v>1405</v>
      </c>
      <c r="H3484" t="s">
        <v>1406</v>
      </c>
      <c r="I3484" t="str">
        <f>HYPERLINK("https://zfin.org/ZDB-GENE-031002-9")</f>
        <v>https://zfin.org/ZDB-GENE-031002-9</v>
      </c>
      <c r="J3484" t="s">
        <v>1407</v>
      </c>
    </row>
    <row r="3485" spans="1:10" x14ac:dyDescent="0.2">
      <c r="A3485">
        <v>4.7613382599427998E-8</v>
      </c>
      <c r="B3485">
        <v>0.28029355847230703</v>
      </c>
      <c r="C3485">
        <v>0.112</v>
      </c>
      <c r="D3485">
        <v>3.5999999999999997E-2</v>
      </c>
      <c r="E3485">
        <v>6.6173079136685098E-4</v>
      </c>
      <c r="F3485">
        <v>6</v>
      </c>
      <c r="G3485" t="s">
        <v>6556</v>
      </c>
      <c r="H3485" t="s">
        <v>6557</v>
      </c>
      <c r="I3485" t="str">
        <f>HYPERLINK("https://zfin.org/ZDB-GENE-080204-14")</f>
        <v>https://zfin.org/ZDB-GENE-080204-14</v>
      </c>
      <c r="J3485" t="s">
        <v>6558</v>
      </c>
    </row>
    <row r="3486" spans="1:10" x14ac:dyDescent="0.2">
      <c r="A3486">
        <v>6.4028079469889494E-8</v>
      </c>
      <c r="B3486">
        <v>0.353316837352188</v>
      </c>
      <c r="C3486">
        <v>0.312</v>
      </c>
      <c r="D3486">
        <v>0.16900000000000001</v>
      </c>
      <c r="E3486">
        <v>8.8986224847252505E-4</v>
      </c>
      <c r="F3486">
        <v>6</v>
      </c>
      <c r="G3486" t="s">
        <v>2849</v>
      </c>
      <c r="H3486" t="s">
        <v>2850</v>
      </c>
      <c r="I3486" t="str">
        <f>HYPERLINK("https://zfin.org/ZDB-GENE-001212-5")</f>
        <v>https://zfin.org/ZDB-GENE-001212-5</v>
      </c>
      <c r="J3486" t="s">
        <v>2851</v>
      </c>
    </row>
    <row r="3487" spans="1:10" x14ac:dyDescent="0.2">
      <c r="A3487">
        <v>2.14935599265091E-120</v>
      </c>
      <c r="B3487">
        <v>1.14244164996179</v>
      </c>
      <c r="C3487">
        <v>0.98899999999999999</v>
      </c>
      <c r="D3487">
        <v>0.82099999999999995</v>
      </c>
      <c r="E3487">
        <v>2.9871749585862302E-116</v>
      </c>
      <c r="F3487">
        <v>7</v>
      </c>
      <c r="G3487" t="s">
        <v>1967</v>
      </c>
      <c r="H3487" t="s">
        <v>1968</v>
      </c>
      <c r="I3487" t="str">
        <f>HYPERLINK("https://zfin.org/ZDB-GENE-070705-532")</f>
        <v>https://zfin.org/ZDB-GENE-070705-532</v>
      </c>
      <c r="J3487" t="s">
        <v>1969</v>
      </c>
    </row>
    <row r="3488" spans="1:10" x14ac:dyDescent="0.2">
      <c r="A3488">
        <v>3.9971384298516002E-118</v>
      </c>
      <c r="B3488">
        <v>1.3074076645767001</v>
      </c>
      <c r="C3488">
        <v>0.61599999999999999</v>
      </c>
      <c r="D3488">
        <v>0.17100000000000001</v>
      </c>
      <c r="E3488">
        <v>5.5552229898077497E-114</v>
      </c>
      <c r="F3488">
        <v>7</v>
      </c>
      <c r="G3488" t="s">
        <v>2801</v>
      </c>
      <c r="H3488" t="s">
        <v>2802</v>
      </c>
      <c r="I3488" t="str">
        <f>HYPERLINK("https://zfin.org/ZDB-GENE-980526-112")</f>
        <v>https://zfin.org/ZDB-GENE-980526-112</v>
      </c>
      <c r="J3488" t="s">
        <v>2803</v>
      </c>
    </row>
    <row r="3489" spans="1:10" x14ac:dyDescent="0.2">
      <c r="A3489">
        <v>8.8435815204126592E-118</v>
      </c>
      <c r="B3489">
        <v>1.24802616493806</v>
      </c>
      <c r="C3489">
        <v>0.76100000000000001</v>
      </c>
      <c r="D3489">
        <v>0.29199999999999998</v>
      </c>
      <c r="E3489">
        <v>1.2290809597069501E-113</v>
      </c>
      <c r="F3489">
        <v>7</v>
      </c>
      <c r="G3489" t="s">
        <v>3360</v>
      </c>
      <c r="H3489" t="s">
        <v>3361</v>
      </c>
      <c r="I3489" t="str">
        <f>HYPERLINK("https://zfin.org/ZDB-GENE-030411-6")</f>
        <v>https://zfin.org/ZDB-GENE-030411-6</v>
      </c>
      <c r="J3489" t="s">
        <v>3362</v>
      </c>
    </row>
    <row r="3490" spans="1:10" x14ac:dyDescent="0.2">
      <c r="A3490">
        <v>3.6644230209131802E-111</v>
      </c>
      <c r="B3490">
        <v>1.0478699753520899</v>
      </c>
      <c r="C3490">
        <v>0.92500000000000004</v>
      </c>
      <c r="D3490">
        <v>0.626</v>
      </c>
      <c r="E3490">
        <v>5.0928151144651298E-107</v>
      </c>
      <c r="F3490">
        <v>7</v>
      </c>
      <c r="G3490" t="s">
        <v>4701</v>
      </c>
      <c r="H3490" t="s">
        <v>4702</v>
      </c>
      <c r="I3490" t="str">
        <f>HYPERLINK("https://zfin.org/ZDB-GENE-030411-5")</f>
        <v>https://zfin.org/ZDB-GENE-030411-5</v>
      </c>
      <c r="J3490" t="s">
        <v>4703</v>
      </c>
    </row>
    <row r="3491" spans="1:10" x14ac:dyDescent="0.2">
      <c r="A3491">
        <v>4.2413750730960301E-104</v>
      </c>
      <c r="B3491">
        <v>1.18045845537181</v>
      </c>
      <c r="C3491">
        <v>0.65200000000000002</v>
      </c>
      <c r="D3491">
        <v>0.214</v>
      </c>
      <c r="E3491">
        <v>5.8946630765888598E-100</v>
      </c>
      <c r="F3491">
        <v>7</v>
      </c>
      <c r="G3491" t="s">
        <v>2783</v>
      </c>
      <c r="H3491" t="s">
        <v>2784</v>
      </c>
      <c r="I3491" t="str">
        <f>HYPERLINK("https://zfin.org/ZDB-GENE-070720-11")</f>
        <v>https://zfin.org/ZDB-GENE-070720-11</v>
      </c>
      <c r="J3491" t="s">
        <v>2785</v>
      </c>
    </row>
    <row r="3492" spans="1:10" x14ac:dyDescent="0.2">
      <c r="A3492">
        <v>2.9961922207716299E-90</v>
      </c>
      <c r="B3492">
        <v>0.75349485854138198</v>
      </c>
      <c r="C3492">
        <v>0.99399999999999999</v>
      </c>
      <c r="D3492">
        <v>0.93200000000000005</v>
      </c>
      <c r="E3492">
        <v>4.16410794842842E-86</v>
      </c>
      <c r="F3492">
        <v>7</v>
      </c>
      <c r="G3492" t="s">
        <v>1221</v>
      </c>
      <c r="H3492" t="s">
        <v>1222</v>
      </c>
      <c r="I3492" t="str">
        <f>HYPERLINK("https://zfin.org/ZDB-GENE-040426-1508")</f>
        <v>https://zfin.org/ZDB-GENE-040426-1508</v>
      </c>
      <c r="J3492" t="s">
        <v>1223</v>
      </c>
    </row>
    <row r="3493" spans="1:10" x14ac:dyDescent="0.2">
      <c r="A3493">
        <v>1.9971560870803299E-80</v>
      </c>
      <c r="B3493">
        <v>0.99838957099023096</v>
      </c>
      <c r="C3493">
        <v>0.73099999999999998</v>
      </c>
      <c r="D3493">
        <v>0.35199999999999998</v>
      </c>
      <c r="E3493">
        <v>2.7756475298242398E-76</v>
      </c>
      <c r="F3493">
        <v>7</v>
      </c>
      <c r="G3493" t="s">
        <v>2697</v>
      </c>
      <c r="H3493" t="s">
        <v>2698</v>
      </c>
      <c r="I3493" t="str">
        <f>HYPERLINK("https://zfin.org/ZDB-GENE-141215-49")</f>
        <v>https://zfin.org/ZDB-GENE-141215-49</v>
      </c>
      <c r="J3493" t="s">
        <v>2699</v>
      </c>
    </row>
    <row r="3494" spans="1:10" x14ac:dyDescent="0.2">
      <c r="A3494">
        <v>1.2988126300962501E-79</v>
      </c>
      <c r="B3494">
        <v>1.0863343650700299</v>
      </c>
      <c r="C3494">
        <v>0.52</v>
      </c>
      <c r="D3494">
        <v>0.16200000000000001</v>
      </c>
      <c r="E3494">
        <v>1.80508979330777E-75</v>
      </c>
      <c r="F3494">
        <v>7</v>
      </c>
      <c r="G3494" t="s">
        <v>2807</v>
      </c>
      <c r="H3494" t="s">
        <v>2808</v>
      </c>
      <c r="I3494" t="str">
        <f>HYPERLINK("https://zfin.org/ZDB-GENE-070112-292")</f>
        <v>https://zfin.org/ZDB-GENE-070112-292</v>
      </c>
      <c r="J3494" t="s">
        <v>2809</v>
      </c>
    </row>
    <row r="3495" spans="1:10" x14ac:dyDescent="0.2">
      <c r="A3495">
        <v>3.31778324439674E-78</v>
      </c>
      <c r="B3495">
        <v>0.990102402534912</v>
      </c>
      <c r="C3495">
        <v>0.79300000000000004</v>
      </c>
      <c r="D3495">
        <v>0.437</v>
      </c>
      <c r="E3495">
        <v>4.6110551530625899E-74</v>
      </c>
      <c r="F3495">
        <v>7</v>
      </c>
      <c r="G3495" t="s">
        <v>2262</v>
      </c>
      <c r="H3495" t="s">
        <v>2263</v>
      </c>
      <c r="I3495" t="str">
        <f>HYPERLINK("https://zfin.org/ZDB-GENE-030131-2159")</f>
        <v>https://zfin.org/ZDB-GENE-030131-2159</v>
      </c>
      <c r="J3495" t="s">
        <v>2264</v>
      </c>
    </row>
    <row r="3496" spans="1:10" x14ac:dyDescent="0.2">
      <c r="A3496">
        <v>1.26636734478964E-76</v>
      </c>
      <c r="B3496">
        <v>0.78392769731071699</v>
      </c>
      <c r="C3496">
        <v>0.98299999999999998</v>
      </c>
      <c r="D3496">
        <v>0.875</v>
      </c>
      <c r="E3496">
        <v>1.7599973357886401E-72</v>
      </c>
      <c r="F3496">
        <v>7</v>
      </c>
      <c r="G3496" t="s">
        <v>2259</v>
      </c>
      <c r="H3496" t="s">
        <v>2260</v>
      </c>
      <c r="I3496" t="str">
        <f>HYPERLINK("https://zfin.org/ZDB-GENE-121214-193")</f>
        <v>https://zfin.org/ZDB-GENE-121214-193</v>
      </c>
      <c r="J3496" t="s">
        <v>2261</v>
      </c>
    </row>
    <row r="3497" spans="1:10" x14ac:dyDescent="0.2">
      <c r="A3497">
        <v>7.5585067282974301E-74</v>
      </c>
      <c r="B3497">
        <v>1.1947484267555599</v>
      </c>
      <c r="C3497">
        <v>0.36199999999999999</v>
      </c>
      <c r="D3497">
        <v>7.9000000000000001E-2</v>
      </c>
      <c r="E3497">
        <v>1.0504812650987799E-69</v>
      </c>
      <c r="F3497">
        <v>7</v>
      </c>
      <c r="G3497" t="s">
        <v>3210</v>
      </c>
      <c r="H3497" t="s">
        <v>3211</v>
      </c>
      <c r="I3497" t="str">
        <f>HYPERLINK("https://zfin.org/ZDB-GENE-050417-363")</f>
        <v>https://zfin.org/ZDB-GENE-050417-363</v>
      </c>
      <c r="J3497" t="s">
        <v>3212</v>
      </c>
    </row>
    <row r="3498" spans="1:10" x14ac:dyDescent="0.2">
      <c r="A3498">
        <v>6.5965012308344497E-71</v>
      </c>
      <c r="B3498">
        <v>0.99012356023708104</v>
      </c>
      <c r="C3498">
        <v>0.51400000000000001</v>
      </c>
      <c r="D3498">
        <v>0.17499999999999999</v>
      </c>
      <c r="E3498">
        <v>9.1678174106137202E-67</v>
      </c>
      <c r="F3498">
        <v>7</v>
      </c>
      <c r="G3498" t="s">
        <v>2789</v>
      </c>
      <c r="H3498" t="s">
        <v>2790</v>
      </c>
      <c r="I3498" t="str">
        <f>HYPERLINK("https://zfin.org/ZDB-GENE-070705-193")</f>
        <v>https://zfin.org/ZDB-GENE-070705-193</v>
      </c>
      <c r="J3498" t="s">
        <v>2791</v>
      </c>
    </row>
    <row r="3499" spans="1:10" x14ac:dyDescent="0.2">
      <c r="A3499">
        <v>6.2686890082114799E-69</v>
      </c>
      <c r="B3499">
        <v>0.75316300589514595</v>
      </c>
      <c r="C3499">
        <v>0.93200000000000005</v>
      </c>
      <c r="D3499">
        <v>0.71699999999999997</v>
      </c>
      <c r="E3499">
        <v>8.7122239836123206E-65</v>
      </c>
      <c r="F3499">
        <v>7</v>
      </c>
      <c r="G3499" t="s">
        <v>1701</v>
      </c>
      <c r="H3499" t="s">
        <v>1702</v>
      </c>
      <c r="I3499" t="str">
        <f>HYPERLINK("https://zfin.org/ZDB-GENE-111109-2")</f>
        <v>https://zfin.org/ZDB-GENE-111109-2</v>
      </c>
      <c r="J3499" t="s">
        <v>1703</v>
      </c>
    </row>
    <row r="3500" spans="1:10" x14ac:dyDescent="0.2">
      <c r="A3500">
        <v>4.0029343586410504E-59</v>
      </c>
      <c r="B3500">
        <v>1.33705372096191</v>
      </c>
      <c r="C3500">
        <v>0.35</v>
      </c>
      <c r="D3500">
        <v>9.5000000000000001E-2</v>
      </c>
      <c r="E3500">
        <v>5.5632781716393303E-55</v>
      </c>
      <c r="F3500">
        <v>7</v>
      </c>
      <c r="G3500" t="s">
        <v>3222</v>
      </c>
      <c r="H3500" t="s">
        <v>3223</v>
      </c>
      <c r="I3500" t="str">
        <f>HYPERLINK("https://zfin.org/ZDB-GENE-000627-1")</f>
        <v>https://zfin.org/ZDB-GENE-000627-1</v>
      </c>
      <c r="J3500" t="s">
        <v>3224</v>
      </c>
    </row>
    <row r="3501" spans="1:10" x14ac:dyDescent="0.2">
      <c r="A3501">
        <v>9.1599930395980306E-55</v>
      </c>
      <c r="B3501">
        <v>1.02762821254502</v>
      </c>
      <c r="C3501">
        <v>0.63100000000000001</v>
      </c>
      <c r="D3501">
        <v>0.34</v>
      </c>
      <c r="E3501">
        <v>1.2730558326433301E-50</v>
      </c>
      <c r="F3501">
        <v>7</v>
      </c>
      <c r="G3501" t="s">
        <v>2748</v>
      </c>
      <c r="H3501" t="s">
        <v>2749</v>
      </c>
      <c r="I3501" t="str">
        <f>HYPERLINK("https://zfin.org/ZDB-GENE-040426-1430")</f>
        <v>https://zfin.org/ZDB-GENE-040426-1430</v>
      </c>
      <c r="J3501" t="s">
        <v>2750</v>
      </c>
    </row>
    <row r="3502" spans="1:10" x14ac:dyDescent="0.2">
      <c r="A3502">
        <v>3.1065261062880799E-53</v>
      </c>
      <c r="B3502">
        <v>0.73405234673495301</v>
      </c>
      <c r="C3502">
        <v>0.81</v>
      </c>
      <c r="D3502">
        <v>0.56200000000000006</v>
      </c>
      <c r="E3502">
        <v>4.3174499825191696E-49</v>
      </c>
      <c r="F3502">
        <v>7</v>
      </c>
      <c r="G3502" t="s">
        <v>2170</v>
      </c>
      <c r="H3502" t="s">
        <v>2171</v>
      </c>
      <c r="I3502" t="str">
        <f>HYPERLINK("https://zfin.org/ZDB-GENE-040426-2826")</f>
        <v>https://zfin.org/ZDB-GENE-040426-2826</v>
      </c>
      <c r="J3502" t="s">
        <v>2172</v>
      </c>
    </row>
    <row r="3503" spans="1:10" x14ac:dyDescent="0.2">
      <c r="A3503">
        <v>6.8870821564573398E-53</v>
      </c>
      <c r="B3503">
        <v>0.85102880441444495</v>
      </c>
      <c r="C3503">
        <v>0.439</v>
      </c>
      <c r="D3503">
        <v>0.158</v>
      </c>
      <c r="E3503">
        <v>9.57166678104441E-49</v>
      </c>
      <c r="F3503">
        <v>7</v>
      </c>
      <c r="G3503" t="s">
        <v>2792</v>
      </c>
      <c r="H3503" t="s">
        <v>2793</v>
      </c>
      <c r="I3503" t="str">
        <f>HYPERLINK("https://zfin.org/ZDB-GENE-030131-9149")</f>
        <v>https://zfin.org/ZDB-GENE-030131-9149</v>
      </c>
      <c r="J3503" t="s">
        <v>2794</v>
      </c>
    </row>
    <row r="3504" spans="1:10" x14ac:dyDescent="0.2">
      <c r="A3504">
        <v>1.57133673893165E-49</v>
      </c>
      <c r="B3504">
        <v>0.66903285657837197</v>
      </c>
      <c r="C3504">
        <v>0.81200000000000006</v>
      </c>
      <c r="D3504">
        <v>0.57299999999999995</v>
      </c>
      <c r="E3504">
        <v>2.1838437997672001E-45</v>
      </c>
      <c r="F3504">
        <v>7</v>
      </c>
      <c r="G3504" t="s">
        <v>1558</v>
      </c>
      <c r="H3504" t="s">
        <v>1559</v>
      </c>
      <c r="I3504" t="str">
        <f>HYPERLINK("https://zfin.org/")</f>
        <v>https://zfin.org/</v>
      </c>
    </row>
    <row r="3505" spans="1:10" x14ac:dyDescent="0.2">
      <c r="A3505">
        <v>1.74882349505159E-45</v>
      </c>
      <c r="B3505">
        <v>0.73680238949892196</v>
      </c>
      <c r="C3505">
        <v>0.68700000000000006</v>
      </c>
      <c r="D3505">
        <v>0.39400000000000002</v>
      </c>
      <c r="E3505">
        <v>2.4305148934226999E-41</v>
      </c>
      <c r="F3505">
        <v>7</v>
      </c>
      <c r="G3505" t="s">
        <v>2706</v>
      </c>
      <c r="H3505" t="s">
        <v>2707</v>
      </c>
      <c r="I3505" t="str">
        <f>HYPERLINK("https://zfin.org/ZDB-GENE-080829-12")</f>
        <v>https://zfin.org/ZDB-GENE-080829-12</v>
      </c>
      <c r="J3505" t="s">
        <v>2708</v>
      </c>
    </row>
    <row r="3506" spans="1:10" x14ac:dyDescent="0.2">
      <c r="A3506">
        <v>4.9980497926948301E-45</v>
      </c>
      <c r="B3506">
        <v>0.73183880651104305</v>
      </c>
      <c r="C3506">
        <v>0.254</v>
      </c>
      <c r="D3506">
        <v>5.8999999999999997E-2</v>
      </c>
      <c r="E3506">
        <v>6.9462896018872698E-41</v>
      </c>
      <c r="F3506">
        <v>7</v>
      </c>
      <c r="G3506" t="s">
        <v>6479</v>
      </c>
      <c r="H3506" t="s">
        <v>6480</v>
      </c>
      <c r="I3506" t="str">
        <f>HYPERLINK("https://zfin.org/ZDB-GENE-020320-4")</f>
        <v>https://zfin.org/ZDB-GENE-020320-4</v>
      </c>
      <c r="J3506" t="s">
        <v>6481</v>
      </c>
    </row>
    <row r="3507" spans="1:10" x14ac:dyDescent="0.2">
      <c r="A3507">
        <v>8.2638786694044807E-43</v>
      </c>
      <c r="B3507">
        <v>-0.930726824491936</v>
      </c>
      <c r="C3507">
        <v>0.33</v>
      </c>
      <c r="D3507">
        <v>0.65</v>
      </c>
      <c r="E3507">
        <v>1.1485138574738299E-38</v>
      </c>
      <c r="F3507">
        <v>7</v>
      </c>
      <c r="G3507" t="s">
        <v>2039</v>
      </c>
      <c r="H3507" t="s">
        <v>2040</v>
      </c>
      <c r="I3507" t="str">
        <f>HYPERLINK("https://zfin.org/ZDB-GENE-050308-1")</f>
        <v>https://zfin.org/ZDB-GENE-050308-1</v>
      </c>
      <c r="J3507" t="s">
        <v>2041</v>
      </c>
    </row>
    <row r="3508" spans="1:10" x14ac:dyDescent="0.2">
      <c r="A3508">
        <v>5.23913428910437E-38</v>
      </c>
      <c r="B3508">
        <v>-1.0160483982714901</v>
      </c>
      <c r="C3508">
        <v>0.35799999999999998</v>
      </c>
      <c r="D3508">
        <v>0.65100000000000002</v>
      </c>
      <c r="E3508">
        <v>7.2813488349972503E-34</v>
      </c>
      <c r="F3508">
        <v>7</v>
      </c>
      <c r="G3508" t="s">
        <v>2153</v>
      </c>
      <c r="H3508" t="s">
        <v>2154</v>
      </c>
      <c r="I3508" t="str">
        <f>HYPERLINK("https://zfin.org/ZDB-GENE-031016-2")</f>
        <v>https://zfin.org/ZDB-GENE-031016-2</v>
      </c>
      <c r="J3508" t="s">
        <v>2155</v>
      </c>
    </row>
    <row r="3509" spans="1:10" x14ac:dyDescent="0.2">
      <c r="A3509">
        <v>1.7261311788275501E-37</v>
      </c>
      <c r="B3509">
        <v>-1.3953719596546901</v>
      </c>
      <c r="C3509">
        <v>0.996</v>
      </c>
      <c r="D3509">
        <v>0.998</v>
      </c>
      <c r="E3509">
        <v>2.39897711233453E-33</v>
      </c>
      <c r="F3509">
        <v>7</v>
      </c>
      <c r="G3509" t="s">
        <v>752</v>
      </c>
      <c r="H3509" t="s">
        <v>753</v>
      </c>
      <c r="I3509" t="str">
        <f>HYPERLINK("https://zfin.org/ZDB-GENE-030805-3")</f>
        <v>https://zfin.org/ZDB-GENE-030805-3</v>
      </c>
      <c r="J3509" t="s">
        <v>754</v>
      </c>
    </row>
    <row r="3510" spans="1:10" x14ac:dyDescent="0.2">
      <c r="A3510">
        <v>1.16562156493835E-36</v>
      </c>
      <c r="B3510">
        <v>-1.10672456971319</v>
      </c>
      <c r="C3510">
        <v>0.57599999999999996</v>
      </c>
      <c r="D3510">
        <v>0.80800000000000005</v>
      </c>
      <c r="E3510">
        <v>1.61998085095132E-32</v>
      </c>
      <c r="F3510">
        <v>7</v>
      </c>
      <c r="G3510" t="s">
        <v>1892</v>
      </c>
      <c r="H3510" t="s">
        <v>1893</v>
      </c>
      <c r="I3510" t="str">
        <f>HYPERLINK("https://zfin.org/ZDB-GENE-121214-200")</f>
        <v>https://zfin.org/ZDB-GENE-121214-200</v>
      </c>
      <c r="J3510" t="s">
        <v>1894</v>
      </c>
    </row>
    <row r="3511" spans="1:10" x14ac:dyDescent="0.2">
      <c r="A3511">
        <v>9.3153505988193498E-36</v>
      </c>
      <c r="B3511">
        <v>0.46111305576948702</v>
      </c>
      <c r="C3511">
        <v>0.89600000000000002</v>
      </c>
      <c r="D3511">
        <v>0.77100000000000002</v>
      </c>
      <c r="E3511">
        <v>1.29464742622391E-31</v>
      </c>
      <c r="F3511">
        <v>7</v>
      </c>
      <c r="G3511" t="s">
        <v>5649</v>
      </c>
      <c r="H3511" t="s">
        <v>5650</v>
      </c>
      <c r="I3511" t="str">
        <f>HYPERLINK("https://zfin.org/ZDB-GENE-000607-83")</f>
        <v>https://zfin.org/ZDB-GENE-000607-83</v>
      </c>
      <c r="J3511" t="s">
        <v>5651</v>
      </c>
    </row>
    <row r="3512" spans="1:10" x14ac:dyDescent="0.2">
      <c r="A3512">
        <v>2.6655035088067001E-33</v>
      </c>
      <c r="B3512">
        <v>0.42859664711637901</v>
      </c>
      <c r="C3512">
        <v>0.96399999999999997</v>
      </c>
      <c r="D3512">
        <v>0.92200000000000004</v>
      </c>
      <c r="E3512">
        <v>3.7045167765395501E-29</v>
      </c>
      <c r="F3512">
        <v>7</v>
      </c>
      <c r="G3512" t="s">
        <v>1305</v>
      </c>
      <c r="H3512" t="s">
        <v>1306</v>
      </c>
      <c r="I3512" t="str">
        <f>HYPERLINK("https://zfin.org/ZDB-GENE-030131-8304")</f>
        <v>https://zfin.org/ZDB-GENE-030131-8304</v>
      </c>
      <c r="J3512" t="s">
        <v>1307</v>
      </c>
    </row>
    <row r="3513" spans="1:10" x14ac:dyDescent="0.2">
      <c r="A3513">
        <v>6.2982377170327704E-33</v>
      </c>
      <c r="B3513">
        <v>0.75978502063741504</v>
      </c>
      <c r="C3513">
        <v>0.55400000000000005</v>
      </c>
      <c r="D3513">
        <v>0.32400000000000001</v>
      </c>
      <c r="E3513">
        <v>8.7532907791321502E-29</v>
      </c>
      <c r="F3513">
        <v>7</v>
      </c>
      <c r="G3513" t="s">
        <v>2553</v>
      </c>
      <c r="H3513" t="s">
        <v>2554</v>
      </c>
      <c r="I3513" t="str">
        <f>HYPERLINK("https://zfin.org/ZDB-GENE-090915-6")</f>
        <v>https://zfin.org/ZDB-GENE-090915-6</v>
      </c>
      <c r="J3513" t="s">
        <v>2555</v>
      </c>
    </row>
    <row r="3514" spans="1:10" x14ac:dyDescent="0.2">
      <c r="A3514">
        <v>7.50572435889942E-33</v>
      </c>
      <c r="B3514">
        <v>0.66205096026254895</v>
      </c>
      <c r="C3514">
        <v>0.48199999999999998</v>
      </c>
      <c r="D3514">
        <v>0.251</v>
      </c>
      <c r="E3514">
        <v>1.04314557139984E-28</v>
      </c>
      <c r="F3514">
        <v>7</v>
      </c>
      <c r="G3514" t="s">
        <v>2751</v>
      </c>
      <c r="H3514" t="s">
        <v>2752</v>
      </c>
      <c r="I3514" t="str">
        <f>HYPERLINK("https://zfin.org/ZDB-GENE-980605-16")</f>
        <v>https://zfin.org/ZDB-GENE-980605-16</v>
      </c>
      <c r="J3514" t="s">
        <v>2753</v>
      </c>
    </row>
    <row r="3515" spans="1:10" x14ac:dyDescent="0.2">
      <c r="A3515">
        <v>1.53474252748181E-32</v>
      </c>
      <c r="B3515">
        <v>0.70032544912002903</v>
      </c>
      <c r="C3515">
        <v>0.26700000000000002</v>
      </c>
      <c r="D3515">
        <v>8.6999999999999994E-2</v>
      </c>
      <c r="E3515">
        <v>2.1329851646942098E-28</v>
      </c>
      <c r="F3515">
        <v>7</v>
      </c>
      <c r="G3515" t="s">
        <v>3118</v>
      </c>
      <c r="H3515" t="s">
        <v>3119</v>
      </c>
      <c r="I3515" t="str">
        <f>HYPERLINK("https://zfin.org/ZDB-GENE-100921-8")</f>
        <v>https://zfin.org/ZDB-GENE-100921-8</v>
      </c>
      <c r="J3515" t="s">
        <v>3120</v>
      </c>
    </row>
    <row r="3516" spans="1:10" x14ac:dyDescent="0.2">
      <c r="A3516">
        <v>1.5616829685735799E-32</v>
      </c>
      <c r="B3516">
        <v>0.56722271790588896</v>
      </c>
      <c r="C3516">
        <v>0.19800000000000001</v>
      </c>
      <c r="D3516">
        <v>4.9000000000000002E-2</v>
      </c>
      <c r="E3516">
        <v>2.1704269897235598E-28</v>
      </c>
      <c r="F3516">
        <v>7</v>
      </c>
      <c r="G3516" t="s">
        <v>6503</v>
      </c>
      <c r="H3516" t="s">
        <v>6504</v>
      </c>
      <c r="I3516" t="str">
        <f>HYPERLINK("https://zfin.org/ZDB-GENE-111004-2")</f>
        <v>https://zfin.org/ZDB-GENE-111004-2</v>
      </c>
      <c r="J3516" t="s">
        <v>6505</v>
      </c>
    </row>
    <row r="3517" spans="1:10" x14ac:dyDescent="0.2">
      <c r="A3517">
        <v>1.7644099496954099E-32</v>
      </c>
      <c r="B3517">
        <v>-0.60491939527716898</v>
      </c>
      <c r="C3517">
        <v>0.755</v>
      </c>
      <c r="D3517">
        <v>0.876</v>
      </c>
      <c r="E3517">
        <v>2.4521769480866802E-28</v>
      </c>
      <c r="F3517">
        <v>7</v>
      </c>
      <c r="G3517" t="s">
        <v>882</v>
      </c>
      <c r="H3517" t="s">
        <v>883</v>
      </c>
      <c r="I3517" t="str">
        <f>HYPERLINK("https://zfin.org/ZDB-GENE-030131-5590")</f>
        <v>https://zfin.org/ZDB-GENE-030131-5590</v>
      </c>
      <c r="J3517" t="s">
        <v>884</v>
      </c>
    </row>
    <row r="3518" spans="1:10" x14ac:dyDescent="0.2">
      <c r="A3518">
        <v>2.0744529998627601E-32</v>
      </c>
      <c r="B3518">
        <v>-0.479830209410258</v>
      </c>
      <c r="C3518">
        <v>0.97899999999999998</v>
      </c>
      <c r="D3518">
        <v>0.99199999999999999</v>
      </c>
      <c r="E3518">
        <v>2.8830747792092698E-28</v>
      </c>
      <c r="F3518">
        <v>7</v>
      </c>
      <c r="G3518" t="s">
        <v>3498</v>
      </c>
      <c r="H3518" t="s">
        <v>3499</v>
      </c>
      <c r="I3518" t="str">
        <f>HYPERLINK("https://zfin.org/ZDB-GENE-030131-8681")</f>
        <v>https://zfin.org/ZDB-GENE-030131-8681</v>
      </c>
      <c r="J3518" t="s">
        <v>3500</v>
      </c>
    </row>
    <row r="3519" spans="1:10" x14ac:dyDescent="0.2">
      <c r="A3519">
        <v>1.25001280797027E-31</v>
      </c>
      <c r="B3519">
        <v>-0.50950967996023599</v>
      </c>
      <c r="C3519">
        <v>0.93400000000000005</v>
      </c>
      <c r="D3519">
        <v>0.96299999999999997</v>
      </c>
      <c r="E3519">
        <v>1.73726780051708E-27</v>
      </c>
      <c r="F3519">
        <v>7</v>
      </c>
      <c r="G3519" t="s">
        <v>1293</v>
      </c>
      <c r="H3519" t="s">
        <v>1294</v>
      </c>
      <c r="I3519" t="str">
        <f>HYPERLINK("https://zfin.org/ZDB-GENE-030131-9744")</f>
        <v>https://zfin.org/ZDB-GENE-030131-9744</v>
      </c>
      <c r="J3519" t="s">
        <v>1295</v>
      </c>
    </row>
    <row r="3520" spans="1:10" x14ac:dyDescent="0.2">
      <c r="A3520">
        <v>1.40606954533594E-31</v>
      </c>
      <c r="B3520">
        <v>-0.91940558333817402</v>
      </c>
      <c r="C3520">
        <v>0.78900000000000003</v>
      </c>
      <c r="D3520">
        <v>0.90500000000000003</v>
      </c>
      <c r="E3520">
        <v>1.9541554541078901E-27</v>
      </c>
      <c r="F3520">
        <v>7</v>
      </c>
      <c r="G3520" t="s">
        <v>1599</v>
      </c>
      <c r="H3520" t="s">
        <v>1600</v>
      </c>
      <c r="I3520" t="str">
        <f>HYPERLINK("https://zfin.org/")</f>
        <v>https://zfin.org/</v>
      </c>
      <c r="J3520" t="s">
        <v>1601</v>
      </c>
    </row>
    <row r="3521" spans="1:10" x14ac:dyDescent="0.2">
      <c r="A3521">
        <v>1.6175213919834999E-31</v>
      </c>
      <c r="B3521">
        <v>-0.72549942898534303</v>
      </c>
      <c r="C3521">
        <v>0.29399999999999998</v>
      </c>
      <c r="D3521">
        <v>0.57599999999999996</v>
      </c>
      <c r="E3521">
        <v>2.2480312305786699E-27</v>
      </c>
      <c r="F3521">
        <v>7</v>
      </c>
      <c r="G3521" t="s">
        <v>2280</v>
      </c>
      <c r="H3521" t="s">
        <v>2281</v>
      </c>
      <c r="I3521" t="str">
        <f>HYPERLINK("https://zfin.org/ZDB-GENE-080723-23")</f>
        <v>https://zfin.org/ZDB-GENE-080723-23</v>
      </c>
      <c r="J3521" t="s">
        <v>2282</v>
      </c>
    </row>
    <row r="3522" spans="1:10" x14ac:dyDescent="0.2">
      <c r="A3522">
        <v>3.9984162571083098E-29</v>
      </c>
      <c r="B3522">
        <v>0.54266318015596304</v>
      </c>
      <c r="C3522">
        <v>0.70099999999999996</v>
      </c>
      <c r="D3522">
        <v>0.497</v>
      </c>
      <c r="E3522">
        <v>5.5569989141291303E-25</v>
      </c>
      <c r="F3522">
        <v>7</v>
      </c>
      <c r="G3522" t="s">
        <v>2090</v>
      </c>
      <c r="H3522" t="s">
        <v>2091</v>
      </c>
      <c r="I3522" t="str">
        <f>HYPERLINK("https://zfin.org/ZDB-GENE-141212-380")</f>
        <v>https://zfin.org/ZDB-GENE-141212-380</v>
      </c>
      <c r="J3522" t="s">
        <v>2092</v>
      </c>
    </row>
    <row r="3523" spans="1:10" x14ac:dyDescent="0.2">
      <c r="A3523">
        <v>4.9425379335519403E-29</v>
      </c>
      <c r="B3523">
        <v>0.40442121845587498</v>
      </c>
      <c r="C3523">
        <v>1</v>
      </c>
      <c r="D3523">
        <v>1</v>
      </c>
      <c r="E3523">
        <v>6.8691392200504903E-25</v>
      </c>
      <c r="F3523">
        <v>7</v>
      </c>
      <c r="G3523" t="s">
        <v>1023</v>
      </c>
      <c r="H3523" t="s">
        <v>1024</v>
      </c>
      <c r="I3523" t="str">
        <f>HYPERLINK("https://zfin.org/ZDB-GENE-130603-61")</f>
        <v>https://zfin.org/ZDB-GENE-130603-61</v>
      </c>
      <c r="J3523" t="s">
        <v>1025</v>
      </c>
    </row>
    <row r="3524" spans="1:10" x14ac:dyDescent="0.2">
      <c r="A3524">
        <v>5.7515244297430196E-29</v>
      </c>
      <c r="B3524">
        <v>0.39704521690142702</v>
      </c>
      <c r="C3524">
        <v>0.92800000000000005</v>
      </c>
      <c r="D3524">
        <v>0.82099999999999995</v>
      </c>
      <c r="E3524">
        <v>7.9934686524568496E-25</v>
      </c>
      <c r="F3524">
        <v>7</v>
      </c>
      <c r="G3524" t="s">
        <v>1275</v>
      </c>
      <c r="H3524" t="s">
        <v>1276</v>
      </c>
      <c r="I3524" t="str">
        <f>HYPERLINK("https://zfin.org/ZDB-GENE-050522-73")</f>
        <v>https://zfin.org/ZDB-GENE-050522-73</v>
      </c>
      <c r="J3524" t="s">
        <v>1277</v>
      </c>
    </row>
    <row r="3525" spans="1:10" x14ac:dyDescent="0.2">
      <c r="A3525">
        <v>6.6594007397014795E-29</v>
      </c>
      <c r="B3525">
        <v>0.64196652007483002</v>
      </c>
      <c r="C3525">
        <v>0.40899999999999997</v>
      </c>
      <c r="D3525">
        <v>0.19400000000000001</v>
      </c>
      <c r="E3525">
        <v>9.2552351480371208E-25</v>
      </c>
      <c r="F3525">
        <v>7</v>
      </c>
      <c r="G3525" t="s">
        <v>2981</v>
      </c>
      <c r="H3525" t="s">
        <v>2982</v>
      </c>
      <c r="I3525" t="str">
        <f>HYPERLINK("https://zfin.org/ZDB-GENE-131121-141")</f>
        <v>https://zfin.org/ZDB-GENE-131121-141</v>
      </c>
      <c r="J3525" t="s">
        <v>2983</v>
      </c>
    </row>
    <row r="3526" spans="1:10" x14ac:dyDescent="0.2">
      <c r="A3526">
        <v>5.2402845725985799E-28</v>
      </c>
      <c r="B3526">
        <v>0.586798689383633</v>
      </c>
      <c r="C3526">
        <v>0.58399999999999996</v>
      </c>
      <c r="D3526">
        <v>0.36599999999999999</v>
      </c>
      <c r="E3526">
        <v>7.2829474989975003E-24</v>
      </c>
      <c r="F3526">
        <v>7</v>
      </c>
      <c r="G3526" t="s">
        <v>2274</v>
      </c>
      <c r="H3526" t="s">
        <v>2275</v>
      </c>
      <c r="I3526" t="str">
        <f>HYPERLINK("https://zfin.org/ZDB-GENE-041114-138")</f>
        <v>https://zfin.org/ZDB-GENE-041114-138</v>
      </c>
      <c r="J3526" t="s">
        <v>2276</v>
      </c>
    </row>
    <row r="3527" spans="1:10" x14ac:dyDescent="0.2">
      <c r="A3527">
        <v>8.7604845760920892E-28</v>
      </c>
      <c r="B3527">
        <v>0.60957017452023399</v>
      </c>
      <c r="C3527">
        <v>0.217</v>
      </c>
      <c r="D3527">
        <v>6.7000000000000004E-2</v>
      </c>
      <c r="E3527">
        <v>1.21753214638528E-23</v>
      </c>
      <c r="F3527">
        <v>7</v>
      </c>
      <c r="G3527" t="s">
        <v>6497</v>
      </c>
      <c r="H3527" t="s">
        <v>6498</v>
      </c>
      <c r="I3527" t="str">
        <f>HYPERLINK("https://zfin.org/ZDB-GENE-070820-6")</f>
        <v>https://zfin.org/ZDB-GENE-070820-6</v>
      </c>
      <c r="J3527" t="s">
        <v>6499</v>
      </c>
    </row>
    <row r="3528" spans="1:10" x14ac:dyDescent="0.2">
      <c r="A3528">
        <v>1.07985229082585E-27</v>
      </c>
      <c r="B3528">
        <v>-0.75342308582697404</v>
      </c>
      <c r="C3528">
        <v>0.14499999999999999</v>
      </c>
      <c r="D3528">
        <v>0.40699999999999997</v>
      </c>
      <c r="E3528">
        <v>1.50077871378977E-23</v>
      </c>
      <c r="F3528">
        <v>7</v>
      </c>
      <c r="G3528" t="s">
        <v>4713</v>
      </c>
      <c r="H3528" t="s">
        <v>4714</v>
      </c>
      <c r="I3528" t="str">
        <f>HYPERLINK("https://zfin.org/ZDB-GENE-030131-7103")</f>
        <v>https://zfin.org/ZDB-GENE-030131-7103</v>
      </c>
      <c r="J3528" t="s">
        <v>4715</v>
      </c>
    </row>
    <row r="3529" spans="1:10" x14ac:dyDescent="0.2">
      <c r="A3529">
        <v>4.4541746288883002E-27</v>
      </c>
      <c r="B3529">
        <v>0.45126286748038602</v>
      </c>
      <c r="C3529">
        <v>0.14499999999999999</v>
      </c>
      <c r="D3529">
        <v>3.1E-2</v>
      </c>
      <c r="E3529">
        <v>6.1904118992289597E-23</v>
      </c>
      <c r="F3529">
        <v>7</v>
      </c>
      <c r="G3529" t="s">
        <v>6512</v>
      </c>
      <c r="H3529" t="s">
        <v>6513</v>
      </c>
      <c r="I3529" t="str">
        <f>HYPERLINK("https://zfin.org/ZDB-GENE-980526-260")</f>
        <v>https://zfin.org/ZDB-GENE-980526-260</v>
      </c>
      <c r="J3529" t="s">
        <v>6514</v>
      </c>
    </row>
    <row r="3530" spans="1:10" x14ac:dyDescent="0.2">
      <c r="A3530">
        <v>4.0633274554862297E-26</v>
      </c>
      <c r="B3530">
        <v>-0.95585207961347995</v>
      </c>
      <c r="C3530">
        <v>7.6999999999999999E-2</v>
      </c>
      <c r="D3530">
        <v>0.314</v>
      </c>
      <c r="E3530">
        <v>5.6472124976347602E-22</v>
      </c>
      <c r="F3530">
        <v>7</v>
      </c>
      <c r="G3530" t="s">
        <v>2864</v>
      </c>
      <c r="H3530" t="s">
        <v>2865</v>
      </c>
      <c r="I3530" t="str">
        <f>HYPERLINK("https://zfin.org/ZDB-GENE-110411-139")</f>
        <v>https://zfin.org/ZDB-GENE-110411-139</v>
      </c>
      <c r="J3530" t="s">
        <v>2866</v>
      </c>
    </row>
    <row r="3531" spans="1:10" x14ac:dyDescent="0.2">
      <c r="A3531">
        <v>4.9298311859025897E-26</v>
      </c>
      <c r="B3531">
        <v>0.56599415791880603</v>
      </c>
      <c r="C3531">
        <v>0.156</v>
      </c>
      <c r="D3531">
        <v>3.7999999999999999E-2</v>
      </c>
      <c r="E3531">
        <v>6.8514793821674203E-22</v>
      </c>
      <c r="F3531">
        <v>7</v>
      </c>
      <c r="G3531" t="s">
        <v>6559</v>
      </c>
      <c r="H3531" t="s">
        <v>6560</v>
      </c>
      <c r="I3531" t="str">
        <f>HYPERLINK("https://zfin.org/ZDB-GENE-070112-2242")</f>
        <v>https://zfin.org/ZDB-GENE-070112-2242</v>
      </c>
      <c r="J3531" t="s">
        <v>6561</v>
      </c>
    </row>
    <row r="3532" spans="1:10" x14ac:dyDescent="0.2">
      <c r="A3532">
        <v>1.8987744826737999E-25</v>
      </c>
      <c r="B3532">
        <v>0.653258433054557</v>
      </c>
      <c r="C3532">
        <v>0.47799999999999998</v>
      </c>
      <c r="D3532">
        <v>0.27200000000000002</v>
      </c>
      <c r="E3532">
        <v>2.6389167760200501E-21</v>
      </c>
      <c r="F3532">
        <v>7</v>
      </c>
      <c r="G3532" t="s">
        <v>942</v>
      </c>
      <c r="H3532" t="s">
        <v>943</v>
      </c>
      <c r="I3532" t="str">
        <f>HYPERLINK("https://zfin.org/ZDB-GENE-040801-218")</f>
        <v>https://zfin.org/ZDB-GENE-040801-218</v>
      </c>
      <c r="J3532" t="s">
        <v>944</v>
      </c>
    </row>
    <row r="3533" spans="1:10" x14ac:dyDescent="0.2">
      <c r="A3533">
        <v>1.5433735311388701E-24</v>
      </c>
      <c r="B3533">
        <v>-0.88623212747304303</v>
      </c>
      <c r="C3533">
        <v>0.32800000000000001</v>
      </c>
      <c r="D3533">
        <v>0.56699999999999995</v>
      </c>
      <c r="E3533">
        <v>2.1449805335767999E-20</v>
      </c>
      <c r="F3533">
        <v>7</v>
      </c>
      <c r="G3533" t="s">
        <v>764</v>
      </c>
      <c r="H3533" t="s">
        <v>765</v>
      </c>
      <c r="I3533" t="str">
        <f>HYPERLINK("https://zfin.org/ZDB-GENE-030131-5590")</f>
        <v>https://zfin.org/ZDB-GENE-030131-5590</v>
      </c>
      <c r="J3533" t="s">
        <v>766</v>
      </c>
    </row>
    <row r="3534" spans="1:10" x14ac:dyDescent="0.2">
      <c r="A3534">
        <v>7.4450124308257798E-24</v>
      </c>
      <c r="B3534">
        <v>-0.73705038313077398</v>
      </c>
      <c r="C3534">
        <v>9.1999999999999998E-2</v>
      </c>
      <c r="D3534">
        <v>0.318</v>
      </c>
      <c r="E3534">
        <v>1.03470782763617E-19</v>
      </c>
      <c r="F3534">
        <v>7</v>
      </c>
      <c r="G3534" t="s">
        <v>6562</v>
      </c>
      <c r="H3534" t="s">
        <v>6563</v>
      </c>
      <c r="I3534" t="str">
        <f>HYPERLINK("https://zfin.org/ZDB-GENE-030521-10")</f>
        <v>https://zfin.org/ZDB-GENE-030521-10</v>
      </c>
      <c r="J3534" t="s">
        <v>6564</v>
      </c>
    </row>
    <row r="3535" spans="1:10" x14ac:dyDescent="0.2">
      <c r="A3535">
        <v>1.5170181275500699E-23</v>
      </c>
      <c r="B3535">
        <v>0.54917630408222795</v>
      </c>
      <c r="C3535">
        <v>0.215</v>
      </c>
      <c r="D3535">
        <v>7.3999999999999996E-2</v>
      </c>
      <c r="E3535">
        <v>2.10835179366909E-19</v>
      </c>
      <c r="F3535">
        <v>7</v>
      </c>
      <c r="G3535" t="s">
        <v>3264</v>
      </c>
      <c r="H3535" t="s">
        <v>3265</v>
      </c>
      <c r="I3535" t="str">
        <f>HYPERLINK("https://zfin.org/ZDB-GENE-110718-2")</f>
        <v>https://zfin.org/ZDB-GENE-110718-2</v>
      </c>
      <c r="J3535" t="s">
        <v>3266</v>
      </c>
    </row>
    <row r="3536" spans="1:10" x14ac:dyDescent="0.2">
      <c r="A3536">
        <v>1.9882517234551399E-23</v>
      </c>
      <c r="B3536">
        <v>0.491878644336462</v>
      </c>
      <c r="C3536">
        <v>0.20300000000000001</v>
      </c>
      <c r="D3536">
        <v>6.7000000000000004E-2</v>
      </c>
      <c r="E3536">
        <v>2.7632722452579498E-19</v>
      </c>
      <c r="F3536">
        <v>7</v>
      </c>
      <c r="G3536" t="s">
        <v>6565</v>
      </c>
      <c r="H3536" t="s">
        <v>6566</v>
      </c>
      <c r="I3536" t="str">
        <f>HYPERLINK("https://zfin.org/ZDB-GENE-110609-2")</f>
        <v>https://zfin.org/ZDB-GENE-110609-2</v>
      </c>
      <c r="J3536" t="s">
        <v>6567</v>
      </c>
    </row>
    <row r="3537" spans="1:10" x14ac:dyDescent="0.2">
      <c r="A3537">
        <v>3.7917695987166197E-23</v>
      </c>
      <c r="B3537">
        <v>-0.72918582501434903</v>
      </c>
      <c r="C3537">
        <v>0.109</v>
      </c>
      <c r="D3537">
        <v>0.33600000000000002</v>
      </c>
      <c r="E3537">
        <v>5.2698013882963603E-19</v>
      </c>
      <c r="F3537">
        <v>7</v>
      </c>
      <c r="G3537" t="s">
        <v>2673</v>
      </c>
      <c r="H3537" t="s">
        <v>2674</v>
      </c>
      <c r="I3537" t="str">
        <f>HYPERLINK("https://zfin.org/ZDB-GENE-061103-283")</f>
        <v>https://zfin.org/ZDB-GENE-061103-283</v>
      </c>
      <c r="J3537" t="s">
        <v>2675</v>
      </c>
    </row>
    <row r="3538" spans="1:10" x14ac:dyDescent="0.2">
      <c r="A3538">
        <v>8.2017411883319004E-23</v>
      </c>
      <c r="B3538">
        <v>-1.1499255619137001</v>
      </c>
      <c r="C3538">
        <v>0.13200000000000001</v>
      </c>
      <c r="D3538">
        <v>0.35399999999999998</v>
      </c>
      <c r="E3538">
        <v>1.13987799035437E-18</v>
      </c>
      <c r="F3538">
        <v>7</v>
      </c>
      <c r="G3538" t="s">
        <v>2867</v>
      </c>
      <c r="H3538" t="s">
        <v>2868</v>
      </c>
      <c r="I3538" t="str">
        <f>HYPERLINK("https://zfin.org/ZDB-GENE-110411-258")</f>
        <v>https://zfin.org/ZDB-GENE-110411-258</v>
      </c>
      <c r="J3538" t="s">
        <v>2869</v>
      </c>
    </row>
    <row r="3539" spans="1:10" x14ac:dyDescent="0.2">
      <c r="A3539">
        <v>2.4466883346697498E-22</v>
      </c>
      <c r="B3539">
        <v>-0.78421004821347995</v>
      </c>
      <c r="C3539">
        <v>0.41199999999999998</v>
      </c>
      <c r="D3539">
        <v>0.628</v>
      </c>
      <c r="E3539">
        <v>3.4004074475240199E-18</v>
      </c>
      <c r="F3539">
        <v>7</v>
      </c>
      <c r="G3539" t="s">
        <v>5294</v>
      </c>
      <c r="H3539" t="s">
        <v>5295</v>
      </c>
      <c r="I3539" t="str">
        <f>HYPERLINK("https://zfin.org/ZDB-GENE-030131-722")</f>
        <v>https://zfin.org/ZDB-GENE-030131-722</v>
      </c>
      <c r="J3539" t="s">
        <v>5296</v>
      </c>
    </row>
    <row r="3540" spans="1:10" x14ac:dyDescent="0.2">
      <c r="A3540">
        <v>1.0304439845179101E-21</v>
      </c>
      <c r="B3540">
        <v>0.51952879794901996</v>
      </c>
      <c r="C3540">
        <v>0.68</v>
      </c>
      <c r="D3540">
        <v>0.54900000000000004</v>
      </c>
      <c r="E3540">
        <v>1.43211104968299E-17</v>
      </c>
      <c r="F3540">
        <v>7</v>
      </c>
      <c r="G3540" t="s">
        <v>2777</v>
      </c>
      <c r="H3540" t="s">
        <v>2778</v>
      </c>
      <c r="I3540" t="str">
        <f>HYPERLINK("https://zfin.org/ZDB-GENE-030428-2")</f>
        <v>https://zfin.org/ZDB-GENE-030428-2</v>
      </c>
      <c r="J3540" t="s">
        <v>2779</v>
      </c>
    </row>
    <row r="3541" spans="1:10" x14ac:dyDescent="0.2">
      <c r="A3541">
        <v>1.29704365798839E-21</v>
      </c>
      <c r="B3541">
        <v>-0.472221652196329</v>
      </c>
      <c r="C3541">
        <v>0.81699999999999995</v>
      </c>
      <c r="D3541">
        <v>0.88200000000000001</v>
      </c>
      <c r="E3541">
        <v>1.8026312758722599E-17</v>
      </c>
      <c r="F3541">
        <v>7</v>
      </c>
      <c r="G3541" t="s">
        <v>1116</v>
      </c>
      <c r="H3541" t="s">
        <v>1117</v>
      </c>
      <c r="I3541" t="str">
        <f>HYPERLINK("https://zfin.org/ZDB-GENE-110411-160")</f>
        <v>https://zfin.org/ZDB-GENE-110411-160</v>
      </c>
      <c r="J3541" t="s">
        <v>1118</v>
      </c>
    </row>
    <row r="3542" spans="1:10" x14ac:dyDescent="0.2">
      <c r="A3542">
        <v>2.3241064823720102E-21</v>
      </c>
      <c r="B3542">
        <v>-0.42638461883855999</v>
      </c>
      <c r="C3542">
        <v>0.70599999999999996</v>
      </c>
      <c r="D3542">
        <v>0.85399999999999998</v>
      </c>
      <c r="E3542">
        <v>3.23004318920062E-17</v>
      </c>
      <c r="F3542">
        <v>7</v>
      </c>
      <c r="G3542" t="s">
        <v>1552</v>
      </c>
      <c r="H3542" t="s">
        <v>1553</v>
      </c>
      <c r="I3542" t="str">
        <f>HYPERLINK("https://zfin.org/ZDB-GENE-010328-8")</f>
        <v>https://zfin.org/ZDB-GENE-010328-8</v>
      </c>
      <c r="J3542" t="s">
        <v>1554</v>
      </c>
    </row>
    <row r="3543" spans="1:10" x14ac:dyDescent="0.2">
      <c r="A3543">
        <v>3.0829836670515401E-21</v>
      </c>
      <c r="B3543">
        <v>0.55477107213705801</v>
      </c>
      <c r="C3543">
        <v>0.62</v>
      </c>
      <c r="D3543">
        <v>0.44700000000000001</v>
      </c>
      <c r="E3543">
        <v>4.2847307004682299E-17</v>
      </c>
      <c r="F3543">
        <v>7</v>
      </c>
      <c r="G3543" t="s">
        <v>4494</v>
      </c>
      <c r="H3543" t="s">
        <v>4495</v>
      </c>
      <c r="I3543" t="str">
        <f>HYPERLINK("https://zfin.org/ZDB-GENE-020910-1")</f>
        <v>https://zfin.org/ZDB-GENE-020910-1</v>
      </c>
      <c r="J3543" t="s">
        <v>4496</v>
      </c>
    </row>
    <row r="3544" spans="1:10" x14ac:dyDescent="0.2">
      <c r="A3544">
        <v>6.6388463385626099E-21</v>
      </c>
      <c r="B3544">
        <v>0.484529523433474</v>
      </c>
      <c r="C3544">
        <v>0.2</v>
      </c>
      <c r="D3544">
        <v>7.0999999999999994E-2</v>
      </c>
      <c r="E3544">
        <v>9.2266686413343103E-17</v>
      </c>
      <c r="F3544">
        <v>7</v>
      </c>
      <c r="G3544" t="s">
        <v>6568</v>
      </c>
      <c r="H3544" t="s">
        <v>6569</v>
      </c>
      <c r="I3544" t="str">
        <f>HYPERLINK("https://zfin.org/ZDB-GENE-070424-1")</f>
        <v>https://zfin.org/ZDB-GENE-070424-1</v>
      </c>
      <c r="J3544" t="s">
        <v>6570</v>
      </c>
    </row>
    <row r="3545" spans="1:10" x14ac:dyDescent="0.2">
      <c r="A3545">
        <v>7.1870611532132602E-21</v>
      </c>
      <c r="B3545">
        <v>0.52611151790186905</v>
      </c>
      <c r="C3545">
        <v>0.16800000000000001</v>
      </c>
      <c r="D3545">
        <v>5.1999999999999998E-2</v>
      </c>
      <c r="E3545">
        <v>9.9885775907357801E-17</v>
      </c>
      <c r="F3545">
        <v>7</v>
      </c>
      <c r="G3545" t="s">
        <v>6571</v>
      </c>
      <c r="H3545" t="s">
        <v>6572</v>
      </c>
      <c r="I3545" t="str">
        <f>HYPERLINK("https://zfin.org/ZDB-GENE-000526-1")</f>
        <v>https://zfin.org/ZDB-GENE-000526-1</v>
      </c>
      <c r="J3545" t="s">
        <v>6573</v>
      </c>
    </row>
    <row r="3546" spans="1:10" x14ac:dyDescent="0.2">
      <c r="A3546">
        <v>7.1964591964425704E-21</v>
      </c>
      <c r="B3546">
        <v>-0.67691981214880703</v>
      </c>
      <c r="C3546">
        <v>2.8000000000000001E-2</v>
      </c>
      <c r="D3546">
        <v>0.21</v>
      </c>
      <c r="E3546">
        <v>1.00016389912159E-16</v>
      </c>
      <c r="F3546">
        <v>7</v>
      </c>
      <c r="G3546" t="s">
        <v>2900</v>
      </c>
      <c r="H3546" t="s">
        <v>2901</v>
      </c>
      <c r="I3546" t="str">
        <f>HYPERLINK("https://zfin.org/ZDB-GENE-070912-648")</f>
        <v>https://zfin.org/ZDB-GENE-070912-648</v>
      </c>
      <c r="J3546" t="s">
        <v>2902</v>
      </c>
    </row>
    <row r="3547" spans="1:10" x14ac:dyDescent="0.2">
      <c r="A3547">
        <v>3.3139758964541E-20</v>
      </c>
      <c r="B3547">
        <v>-0.79963653832466297</v>
      </c>
      <c r="C3547">
        <v>0.192</v>
      </c>
      <c r="D3547">
        <v>0.41199999999999998</v>
      </c>
      <c r="E3547">
        <v>4.6057637008919102E-16</v>
      </c>
      <c r="F3547">
        <v>7</v>
      </c>
      <c r="G3547" t="s">
        <v>2634</v>
      </c>
      <c r="H3547" t="s">
        <v>2635</v>
      </c>
      <c r="I3547" t="str">
        <f>HYPERLINK("https://zfin.org/ZDB-GENE-011212-6")</f>
        <v>https://zfin.org/ZDB-GENE-011212-6</v>
      </c>
      <c r="J3547" t="s">
        <v>2636</v>
      </c>
    </row>
    <row r="3548" spans="1:10" x14ac:dyDescent="0.2">
      <c r="A3548">
        <v>3.3422540181316399E-20</v>
      </c>
      <c r="B3548">
        <v>-0.72461875266712605</v>
      </c>
      <c r="C3548">
        <v>0.19400000000000001</v>
      </c>
      <c r="D3548">
        <v>0.41</v>
      </c>
      <c r="E3548">
        <v>4.6450646343993504E-16</v>
      </c>
      <c r="F3548">
        <v>7</v>
      </c>
      <c r="G3548" t="s">
        <v>984</v>
      </c>
      <c r="H3548" t="s">
        <v>985</v>
      </c>
      <c r="I3548" t="str">
        <f>HYPERLINK("https://zfin.org/ZDB-GENE-040718-162")</f>
        <v>https://zfin.org/ZDB-GENE-040718-162</v>
      </c>
      <c r="J3548" t="s">
        <v>986</v>
      </c>
    </row>
    <row r="3549" spans="1:10" x14ac:dyDescent="0.2">
      <c r="A3549">
        <v>6.13181561770749E-20</v>
      </c>
      <c r="B3549">
        <v>0.54885253044134596</v>
      </c>
      <c r="C3549">
        <v>0.53500000000000003</v>
      </c>
      <c r="D3549">
        <v>0.373</v>
      </c>
      <c r="E3549">
        <v>8.5219973454898699E-16</v>
      </c>
      <c r="F3549">
        <v>7</v>
      </c>
      <c r="G3549" t="s">
        <v>2700</v>
      </c>
      <c r="H3549" t="s">
        <v>2701</v>
      </c>
      <c r="I3549" t="str">
        <f>HYPERLINK("https://zfin.org/ZDB-GENE-050417-338")</f>
        <v>https://zfin.org/ZDB-GENE-050417-338</v>
      </c>
      <c r="J3549" t="s">
        <v>2702</v>
      </c>
    </row>
    <row r="3550" spans="1:10" x14ac:dyDescent="0.2">
      <c r="A3550">
        <v>1.4969129713648801E-19</v>
      </c>
      <c r="B3550">
        <v>-0.53691502833997495</v>
      </c>
      <c r="C3550">
        <v>0.61199999999999999</v>
      </c>
      <c r="D3550">
        <v>0.78200000000000003</v>
      </c>
      <c r="E3550">
        <v>2.0804096476029099E-15</v>
      </c>
      <c r="F3550">
        <v>7</v>
      </c>
      <c r="G3550" t="s">
        <v>2093</v>
      </c>
      <c r="H3550" t="s">
        <v>2094</v>
      </c>
      <c r="I3550" t="str">
        <f>HYPERLINK("https://zfin.org/ZDB-GENE-040426-2931")</f>
        <v>https://zfin.org/ZDB-GENE-040426-2931</v>
      </c>
      <c r="J3550" t="s">
        <v>2095</v>
      </c>
    </row>
    <row r="3551" spans="1:10" x14ac:dyDescent="0.2">
      <c r="A3551">
        <v>2.5448590417209099E-19</v>
      </c>
      <c r="B3551">
        <v>-0.669033456010664</v>
      </c>
      <c r="C3551">
        <v>0.28599999999999998</v>
      </c>
      <c r="D3551">
        <v>0.49299999999999999</v>
      </c>
      <c r="E3551">
        <v>3.5368450961837201E-15</v>
      </c>
      <c r="F3551">
        <v>7</v>
      </c>
      <c r="G3551" t="s">
        <v>2607</v>
      </c>
      <c r="H3551" t="s">
        <v>2608</v>
      </c>
      <c r="I3551" t="str">
        <f>HYPERLINK("https://zfin.org/ZDB-GENE-030911-2")</f>
        <v>https://zfin.org/ZDB-GENE-030911-2</v>
      </c>
      <c r="J3551" t="s">
        <v>2609</v>
      </c>
    </row>
    <row r="3552" spans="1:10" x14ac:dyDescent="0.2">
      <c r="A3552">
        <v>3.6756823869826302E-19</v>
      </c>
      <c r="B3552">
        <v>-0.58990452154211903</v>
      </c>
      <c r="C3552">
        <v>0.22800000000000001</v>
      </c>
      <c r="D3552">
        <v>0.46500000000000002</v>
      </c>
      <c r="E3552">
        <v>5.1084633814284602E-15</v>
      </c>
      <c r="F3552">
        <v>7</v>
      </c>
      <c r="G3552" t="s">
        <v>3112</v>
      </c>
      <c r="H3552" t="s">
        <v>3113</v>
      </c>
      <c r="I3552" t="str">
        <f>HYPERLINK("https://zfin.org/ZDB-GENE-030131-9167")</f>
        <v>https://zfin.org/ZDB-GENE-030131-9167</v>
      </c>
      <c r="J3552" t="s">
        <v>3114</v>
      </c>
    </row>
    <row r="3553" spans="1:10" x14ac:dyDescent="0.2">
      <c r="A3553">
        <v>5.4624657745624696E-19</v>
      </c>
      <c r="B3553">
        <v>0.58406395586601501</v>
      </c>
      <c r="C3553">
        <v>0.313</v>
      </c>
      <c r="D3553">
        <v>0.156</v>
      </c>
      <c r="E3553">
        <v>7.5917349334869205E-15</v>
      </c>
      <c r="F3553">
        <v>7</v>
      </c>
      <c r="G3553" t="s">
        <v>6574</v>
      </c>
      <c r="H3553" t="s">
        <v>6575</v>
      </c>
      <c r="I3553" t="str">
        <f>HYPERLINK("https://zfin.org/ZDB-GENE-030131-2415")</f>
        <v>https://zfin.org/ZDB-GENE-030131-2415</v>
      </c>
      <c r="J3553" t="s">
        <v>6576</v>
      </c>
    </row>
    <row r="3554" spans="1:10" x14ac:dyDescent="0.2">
      <c r="A3554">
        <v>1.16599143463631E-18</v>
      </c>
      <c r="B3554">
        <v>0.40482717970175203</v>
      </c>
      <c r="C3554">
        <v>0.14499999999999999</v>
      </c>
      <c r="D3554">
        <v>4.2999999999999997E-2</v>
      </c>
      <c r="E3554">
        <v>1.6204948958575401E-14</v>
      </c>
      <c r="F3554">
        <v>7</v>
      </c>
      <c r="G3554" t="s">
        <v>6441</v>
      </c>
      <c r="H3554" t="s">
        <v>6442</v>
      </c>
      <c r="I3554" t="str">
        <f>HYPERLINK("https://zfin.org/ZDB-GENE-040801-217")</f>
        <v>https://zfin.org/ZDB-GENE-040801-217</v>
      </c>
      <c r="J3554" t="s">
        <v>6443</v>
      </c>
    </row>
    <row r="3555" spans="1:10" x14ac:dyDescent="0.2">
      <c r="A3555">
        <v>1.67596799255835E-18</v>
      </c>
      <c r="B3555">
        <v>0.53726156252228496</v>
      </c>
      <c r="C3555">
        <v>0.59299999999999997</v>
      </c>
      <c r="D3555">
        <v>0.42</v>
      </c>
      <c r="E3555">
        <v>2.3292603160576E-14</v>
      </c>
      <c r="F3555">
        <v>7</v>
      </c>
      <c r="G3555" t="s">
        <v>2328</v>
      </c>
      <c r="H3555" t="s">
        <v>2329</v>
      </c>
      <c r="I3555" t="str">
        <f>HYPERLINK("https://zfin.org/ZDB-GENE-030707-2")</f>
        <v>https://zfin.org/ZDB-GENE-030707-2</v>
      </c>
      <c r="J3555" t="s">
        <v>2330</v>
      </c>
    </row>
    <row r="3556" spans="1:10" x14ac:dyDescent="0.2">
      <c r="A3556">
        <v>2.2610243876210299E-18</v>
      </c>
      <c r="B3556">
        <v>-0.66706787617133301</v>
      </c>
      <c r="C3556">
        <v>0.27900000000000003</v>
      </c>
      <c r="D3556">
        <v>0.496</v>
      </c>
      <c r="E3556">
        <v>3.1423716939157102E-14</v>
      </c>
      <c r="F3556">
        <v>7</v>
      </c>
      <c r="G3556" t="s">
        <v>6361</v>
      </c>
      <c r="H3556" t="s">
        <v>6362</v>
      </c>
      <c r="I3556" t="str">
        <f>HYPERLINK("https://zfin.org/ZDB-GENE-030131-7859")</f>
        <v>https://zfin.org/ZDB-GENE-030131-7859</v>
      </c>
      <c r="J3556" t="s">
        <v>6363</v>
      </c>
    </row>
    <row r="3557" spans="1:10" x14ac:dyDescent="0.2">
      <c r="A3557">
        <v>3.3914425091187402E-18</v>
      </c>
      <c r="B3557">
        <v>-1.0548846363814299</v>
      </c>
      <c r="C3557">
        <v>0.104</v>
      </c>
      <c r="D3557">
        <v>0.29199999999999998</v>
      </c>
      <c r="E3557">
        <v>4.71342679917322E-14</v>
      </c>
      <c r="F3557">
        <v>7</v>
      </c>
      <c r="G3557" t="s">
        <v>2948</v>
      </c>
      <c r="H3557" t="s">
        <v>2949</v>
      </c>
      <c r="I3557" t="str">
        <f>HYPERLINK("https://zfin.org/ZDB-GENE-031006-14")</f>
        <v>https://zfin.org/ZDB-GENE-031006-14</v>
      </c>
      <c r="J3557" t="s">
        <v>2950</v>
      </c>
    </row>
    <row r="3558" spans="1:10" x14ac:dyDescent="0.2">
      <c r="A3558">
        <v>3.7414003115844198E-18</v>
      </c>
      <c r="B3558">
        <v>0.44218825019276198</v>
      </c>
      <c r="C3558">
        <v>0.154</v>
      </c>
      <c r="D3558">
        <v>4.9000000000000002E-2</v>
      </c>
      <c r="E3558">
        <v>5.19979815304002E-14</v>
      </c>
      <c r="F3558">
        <v>7</v>
      </c>
      <c r="G3558" t="s">
        <v>6423</v>
      </c>
      <c r="H3558" t="s">
        <v>6424</v>
      </c>
      <c r="I3558" t="str">
        <f>HYPERLINK("https://zfin.org/ZDB-GENE-080215-10")</f>
        <v>https://zfin.org/ZDB-GENE-080215-10</v>
      </c>
      <c r="J3558" t="s">
        <v>6425</v>
      </c>
    </row>
    <row r="3559" spans="1:10" x14ac:dyDescent="0.2">
      <c r="A3559">
        <v>7.4110157272144504E-18</v>
      </c>
      <c r="B3559">
        <v>0.33898999071310898</v>
      </c>
      <c r="C3559">
        <v>0.87</v>
      </c>
      <c r="D3559">
        <v>0.81200000000000006</v>
      </c>
      <c r="E3559">
        <v>1.0299829657682601E-13</v>
      </c>
      <c r="F3559">
        <v>7</v>
      </c>
      <c r="G3559" t="s">
        <v>2969</v>
      </c>
      <c r="H3559" t="s">
        <v>2970</v>
      </c>
      <c r="I3559" t="str">
        <f>HYPERLINK("https://zfin.org/ZDB-GENE-030410-5")</f>
        <v>https://zfin.org/ZDB-GENE-030410-5</v>
      </c>
      <c r="J3559" t="s">
        <v>2971</v>
      </c>
    </row>
    <row r="3560" spans="1:10" x14ac:dyDescent="0.2">
      <c r="A3560">
        <v>1.4409771046486201E-17</v>
      </c>
      <c r="B3560">
        <v>-0.51454101442006195</v>
      </c>
      <c r="C3560">
        <v>0.33900000000000002</v>
      </c>
      <c r="D3560">
        <v>0.54</v>
      </c>
      <c r="E3560">
        <v>2.0026699800406501E-13</v>
      </c>
      <c r="F3560">
        <v>7</v>
      </c>
      <c r="G3560" t="s">
        <v>1329</v>
      </c>
      <c r="H3560" t="s">
        <v>1330</v>
      </c>
      <c r="I3560" t="str">
        <f>HYPERLINK("https://zfin.org/ZDB-GENE-030131-8541")</f>
        <v>https://zfin.org/ZDB-GENE-030131-8541</v>
      </c>
      <c r="J3560" t="s">
        <v>1331</v>
      </c>
    </row>
    <row r="3561" spans="1:10" x14ac:dyDescent="0.2">
      <c r="A3561">
        <v>1.4898403190577499E-17</v>
      </c>
      <c r="B3561">
        <v>-0.54853880922660703</v>
      </c>
      <c r="C3561">
        <v>0.23699999999999999</v>
      </c>
      <c r="D3561">
        <v>0.44700000000000001</v>
      </c>
      <c r="E3561">
        <v>2.07058007542646E-13</v>
      </c>
      <c r="F3561">
        <v>7</v>
      </c>
      <c r="G3561" t="s">
        <v>1098</v>
      </c>
      <c r="H3561" t="s">
        <v>1099</v>
      </c>
      <c r="I3561" t="str">
        <f>HYPERLINK("https://zfin.org/ZDB-GENE-030127-1")</f>
        <v>https://zfin.org/ZDB-GENE-030127-1</v>
      </c>
      <c r="J3561" t="s">
        <v>1100</v>
      </c>
    </row>
    <row r="3562" spans="1:10" x14ac:dyDescent="0.2">
      <c r="A3562">
        <v>1.8984126157175701E-17</v>
      </c>
      <c r="B3562">
        <v>0.44150772997608601</v>
      </c>
      <c r="C3562">
        <v>0.11700000000000001</v>
      </c>
      <c r="D3562">
        <v>3.1E-2</v>
      </c>
      <c r="E3562">
        <v>2.6384138533242799E-13</v>
      </c>
      <c r="F3562">
        <v>7</v>
      </c>
      <c r="G3562" t="s">
        <v>6577</v>
      </c>
      <c r="H3562" t="s">
        <v>6578</v>
      </c>
      <c r="I3562" t="str">
        <f>HYPERLINK("https://zfin.org/ZDB-GENE-090406-1")</f>
        <v>https://zfin.org/ZDB-GENE-090406-1</v>
      </c>
      <c r="J3562" t="s">
        <v>6579</v>
      </c>
    </row>
    <row r="3563" spans="1:10" x14ac:dyDescent="0.2">
      <c r="A3563">
        <v>2.26957394137414E-17</v>
      </c>
      <c r="B3563">
        <v>0.56442615413782604</v>
      </c>
      <c r="C3563">
        <v>0.38800000000000001</v>
      </c>
      <c r="D3563">
        <v>0.23699999999999999</v>
      </c>
      <c r="E3563">
        <v>3.1542538637217701E-13</v>
      </c>
      <c r="F3563">
        <v>7</v>
      </c>
      <c r="G3563" t="s">
        <v>3348</v>
      </c>
      <c r="H3563" t="s">
        <v>3349</v>
      </c>
      <c r="I3563" t="str">
        <f>HYPERLINK("https://zfin.org/ZDB-GENE-120215-253")</f>
        <v>https://zfin.org/ZDB-GENE-120215-253</v>
      </c>
      <c r="J3563" t="s">
        <v>3350</v>
      </c>
    </row>
    <row r="3564" spans="1:10" x14ac:dyDescent="0.2">
      <c r="A3564">
        <v>5.0462918540348101E-17</v>
      </c>
      <c r="B3564">
        <v>0.443416527331226</v>
      </c>
      <c r="C3564">
        <v>0.16200000000000001</v>
      </c>
      <c r="D3564">
        <v>5.7000000000000002E-2</v>
      </c>
      <c r="E3564">
        <v>7.0133364187375796E-13</v>
      </c>
      <c r="F3564">
        <v>7</v>
      </c>
      <c r="G3564" t="s">
        <v>6426</v>
      </c>
      <c r="H3564" t="s">
        <v>6427</v>
      </c>
      <c r="I3564" t="str">
        <f>HYPERLINK("https://zfin.org/ZDB-GENE-090313-161")</f>
        <v>https://zfin.org/ZDB-GENE-090313-161</v>
      </c>
      <c r="J3564" t="s">
        <v>6428</v>
      </c>
    </row>
    <row r="3565" spans="1:10" x14ac:dyDescent="0.2">
      <c r="A3565">
        <v>5.9319294208283701E-17</v>
      </c>
      <c r="B3565">
        <v>0.49890042347646402</v>
      </c>
      <c r="C3565">
        <v>0.50700000000000001</v>
      </c>
      <c r="D3565">
        <v>0.36</v>
      </c>
      <c r="E3565">
        <v>8.2441955090672695E-13</v>
      </c>
      <c r="F3565">
        <v>7</v>
      </c>
      <c r="G3565" t="s">
        <v>2765</v>
      </c>
      <c r="H3565" t="s">
        <v>2766</v>
      </c>
      <c r="I3565" t="str">
        <f>HYPERLINK("https://zfin.org/ZDB-GENE-050320-111")</f>
        <v>https://zfin.org/ZDB-GENE-050320-111</v>
      </c>
      <c r="J3565" t="s">
        <v>2767</v>
      </c>
    </row>
    <row r="3566" spans="1:10" x14ac:dyDescent="0.2">
      <c r="A3566">
        <v>7.1384936878967501E-17</v>
      </c>
      <c r="B3566">
        <v>-0.499918706768398</v>
      </c>
      <c r="C3566">
        <v>0.27300000000000002</v>
      </c>
      <c r="D3566">
        <v>0.48499999999999999</v>
      </c>
      <c r="E3566">
        <v>9.9210785274389004E-13</v>
      </c>
      <c r="F3566">
        <v>7</v>
      </c>
      <c r="G3566" t="s">
        <v>2466</v>
      </c>
      <c r="H3566" t="s">
        <v>2467</v>
      </c>
      <c r="I3566" t="str">
        <f>HYPERLINK("https://zfin.org/ZDB-GENE-010412-1")</f>
        <v>https://zfin.org/ZDB-GENE-010412-1</v>
      </c>
      <c r="J3566" t="s">
        <v>2468</v>
      </c>
    </row>
    <row r="3567" spans="1:10" x14ac:dyDescent="0.2">
      <c r="A3567">
        <v>1.2552457817235599E-16</v>
      </c>
      <c r="B3567">
        <v>0.52508647006289699</v>
      </c>
      <c r="C3567">
        <v>0.33500000000000002</v>
      </c>
      <c r="D3567">
        <v>0.184</v>
      </c>
      <c r="E3567">
        <v>1.7445405874394E-12</v>
      </c>
      <c r="F3567">
        <v>7</v>
      </c>
      <c r="G3567" t="s">
        <v>6580</v>
      </c>
      <c r="H3567" t="s">
        <v>6581</v>
      </c>
      <c r="I3567" t="str">
        <f>HYPERLINK("https://zfin.org/ZDB-GENE-040801-58")</f>
        <v>https://zfin.org/ZDB-GENE-040801-58</v>
      </c>
      <c r="J3567" t="s">
        <v>6582</v>
      </c>
    </row>
    <row r="3568" spans="1:10" x14ac:dyDescent="0.2">
      <c r="A3568">
        <v>1.8498410175054499E-16</v>
      </c>
      <c r="B3568">
        <v>-0.974955896812432</v>
      </c>
      <c r="C3568">
        <v>0.72699999999999998</v>
      </c>
      <c r="D3568">
        <v>0.85599999999999998</v>
      </c>
      <c r="E3568">
        <v>2.5709090461290801E-12</v>
      </c>
      <c r="F3568">
        <v>7</v>
      </c>
      <c r="G3568" t="s">
        <v>2622</v>
      </c>
      <c r="H3568" t="s">
        <v>2623</v>
      </c>
      <c r="I3568" t="str">
        <f>HYPERLINK("https://zfin.org/ZDB-GENE-051030-81")</f>
        <v>https://zfin.org/ZDB-GENE-051030-81</v>
      </c>
      <c r="J3568" t="s">
        <v>2624</v>
      </c>
    </row>
    <row r="3569" spans="1:10" x14ac:dyDescent="0.2">
      <c r="A3569">
        <v>2.2274657007763298E-16</v>
      </c>
      <c r="B3569">
        <v>-0.56311199559870395</v>
      </c>
      <c r="C3569">
        <v>4.9000000000000002E-2</v>
      </c>
      <c r="D3569">
        <v>0.21</v>
      </c>
      <c r="E3569">
        <v>3.0957318309389399E-12</v>
      </c>
      <c r="F3569">
        <v>7</v>
      </c>
      <c r="G3569" t="s">
        <v>816</v>
      </c>
      <c r="H3569" t="s">
        <v>817</v>
      </c>
      <c r="I3569" t="str">
        <f>HYPERLINK("https://zfin.org/ZDB-GENE-050417-175")</f>
        <v>https://zfin.org/ZDB-GENE-050417-175</v>
      </c>
      <c r="J3569" t="s">
        <v>818</v>
      </c>
    </row>
    <row r="3570" spans="1:10" x14ac:dyDescent="0.2">
      <c r="A3570">
        <v>2.8471913337086998E-16</v>
      </c>
      <c r="B3570">
        <v>-0.52979438938923296</v>
      </c>
      <c r="C3570">
        <v>0.13900000000000001</v>
      </c>
      <c r="D3570">
        <v>0.32100000000000001</v>
      </c>
      <c r="E3570">
        <v>3.9570265155883497E-12</v>
      </c>
      <c r="F3570">
        <v>7</v>
      </c>
      <c r="G3570" t="s">
        <v>3390</v>
      </c>
      <c r="H3570" t="s">
        <v>3391</v>
      </c>
      <c r="I3570" t="str">
        <f>HYPERLINK("https://zfin.org/ZDB-GENE-000511-2")</f>
        <v>https://zfin.org/ZDB-GENE-000511-2</v>
      </c>
      <c r="J3570" t="s">
        <v>3392</v>
      </c>
    </row>
    <row r="3571" spans="1:10" x14ac:dyDescent="0.2">
      <c r="A3571">
        <v>4.3598374175983198E-16</v>
      </c>
      <c r="B3571">
        <v>-0.86522191806979198</v>
      </c>
      <c r="C3571">
        <v>0.23200000000000001</v>
      </c>
      <c r="D3571">
        <v>0.433</v>
      </c>
      <c r="E3571">
        <v>6.05930204297815E-12</v>
      </c>
      <c r="F3571">
        <v>7</v>
      </c>
      <c r="G3571" t="s">
        <v>6349</v>
      </c>
      <c r="H3571" t="s">
        <v>6350</v>
      </c>
      <c r="I3571" t="str">
        <f>HYPERLINK("https://zfin.org/ZDB-GENE-031222-4")</f>
        <v>https://zfin.org/ZDB-GENE-031222-4</v>
      </c>
      <c r="J3571" t="s">
        <v>6351</v>
      </c>
    </row>
    <row r="3572" spans="1:10" x14ac:dyDescent="0.2">
      <c r="A3572">
        <v>5.0254501141923498E-16</v>
      </c>
      <c r="B3572">
        <v>0.38440322092406598</v>
      </c>
      <c r="C3572">
        <v>0.69499999999999995</v>
      </c>
      <c r="D3572">
        <v>0.56699999999999995</v>
      </c>
      <c r="E3572">
        <v>6.9843705687045198E-12</v>
      </c>
      <c r="F3572">
        <v>7</v>
      </c>
      <c r="G3572" t="s">
        <v>2187</v>
      </c>
      <c r="H3572" t="s">
        <v>2188</v>
      </c>
      <c r="I3572" t="str">
        <f>HYPERLINK("https://zfin.org/ZDB-GENE-980526-333")</f>
        <v>https://zfin.org/ZDB-GENE-980526-333</v>
      </c>
      <c r="J3572" t="s">
        <v>2189</v>
      </c>
    </row>
    <row r="3573" spans="1:10" x14ac:dyDescent="0.2">
      <c r="A3573">
        <v>7.48228772915712E-16</v>
      </c>
      <c r="B3573">
        <v>0.49082787339411699</v>
      </c>
      <c r="C3573">
        <v>0.34300000000000003</v>
      </c>
      <c r="D3573">
        <v>0.193</v>
      </c>
      <c r="E3573">
        <v>1.03988834859826E-11</v>
      </c>
      <c r="F3573">
        <v>7</v>
      </c>
      <c r="G3573" t="s">
        <v>2918</v>
      </c>
      <c r="H3573" t="s">
        <v>2919</v>
      </c>
      <c r="I3573" t="str">
        <f>HYPERLINK("https://zfin.org/ZDB-GENE-040718-440")</f>
        <v>https://zfin.org/ZDB-GENE-040718-440</v>
      </c>
      <c r="J3573" t="s">
        <v>2920</v>
      </c>
    </row>
    <row r="3574" spans="1:10" x14ac:dyDescent="0.2">
      <c r="A3574">
        <v>1.65800527211759E-15</v>
      </c>
      <c r="B3574">
        <v>0.369500543157748</v>
      </c>
      <c r="C3574">
        <v>0.90600000000000003</v>
      </c>
      <c r="D3574">
        <v>0.88</v>
      </c>
      <c r="E3574">
        <v>2.3042957271890299E-11</v>
      </c>
      <c r="F3574">
        <v>7</v>
      </c>
      <c r="G3574" t="s">
        <v>1344</v>
      </c>
      <c r="H3574" t="s">
        <v>1345</v>
      </c>
      <c r="I3574" t="str">
        <f>HYPERLINK("https://zfin.org/ZDB-GENE-141222-6")</f>
        <v>https://zfin.org/ZDB-GENE-141222-6</v>
      </c>
      <c r="J3574" t="s">
        <v>1346</v>
      </c>
    </row>
    <row r="3575" spans="1:10" x14ac:dyDescent="0.2">
      <c r="A3575">
        <v>1.6986002133080401E-15</v>
      </c>
      <c r="B3575">
        <v>-0.460917180864025</v>
      </c>
      <c r="C3575">
        <v>0.17699999999999999</v>
      </c>
      <c r="D3575">
        <v>0.36599999999999999</v>
      </c>
      <c r="E3575">
        <v>2.3607145764555201E-11</v>
      </c>
      <c r="F3575">
        <v>7</v>
      </c>
      <c r="G3575" t="s">
        <v>6583</v>
      </c>
      <c r="H3575" t="s">
        <v>6584</v>
      </c>
      <c r="I3575" t="str">
        <f>HYPERLINK("https://zfin.org/ZDB-GENE-030131-7038")</f>
        <v>https://zfin.org/ZDB-GENE-030131-7038</v>
      </c>
      <c r="J3575" t="s">
        <v>6585</v>
      </c>
    </row>
    <row r="3576" spans="1:10" x14ac:dyDescent="0.2">
      <c r="A3576">
        <v>2.0370479724229301E-15</v>
      </c>
      <c r="B3576">
        <v>-0.73543616334504602</v>
      </c>
      <c r="C3576">
        <v>0.10199999999999999</v>
      </c>
      <c r="D3576">
        <v>0.27</v>
      </c>
      <c r="E3576">
        <v>2.8310892720733801E-11</v>
      </c>
      <c r="F3576">
        <v>7</v>
      </c>
      <c r="G3576" t="s">
        <v>2921</v>
      </c>
      <c r="H3576" t="s">
        <v>2922</v>
      </c>
      <c r="I3576" t="str">
        <f>HYPERLINK("https://zfin.org/ZDB-GENE-061103-355")</f>
        <v>https://zfin.org/ZDB-GENE-061103-355</v>
      </c>
      <c r="J3576" t="s">
        <v>2923</v>
      </c>
    </row>
    <row r="3577" spans="1:10" x14ac:dyDescent="0.2">
      <c r="A3577">
        <v>2.5274089015671901E-15</v>
      </c>
      <c r="B3577">
        <v>-0.58945681365244096</v>
      </c>
      <c r="C3577">
        <v>0.107</v>
      </c>
      <c r="D3577">
        <v>0.28100000000000003</v>
      </c>
      <c r="E3577">
        <v>3.5125928913980798E-11</v>
      </c>
      <c r="F3577">
        <v>7</v>
      </c>
      <c r="G3577" t="s">
        <v>6355</v>
      </c>
      <c r="H3577" t="s">
        <v>6356</v>
      </c>
      <c r="I3577" t="str">
        <f>HYPERLINK("https://zfin.org/ZDB-GENE-040426-2666")</f>
        <v>https://zfin.org/ZDB-GENE-040426-2666</v>
      </c>
      <c r="J3577" t="s">
        <v>6357</v>
      </c>
    </row>
    <row r="3578" spans="1:10" x14ac:dyDescent="0.2">
      <c r="A3578">
        <v>2.6739547467970199E-15</v>
      </c>
      <c r="B3578">
        <v>0.34695110114651101</v>
      </c>
      <c r="C3578">
        <v>0.72899999999999998</v>
      </c>
      <c r="D3578">
        <v>0.625</v>
      </c>
      <c r="E3578">
        <v>3.7162623070985001E-11</v>
      </c>
      <c r="F3578">
        <v>7</v>
      </c>
      <c r="G3578" t="s">
        <v>2364</v>
      </c>
      <c r="H3578" t="s">
        <v>2365</v>
      </c>
      <c r="I3578" t="str">
        <f>HYPERLINK("https://zfin.org/ZDB-GENE-080204-124")</f>
        <v>https://zfin.org/ZDB-GENE-080204-124</v>
      </c>
      <c r="J3578" t="s">
        <v>2366</v>
      </c>
    </row>
    <row r="3579" spans="1:10" x14ac:dyDescent="0.2">
      <c r="A3579">
        <v>3.6813932099484399E-15</v>
      </c>
      <c r="B3579">
        <v>-0.48597227615664201</v>
      </c>
      <c r="C3579">
        <v>3.7999999999999999E-2</v>
      </c>
      <c r="D3579">
        <v>0.183</v>
      </c>
      <c r="E3579">
        <v>5.1164002831863402E-11</v>
      </c>
      <c r="F3579">
        <v>7</v>
      </c>
      <c r="G3579" t="s">
        <v>6586</v>
      </c>
      <c r="H3579" t="s">
        <v>6587</v>
      </c>
      <c r="I3579" t="str">
        <f>HYPERLINK("https://zfin.org/ZDB-GENE-040704-33")</f>
        <v>https://zfin.org/ZDB-GENE-040704-33</v>
      </c>
      <c r="J3579" t="s">
        <v>6588</v>
      </c>
    </row>
    <row r="3580" spans="1:10" x14ac:dyDescent="0.2">
      <c r="A3580">
        <v>4.8088953910847498E-15</v>
      </c>
      <c r="B3580">
        <v>0.49049587702689601</v>
      </c>
      <c r="C3580">
        <v>0.318</v>
      </c>
      <c r="D3580">
        <v>0.18</v>
      </c>
      <c r="E3580">
        <v>6.6834028145295905E-11</v>
      </c>
      <c r="F3580">
        <v>7</v>
      </c>
      <c r="G3580" t="s">
        <v>6538</v>
      </c>
      <c r="H3580" t="s">
        <v>6539</v>
      </c>
      <c r="I3580" t="str">
        <f>HYPERLINK("https://zfin.org/ZDB-GENE-000831-5")</f>
        <v>https://zfin.org/ZDB-GENE-000831-5</v>
      </c>
      <c r="J3580" t="s">
        <v>6540</v>
      </c>
    </row>
    <row r="3581" spans="1:10" x14ac:dyDescent="0.2">
      <c r="A3581">
        <v>7.8624640736616892E-15</v>
      </c>
      <c r="B3581">
        <v>0.39527221926782502</v>
      </c>
      <c r="C3581">
        <v>0.27500000000000002</v>
      </c>
      <c r="D3581">
        <v>0.14000000000000001</v>
      </c>
      <c r="E3581">
        <v>1.0927252569575001E-10</v>
      </c>
      <c r="F3581">
        <v>7</v>
      </c>
      <c r="G3581" t="s">
        <v>6589</v>
      </c>
      <c r="H3581" t="s">
        <v>6590</v>
      </c>
      <c r="I3581" t="str">
        <f>HYPERLINK("https://zfin.org/ZDB-GENE-100922-65")</f>
        <v>https://zfin.org/ZDB-GENE-100922-65</v>
      </c>
      <c r="J3581" t="s">
        <v>6591</v>
      </c>
    </row>
    <row r="3582" spans="1:10" x14ac:dyDescent="0.2">
      <c r="A3582">
        <v>7.9047018161598998E-15</v>
      </c>
      <c r="B3582">
        <v>-0.96575046009374599</v>
      </c>
      <c r="C3582">
        <v>5.0999999999999997E-2</v>
      </c>
      <c r="D3582">
        <v>0.19600000000000001</v>
      </c>
      <c r="E3582">
        <v>1.0985954584099E-10</v>
      </c>
      <c r="F3582">
        <v>7</v>
      </c>
      <c r="G3582" t="s">
        <v>438</v>
      </c>
      <c r="H3582" t="s">
        <v>439</v>
      </c>
      <c r="I3582" t="str">
        <f>HYPERLINK("https://zfin.org/ZDB-GENE-040628-1")</f>
        <v>https://zfin.org/ZDB-GENE-040628-1</v>
      </c>
      <c r="J3582" t="s">
        <v>440</v>
      </c>
    </row>
    <row r="3583" spans="1:10" x14ac:dyDescent="0.2">
      <c r="A3583">
        <v>9.2302747753939405E-15</v>
      </c>
      <c r="B3583">
        <v>0.47157264904746898</v>
      </c>
      <c r="C3583">
        <v>0.215</v>
      </c>
      <c r="D3583">
        <v>9.8000000000000004E-2</v>
      </c>
      <c r="E3583">
        <v>1.28282358828425E-10</v>
      </c>
      <c r="F3583">
        <v>7</v>
      </c>
      <c r="G3583" t="s">
        <v>6592</v>
      </c>
      <c r="H3583" t="s">
        <v>6593</v>
      </c>
      <c r="I3583" t="str">
        <f>HYPERLINK("https://zfin.org/")</f>
        <v>https://zfin.org/</v>
      </c>
    </row>
    <row r="3584" spans="1:10" x14ac:dyDescent="0.2">
      <c r="A3584">
        <v>2.1495240246295099E-14</v>
      </c>
      <c r="B3584">
        <v>0.30361935191740103</v>
      </c>
      <c r="C3584">
        <v>0.85499999999999998</v>
      </c>
      <c r="D3584">
        <v>0.76900000000000002</v>
      </c>
      <c r="E3584">
        <v>2.9874084894300897E-10</v>
      </c>
      <c r="F3584">
        <v>7</v>
      </c>
      <c r="G3584" t="s">
        <v>1405</v>
      </c>
      <c r="H3584" t="s">
        <v>1406</v>
      </c>
      <c r="I3584" t="str">
        <f>HYPERLINK("https://zfin.org/ZDB-GENE-031002-9")</f>
        <v>https://zfin.org/ZDB-GENE-031002-9</v>
      </c>
      <c r="J3584" t="s">
        <v>1407</v>
      </c>
    </row>
    <row r="3585" spans="1:10" x14ac:dyDescent="0.2">
      <c r="A3585">
        <v>2.2118307719399901E-14</v>
      </c>
      <c r="B3585">
        <v>-0.53790732203726199</v>
      </c>
      <c r="C3585">
        <v>0.16800000000000001</v>
      </c>
      <c r="D3585">
        <v>0.35499999999999998</v>
      </c>
      <c r="E3585">
        <v>3.0740024068421902E-10</v>
      </c>
      <c r="F3585">
        <v>7</v>
      </c>
      <c r="G3585" t="s">
        <v>6352</v>
      </c>
      <c r="H3585" t="s">
        <v>6353</v>
      </c>
      <c r="I3585" t="str">
        <f>HYPERLINK("https://zfin.org/ZDB-GENE-040426-2172")</f>
        <v>https://zfin.org/ZDB-GENE-040426-2172</v>
      </c>
      <c r="J3585" t="s">
        <v>6354</v>
      </c>
    </row>
    <row r="3586" spans="1:10" x14ac:dyDescent="0.2">
      <c r="A3586">
        <v>2.60208034423525E-14</v>
      </c>
      <c r="B3586">
        <v>-0.51412049495398604</v>
      </c>
      <c r="C3586">
        <v>0.59499999999999997</v>
      </c>
      <c r="D3586">
        <v>0.72399999999999998</v>
      </c>
      <c r="E3586">
        <v>3.6163712624181499E-10</v>
      </c>
      <c r="F3586">
        <v>7</v>
      </c>
      <c r="G3586" t="s">
        <v>1689</v>
      </c>
      <c r="H3586" t="s">
        <v>1690</v>
      </c>
      <c r="I3586" t="str">
        <f>HYPERLINK("https://zfin.org/ZDB-GENE-101011-2")</f>
        <v>https://zfin.org/ZDB-GENE-101011-2</v>
      </c>
      <c r="J3586" t="s">
        <v>1691</v>
      </c>
    </row>
    <row r="3587" spans="1:10" x14ac:dyDescent="0.2">
      <c r="A3587">
        <v>3.2053302011909899E-14</v>
      </c>
      <c r="B3587">
        <v>0.40257069290552999</v>
      </c>
      <c r="C3587">
        <v>0.61</v>
      </c>
      <c r="D3587">
        <v>0.47799999999999998</v>
      </c>
      <c r="E3587">
        <v>4.4547679136152302E-10</v>
      </c>
      <c r="F3587">
        <v>7</v>
      </c>
      <c r="G3587" t="s">
        <v>2111</v>
      </c>
      <c r="H3587" t="s">
        <v>2112</v>
      </c>
      <c r="I3587" t="str">
        <f>HYPERLINK("https://zfin.org/ZDB-GENE-060126-3")</f>
        <v>https://zfin.org/ZDB-GENE-060126-3</v>
      </c>
      <c r="J3587" t="s">
        <v>2113</v>
      </c>
    </row>
    <row r="3588" spans="1:10" x14ac:dyDescent="0.2">
      <c r="A3588">
        <v>3.2769912741738197E-14</v>
      </c>
      <c r="B3588">
        <v>0.63694389191995904</v>
      </c>
      <c r="C3588">
        <v>0.158</v>
      </c>
      <c r="D3588">
        <v>6.0999999999999999E-2</v>
      </c>
      <c r="E3588">
        <v>4.5543624728467699E-10</v>
      </c>
      <c r="F3588">
        <v>7</v>
      </c>
      <c r="G3588" t="s">
        <v>6485</v>
      </c>
      <c r="H3588" t="s">
        <v>6486</v>
      </c>
      <c r="I3588" t="str">
        <f>HYPERLINK("https://zfin.org/ZDB-GENE-141216-226")</f>
        <v>https://zfin.org/ZDB-GENE-141216-226</v>
      </c>
      <c r="J3588" t="s">
        <v>6487</v>
      </c>
    </row>
    <row r="3589" spans="1:10" x14ac:dyDescent="0.2">
      <c r="A3589">
        <v>4.41941002415743E-14</v>
      </c>
      <c r="B3589">
        <v>0.39846281246659099</v>
      </c>
      <c r="C3589">
        <v>0.104</v>
      </c>
      <c r="D3589">
        <v>0.03</v>
      </c>
      <c r="E3589">
        <v>6.1420960515739902E-10</v>
      </c>
      <c r="F3589">
        <v>7</v>
      </c>
      <c r="G3589" t="s">
        <v>6556</v>
      </c>
      <c r="H3589" t="s">
        <v>6557</v>
      </c>
      <c r="I3589" t="str">
        <f>HYPERLINK("https://zfin.org/ZDB-GENE-080204-14")</f>
        <v>https://zfin.org/ZDB-GENE-080204-14</v>
      </c>
      <c r="J3589" t="s">
        <v>6558</v>
      </c>
    </row>
    <row r="3590" spans="1:10" x14ac:dyDescent="0.2">
      <c r="A3590">
        <v>4.4348487620287801E-14</v>
      </c>
      <c r="B3590">
        <v>-0.56105751059799003</v>
      </c>
      <c r="C3590">
        <v>1.7000000000000001E-2</v>
      </c>
      <c r="D3590">
        <v>0.14099999999999999</v>
      </c>
      <c r="E3590">
        <v>6.1635528094675897E-10</v>
      </c>
      <c r="F3590">
        <v>7</v>
      </c>
      <c r="G3590" t="s">
        <v>224</v>
      </c>
      <c r="H3590" t="s">
        <v>225</v>
      </c>
      <c r="I3590" t="str">
        <f>HYPERLINK("https://zfin.org/ZDB-GENE-030925-29")</f>
        <v>https://zfin.org/ZDB-GENE-030925-29</v>
      </c>
      <c r="J3590" t="s">
        <v>226</v>
      </c>
    </row>
    <row r="3591" spans="1:10" x14ac:dyDescent="0.2">
      <c r="A3591">
        <v>6.2159418348652805E-14</v>
      </c>
      <c r="B3591">
        <v>-0.56908263878234799</v>
      </c>
      <c r="C3591">
        <v>0.874</v>
      </c>
      <c r="D3591">
        <v>0.92200000000000004</v>
      </c>
      <c r="E3591">
        <v>8.6389159620957698E-10</v>
      </c>
      <c r="F3591">
        <v>7</v>
      </c>
      <c r="G3591" t="s">
        <v>3631</v>
      </c>
      <c r="H3591" t="s">
        <v>3632</v>
      </c>
      <c r="I3591" t="str">
        <f>HYPERLINK("https://zfin.org/ZDB-GENE-051120-126")</f>
        <v>https://zfin.org/ZDB-GENE-051120-126</v>
      </c>
      <c r="J3591" t="s">
        <v>3633</v>
      </c>
    </row>
    <row r="3592" spans="1:10" x14ac:dyDescent="0.2">
      <c r="A3592">
        <v>6.8269808709696396E-14</v>
      </c>
      <c r="B3592">
        <v>-0.53207683932882099</v>
      </c>
      <c r="C3592">
        <v>0.28799999999999998</v>
      </c>
      <c r="D3592">
        <v>0.46600000000000003</v>
      </c>
      <c r="E3592">
        <v>9.4881380144736003E-10</v>
      </c>
      <c r="F3592">
        <v>7</v>
      </c>
      <c r="G3592" t="s">
        <v>2415</v>
      </c>
      <c r="H3592" t="s">
        <v>2416</v>
      </c>
      <c r="I3592" t="str">
        <f>HYPERLINK("https://zfin.org/ZDB-GENE-980526-416")</f>
        <v>https://zfin.org/ZDB-GENE-980526-416</v>
      </c>
      <c r="J3592" t="s">
        <v>2417</v>
      </c>
    </row>
    <row r="3593" spans="1:10" x14ac:dyDescent="0.2">
      <c r="A3593">
        <v>7.1948675573674106E-14</v>
      </c>
      <c r="B3593">
        <v>-0.398473843761735</v>
      </c>
      <c r="C3593">
        <v>0.52900000000000003</v>
      </c>
      <c r="D3593">
        <v>0.68899999999999995</v>
      </c>
      <c r="E3593">
        <v>9.9994269312292295E-10</v>
      </c>
      <c r="F3593">
        <v>7</v>
      </c>
      <c r="G3593" t="s">
        <v>2909</v>
      </c>
      <c r="H3593" t="s">
        <v>2910</v>
      </c>
      <c r="I3593" t="str">
        <f>HYPERLINK("https://zfin.org/ZDB-GENE-040426-2516")</f>
        <v>https://zfin.org/ZDB-GENE-040426-2516</v>
      </c>
      <c r="J3593" t="s">
        <v>2911</v>
      </c>
    </row>
    <row r="3594" spans="1:10" x14ac:dyDescent="0.2">
      <c r="A3594">
        <v>7.9929694975770097E-14</v>
      </c>
      <c r="B3594">
        <v>0.30930637342522899</v>
      </c>
      <c r="C3594">
        <v>0.73099999999999998</v>
      </c>
      <c r="D3594">
        <v>0.59399999999999997</v>
      </c>
      <c r="E3594">
        <v>1.11086290077325E-9</v>
      </c>
      <c r="F3594">
        <v>7</v>
      </c>
      <c r="G3594" t="s">
        <v>1997</v>
      </c>
      <c r="H3594" t="s">
        <v>1998</v>
      </c>
      <c r="I3594" t="str">
        <f>HYPERLINK("https://zfin.org/ZDB-GENE-030131-9")</f>
        <v>https://zfin.org/ZDB-GENE-030131-9</v>
      </c>
      <c r="J3594" t="s">
        <v>1999</v>
      </c>
    </row>
    <row r="3595" spans="1:10" x14ac:dyDescent="0.2">
      <c r="A3595">
        <v>1.01731256794847E-13</v>
      </c>
      <c r="B3595">
        <v>-0.68335623036337301</v>
      </c>
      <c r="C3595">
        <v>6.2E-2</v>
      </c>
      <c r="D3595">
        <v>0.20599999999999999</v>
      </c>
      <c r="E3595">
        <v>1.4138610069347799E-9</v>
      </c>
      <c r="F3595">
        <v>7</v>
      </c>
      <c r="G3595" t="s">
        <v>3255</v>
      </c>
      <c r="H3595" t="s">
        <v>3256</v>
      </c>
      <c r="I3595" t="str">
        <f>HYPERLINK("https://zfin.org/ZDB-GENE-000210-8")</f>
        <v>https://zfin.org/ZDB-GENE-000210-8</v>
      </c>
      <c r="J3595" t="s">
        <v>3257</v>
      </c>
    </row>
    <row r="3596" spans="1:10" x14ac:dyDescent="0.2">
      <c r="A3596">
        <v>1.08139721203705E-13</v>
      </c>
      <c r="B3596">
        <v>0.84601605356416798</v>
      </c>
      <c r="C3596">
        <v>0.14699999999999999</v>
      </c>
      <c r="D3596">
        <v>5.7000000000000002E-2</v>
      </c>
      <c r="E3596">
        <v>1.50292584528909E-9</v>
      </c>
      <c r="F3596">
        <v>7</v>
      </c>
      <c r="G3596" t="s">
        <v>6594</v>
      </c>
      <c r="H3596" t="s">
        <v>6595</v>
      </c>
      <c r="I3596" t="str">
        <f>HYPERLINK("https://zfin.org/ZDB-GENE-060526-181")</f>
        <v>https://zfin.org/ZDB-GENE-060526-181</v>
      </c>
      <c r="J3596" t="s">
        <v>6596</v>
      </c>
    </row>
    <row r="3597" spans="1:10" x14ac:dyDescent="0.2">
      <c r="A3597">
        <v>1.27639124196849E-13</v>
      </c>
      <c r="B3597">
        <v>0.27673982869709701</v>
      </c>
      <c r="C3597">
        <v>0.111</v>
      </c>
      <c r="D3597">
        <v>3.4000000000000002E-2</v>
      </c>
      <c r="E3597">
        <v>1.7739285480878099E-9</v>
      </c>
      <c r="F3597">
        <v>7</v>
      </c>
      <c r="G3597" t="s">
        <v>6597</v>
      </c>
      <c r="H3597" t="s">
        <v>6598</v>
      </c>
      <c r="I3597" t="str">
        <f>HYPERLINK("https://zfin.org/ZDB-GENE-060929-40")</f>
        <v>https://zfin.org/ZDB-GENE-060929-40</v>
      </c>
      <c r="J3597" t="s">
        <v>6599</v>
      </c>
    </row>
    <row r="3598" spans="1:10" x14ac:dyDescent="0.2">
      <c r="A3598">
        <v>1.4495885733071E-13</v>
      </c>
      <c r="B3598">
        <v>-0.48282641739711202</v>
      </c>
      <c r="C3598">
        <v>6.2E-2</v>
      </c>
      <c r="D3598">
        <v>0.20799999999999999</v>
      </c>
      <c r="E3598">
        <v>2.0146381991822102E-9</v>
      </c>
      <c r="F3598">
        <v>7</v>
      </c>
      <c r="G3598" t="s">
        <v>2957</v>
      </c>
      <c r="H3598" t="s">
        <v>2958</v>
      </c>
      <c r="I3598" t="str">
        <f>HYPERLINK("https://zfin.org/ZDB-GENE-141212-376")</f>
        <v>https://zfin.org/ZDB-GENE-141212-376</v>
      </c>
      <c r="J3598" t="s">
        <v>2959</v>
      </c>
    </row>
    <row r="3599" spans="1:10" x14ac:dyDescent="0.2">
      <c r="A3599">
        <v>1.91457384889634E-13</v>
      </c>
      <c r="B3599">
        <v>-0.37507827754254103</v>
      </c>
      <c r="C3599">
        <v>0.41599999999999998</v>
      </c>
      <c r="D3599">
        <v>0.61799999999999999</v>
      </c>
      <c r="E3599">
        <v>2.6608747351961301E-9</v>
      </c>
      <c r="F3599">
        <v>7</v>
      </c>
      <c r="G3599" t="s">
        <v>2253</v>
      </c>
      <c r="H3599" t="s">
        <v>2254</v>
      </c>
      <c r="I3599" t="str">
        <f>HYPERLINK("https://zfin.org/ZDB-GENE-030131-9914")</f>
        <v>https://zfin.org/ZDB-GENE-030131-9914</v>
      </c>
      <c r="J3599" t="s">
        <v>2255</v>
      </c>
    </row>
    <row r="3600" spans="1:10" x14ac:dyDescent="0.2">
      <c r="A3600">
        <v>2.09614736086209E-13</v>
      </c>
      <c r="B3600">
        <v>-0.71117929063757901</v>
      </c>
      <c r="C3600">
        <v>4.7E-2</v>
      </c>
      <c r="D3600">
        <v>0.18</v>
      </c>
      <c r="E3600">
        <v>2.9132256021261302E-9</v>
      </c>
      <c r="F3600">
        <v>7</v>
      </c>
      <c r="G3600" t="s">
        <v>2637</v>
      </c>
      <c r="H3600" t="s">
        <v>2638</v>
      </c>
      <c r="I3600" t="str">
        <f>HYPERLINK("https://zfin.org/ZDB-GENE-070502-5")</f>
        <v>https://zfin.org/ZDB-GENE-070502-5</v>
      </c>
      <c r="J3600" t="s">
        <v>2639</v>
      </c>
    </row>
    <row r="3601" spans="1:10" x14ac:dyDescent="0.2">
      <c r="A3601">
        <v>2.9226549218617098E-13</v>
      </c>
      <c r="B3601">
        <v>-0.54950334156449199</v>
      </c>
      <c r="C3601">
        <v>0.109</v>
      </c>
      <c r="D3601">
        <v>0.27200000000000002</v>
      </c>
      <c r="E3601">
        <v>4.0619058104034001E-9</v>
      </c>
      <c r="F3601">
        <v>7</v>
      </c>
      <c r="G3601" t="s">
        <v>5141</v>
      </c>
      <c r="H3601" t="s">
        <v>5142</v>
      </c>
      <c r="I3601" t="str">
        <f>HYPERLINK("https://zfin.org/ZDB-GENE-031112-4")</f>
        <v>https://zfin.org/ZDB-GENE-031112-4</v>
      </c>
      <c r="J3601" t="s">
        <v>5143</v>
      </c>
    </row>
    <row r="3602" spans="1:10" x14ac:dyDescent="0.2">
      <c r="A3602">
        <v>4.3126863993373001E-13</v>
      </c>
      <c r="B3602">
        <v>0.382897019694726</v>
      </c>
      <c r="C3602">
        <v>0.126</v>
      </c>
      <c r="D3602">
        <v>4.3999999999999997E-2</v>
      </c>
      <c r="E3602">
        <v>5.9937715577989704E-9</v>
      </c>
      <c r="F3602">
        <v>7</v>
      </c>
      <c r="G3602" t="s">
        <v>6600</v>
      </c>
      <c r="H3602" t="s">
        <v>6601</v>
      </c>
      <c r="I3602" t="str">
        <f>HYPERLINK("https://zfin.org/ZDB-GENE-030131-7209")</f>
        <v>https://zfin.org/ZDB-GENE-030131-7209</v>
      </c>
      <c r="J3602" t="s">
        <v>6602</v>
      </c>
    </row>
    <row r="3603" spans="1:10" x14ac:dyDescent="0.2">
      <c r="A3603">
        <v>4.4953638884227099E-13</v>
      </c>
      <c r="B3603">
        <v>-0.475904710811072</v>
      </c>
      <c r="C3603">
        <v>0.06</v>
      </c>
      <c r="D3603">
        <v>0.19800000000000001</v>
      </c>
      <c r="E3603">
        <v>6.2476567321298801E-9</v>
      </c>
      <c r="F3603">
        <v>7</v>
      </c>
      <c r="G3603" t="s">
        <v>2718</v>
      </c>
      <c r="H3603" t="s">
        <v>2719</v>
      </c>
      <c r="I3603" t="str">
        <f>HYPERLINK("https://zfin.org/ZDB-GENE-070705-81")</f>
        <v>https://zfin.org/ZDB-GENE-070705-81</v>
      </c>
      <c r="J3603" t="s">
        <v>2720</v>
      </c>
    </row>
    <row r="3604" spans="1:10" x14ac:dyDescent="0.2">
      <c r="A3604">
        <v>4.7146149221041003E-13</v>
      </c>
      <c r="B3604">
        <v>0.372444399262501</v>
      </c>
      <c r="C3604">
        <v>0.14299999999999999</v>
      </c>
      <c r="D3604">
        <v>5.5E-2</v>
      </c>
      <c r="E3604">
        <v>6.5523718187402697E-9</v>
      </c>
      <c r="F3604">
        <v>7</v>
      </c>
      <c r="G3604" t="s">
        <v>6391</v>
      </c>
      <c r="H3604" t="s">
        <v>6392</v>
      </c>
      <c r="I3604" t="str">
        <f>HYPERLINK("https://zfin.org/")</f>
        <v>https://zfin.org/</v>
      </c>
    </row>
    <row r="3605" spans="1:10" x14ac:dyDescent="0.2">
      <c r="A3605">
        <v>7.96814004578943E-13</v>
      </c>
      <c r="B3605">
        <v>0.50386835721351697</v>
      </c>
      <c r="C3605">
        <v>0.307</v>
      </c>
      <c r="D3605">
        <v>0.182</v>
      </c>
      <c r="E3605">
        <v>1.1074121035638199E-8</v>
      </c>
      <c r="F3605">
        <v>7</v>
      </c>
      <c r="G3605" t="s">
        <v>6603</v>
      </c>
      <c r="H3605" t="s">
        <v>6604</v>
      </c>
      <c r="I3605" t="str">
        <f>HYPERLINK("https://zfin.org/ZDB-GENE-030516-3")</f>
        <v>https://zfin.org/ZDB-GENE-030516-3</v>
      </c>
      <c r="J3605" t="s">
        <v>6605</v>
      </c>
    </row>
    <row r="3606" spans="1:10" x14ac:dyDescent="0.2">
      <c r="A3606">
        <v>8.8648598529072104E-13</v>
      </c>
      <c r="B3606">
        <v>-0.47831577414466903</v>
      </c>
      <c r="C3606">
        <v>2.5999999999999999E-2</v>
      </c>
      <c r="D3606">
        <v>0.14399999999999999</v>
      </c>
      <c r="E3606">
        <v>1.2320382223570401E-8</v>
      </c>
      <c r="F3606">
        <v>7</v>
      </c>
      <c r="G3606" t="s">
        <v>3468</v>
      </c>
      <c r="H3606" t="s">
        <v>3469</v>
      </c>
      <c r="I3606" t="str">
        <f>HYPERLINK("https://zfin.org/ZDB-GENE-081105-161")</f>
        <v>https://zfin.org/ZDB-GENE-081105-161</v>
      </c>
      <c r="J3606" t="s">
        <v>3470</v>
      </c>
    </row>
    <row r="3607" spans="1:10" x14ac:dyDescent="0.2">
      <c r="A3607">
        <v>1.0096599771002501E-12</v>
      </c>
      <c r="B3607">
        <v>-0.37548278670262702</v>
      </c>
      <c r="C3607">
        <v>0.22800000000000001</v>
      </c>
      <c r="D3607">
        <v>0.40899999999999997</v>
      </c>
      <c r="E3607">
        <v>1.40322543617393E-8</v>
      </c>
      <c r="F3607">
        <v>7</v>
      </c>
      <c r="G3607" t="s">
        <v>3035</v>
      </c>
      <c r="H3607" t="s">
        <v>3036</v>
      </c>
      <c r="I3607" t="str">
        <f>HYPERLINK("https://zfin.org/ZDB-GENE-040808-46")</f>
        <v>https://zfin.org/ZDB-GENE-040808-46</v>
      </c>
      <c r="J3607" t="s">
        <v>3037</v>
      </c>
    </row>
    <row r="3608" spans="1:10" x14ac:dyDescent="0.2">
      <c r="A3608">
        <v>1.07783010647132E-12</v>
      </c>
      <c r="B3608">
        <v>-0.42180595597460202</v>
      </c>
      <c r="C3608">
        <v>0.247</v>
      </c>
      <c r="D3608">
        <v>0.42299999999999999</v>
      </c>
      <c r="E3608">
        <v>1.4979682819738399E-8</v>
      </c>
      <c r="F3608">
        <v>7</v>
      </c>
      <c r="G3608" t="s">
        <v>6606</v>
      </c>
      <c r="H3608" t="s">
        <v>6607</v>
      </c>
      <c r="I3608" t="str">
        <f>HYPERLINK("https://zfin.org/ZDB-GENE-050419-45")</f>
        <v>https://zfin.org/ZDB-GENE-050419-45</v>
      </c>
      <c r="J3608" t="s">
        <v>6608</v>
      </c>
    </row>
    <row r="3609" spans="1:10" x14ac:dyDescent="0.2">
      <c r="A3609">
        <v>1.71268652329864E-12</v>
      </c>
      <c r="B3609">
        <v>-0.51719475231385403</v>
      </c>
      <c r="C3609">
        <v>4.9000000000000002E-2</v>
      </c>
      <c r="D3609">
        <v>0.17899999999999999</v>
      </c>
      <c r="E3609">
        <v>2.3802917300804499E-8</v>
      </c>
      <c r="F3609">
        <v>7</v>
      </c>
      <c r="G3609" t="s">
        <v>1387</v>
      </c>
      <c r="H3609" t="s">
        <v>1388</v>
      </c>
      <c r="I3609" t="str">
        <f>HYPERLINK("https://zfin.org/ZDB-GENE-121214-253")</f>
        <v>https://zfin.org/ZDB-GENE-121214-253</v>
      </c>
      <c r="J3609" t="s">
        <v>1389</v>
      </c>
    </row>
    <row r="3610" spans="1:10" x14ac:dyDescent="0.2">
      <c r="A3610">
        <v>2.65051759751403E-12</v>
      </c>
      <c r="B3610">
        <v>0.44485146537535097</v>
      </c>
      <c r="C3610">
        <v>0.252</v>
      </c>
      <c r="D3610">
        <v>0.13700000000000001</v>
      </c>
      <c r="E3610">
        <v>3.6836893570249999E-8</v>
      </c>
      <c r="F3610">
        <v>7</v>
      </c>
      <c r="G3610" t="s">
        <v>6609</v>
      </c>
      <c r="H3610" t="s">
        <v>6610</v>
      </c>
      <c r="I3610" t="str">
        <f>HYPERLINK("https://zfin.org/ZDB-GENE-050327-45")</f>
        <v>https://zfin.org/ZDB-GENE-050327-45</v>
      </c>
      <c r="J3610" t="s">
        <v>6611</v>
      </c>
    </row>
    <row r="3611" spans="1:10" x14ac:dyDescent="0.2">
      <c r="A3611">
        <v>5.4287997130071997E-12</v>
      </c>
      <c r="B3611">
        <v>0.40267200785983198</v>
      </c>
      <c r="C3611">
        <v>0.38400000000000001</v>
      </c>
      <c r="D3611">
        <v>0.253</v>
      </c>
      <c r="E3611">
        <v>7.5449458411374094E-8</v>
      </c>
      <c r="F3611">
        <v>7</v>
      </c>
      <c r="G3611" t="s">
        <v>2903</v>
      </c>
      <c r="H3611" t="s">
        <v>2904</v>
      </c>
      <c r="I3611" t="str">
        <f>HYPERLINK("https://zfin.org/ZDB-GENE-041210-181")</f>
        <v>https://zfin.org/ZDB-GENE-041210-181</v>
      </c>
      <c r="J3611" t="s">
        <v>2905</v>
      </c>
    </row>
    <row r="3612" spans="1:10" x14ac:dyDescent="0.2">
      <c r="A3612">
        <v>5.45313002188164E-12</v>
      </c>
      <c r="B3612">
        <v>-0.38345270991473601</v>
      </c>
      <c r="C3612">
        <v>0.224</v>
      </c>
      <c r="D3612">
        <v>0.39700000000000002</v>
      </c>
      <c r="E3612">
        <v>7.5787601044111E-8</v>
      </c>
      <c r="F3612">
        <v>7</v>
      </c>
      <c r="G3612" t="s">
        <v>3868</v>
      </c>
      <c r="H3612" t="s">
        <v>3869</v>
      </c>
      <c r="I3612" t="str">
        <f>HYPERLINK("https://zfin.org/ZDB-GENE-040912-105")</f>
        <v>https://zfin.org/ZDB-GENE-040912-105</v>
      </c>
      <c r="J3612" t="s">
        <v>3870</v>
      </c>
    </row>
    <row r="3613" spans="1:10" x14ac:dyDescent="0.2">
      <c r="A3613">
        <v>8.3978022759978094E-12</v>
      </c>
      <c r="B3613">
        <v>-0.37380924280254801</v>
      </c>
      <c r="C3613">
        <v>0.57999999999999996</v>
      </c>
      <c r="D3613">
        <v>0.70399999999999996</v>
      </c>
      <c r="E3613">
        <v>1.16712656031818E-7</v>
      </c>
      <c r="F3613">
        <v>7</v>
      </c>
      <c r="G3613" t="s">
        <v>1851</v>
      </c>
      <c r="H3613" t="s">
        <v>1852</v>
      </c>
      <c r="I3613" t="str">
        <f>HYPERLINK("https://zfin.org/ZDB-GENE-071205-8")</f>
        <v>https://zfin.org/ZDB-GENE-071205-8</v>
      </c>
      <c r="J3613" t="s">
        <v>1853</v>
      </c>
    </row>
    <row r="3614" spans="1:10" x14ac:dyDescent="0.2">
      <c r="A3614">
        <v>1.0440377501060801E-11</v>
      </c>
      <c r="B3614">
        <v>0.49902378703704797</v>
      </c>
      <c r="C3614">
        <v>0.22</v>
      </c>
      <c r="D3614">
        <v>0.111</v>
      </c>
      <c r="E3614">
        <v>1.4510036650974199E-7</v>
      </c>
      <c r="F3614">
        <v>7</v>
      </c>
      <c r="G3614" t="s">
        <v>3195</v>
      </c>
      <c r="H3614" t="s">
        <v>3196</v>
      </c>
      <c r="I3614" t="str">
        <f>HYPERLINK("https://zfin.org/ZDB-GENE-091204-19")</f>
        <v>https://zfin.org/ZDB-GENE-091204-19</v>
      </c>
      <c r="J3614" t="s">
        <v>3197</v>
      </c>
    </row>
    <row r="3615" spans="1:10" x14ac:dyDescent="0.2">
      <c r="A3615">
        <v>1.19177854278587E-11</v>
      </c>
      <c r="B3615">
        <v>-0.34763275775681202</v>
      </c>
      <c r="C3615">
        <v>0.23200000000000001</v>
      </c>
      <c r="D3615">
        <v>0.40400000000000003</v>
      </c>
      <c r="E3615">
        <v>1.6563338187638001E-7</v>
      </c>
      <c r="F3615">
        <v>7</v>
      </c>
      <c r="G3615" t="s">
        <v>3736</v>
      </c>
      <c r="H3615" t="s">
        <v>3737</v>
      </c>
      <c r="I3615" t="str">
        <f>HYPERLINK("https://zfin.org/ZDB-GENE-040426-2902")</f>
        <v>https://zfin.org/ZDB-GENE-040426-2902</v>
      </c>
      <c r="J3615" t="s">
        <v>3738</v>
      </c>
    </row>
    <row r="3616" spans="1:10" x14ac:dyDescent="0.2">
      <c r="A3616">
        <v>1.4090046850948399E-11</v>
      </c>
      <c r="B3616">
        <v>-0.39138386655776702</v>
      </c>
      <c r="C3616">
        <v>0.16</v>
      </c>
      <c r="D3616">
        <v>0.32</v>
      </c>
      <c r="E3616">
        <v>1.9582347113447999E-7</v>
      </c>
      <c r="F3616">
        <v>7</v>
      </c>
      <c r="G3616" t="s">
        <v>6447</v>
      </c>
      <c r="H3616" t="s">
        <v>6448</v>
      </c>
      <c r="I3616" t="str">
        <f>HYPERLINK("https://zfin.org/ZDB-GENE-030131-2681")</f>
        <v>https://zfin.org/ZDB-GENE-030131-2681</v>
      </c>
      <c r="J3616" t="s">
        <v>6449</v>
      </c>
    </row>
    <row r="3617" spans="1:10" x14ac:dyDescent="0.2">
      <c r="A3617">
        <v>1.91858989020635E-11</v>
      </c>
      <c r="B3617">
        <v>-0.436475626435049</v>
      </c>
      <c r="C3617">
        <v>2.3E-2</v>
      </c>
      <c r="D3617">
        <v>0.13</v>
      </c>
      <c r="E3617">
        <v>2.6664562294087797E-7</v>
      </c>
      <c r="F3617">
        <v>7</v>
      </c>
      <c r="G3617" t="s">
        <v>288</v>
      </c>
      <c r="H3617" t="s">
        <v>289</v>
      </c>
      <c r="I3617" t="str">
        <f>HYPERLINK("https://zfin.org/ZDB-GENE-040426-1615")</f>
        <v>https://zfin.org/ZDB-GENE-040426-1615</v>
      </c>
      <c r="J3617" t="s">
        <v>290</v>
      </c>
    </row>
    <row r="3618" spans="1:10" x14ac:dyDescent="0.2">
      <c r="A3618">
        <v>2.2211717428897599E-11</v>
      </c>
      <c r="B3618">
        <v>-0.43540841099229</v>
      </c>
      <c r="C3618">
        <v>0.151</v>
      </c>
      <c r="D3618">
        <v>0.29899999999999999</v>
      </c>
      <c r="E3618">
        <v>3.0869844882681802E-7</v>
      </c>
      <c r="F3618">
        <v>7</v>
      </c>
      <c r="G3618" t="s">
        <v>3014</v>
      </c>
      <c r="H3618" t="s">
        <v>3015</v>
      </c>
      <c r="I3618" t="str">
        <f>HYPERLINK("https://zfin.org/ZDB-GENE-040912-46")</f>
        <v>https://zfin.org/ZDB-GENE-040912-46</v>
      </c>
      <c r="J3618" t="s">
        <v>3016</v>
      </c>
    </row>
    <row r="3619" spans="1:10" x14ac:dyDescent="0.2">
      <c r="A3619">
        <v>2.2304151081545599E-11</v>
      </c>
      <c r="B3619">
        <v>-0.46329762622125598</v>
      </c>
      <c r="C3619">
        <v>7.1999999999999995E-2</v>
      </c>
      <c r="D3619">
        <v>0.20399999999999999</v>
      </c>
      <c r="E3619">
        <v>3.0998309173132101E-7</v>
      </c>
      <c r="F3619">
        <v>7</v>
      </c>
      <c r="G3619" t="s">
        <v>3345</v>
      </c>
      <c r="H3619" t="s">
        <v>3346</v>
      </c>
      <c r="I3619" t="str">
        <f>HYPERLINK("https://zfin.org/ZDB-GENE-040426-977")</f>
        <v>https://zfin.org/ZDB-GENE-040426-977</v>
      </c>
      <c r="J3619" t="s">
        <v>3347</v>
      </c>
    </row>
    <row r="3620" spans="1:10" x14ac:dyDescent="0.2">
      <c r="A3620">
        <v>2.3177999782986501E-11</v>
      </c>
      <c r="B3620">
        <v>-0.35555441599422799</v>
      </c>
      <c r="C3620">
        <v>2.3E-2</v>
      </c>
      <c r="D3620">
        <v>0.13</v>
      </c>
      <c r="E3620">
        <v>3.2212784098394702E-7</v>
      </c>
      <c r="F3620">
        <v>7</v>
      </c>
      <c r="G3620" t="s">
        <v>3778</v>
      </c>
      <c r="H3620" t="s">
        <v>3779</v>
      </c>
      <c r="I3620" t="str">
        <f>HYPERLINK("https://zfin.org/ZDB-GENE-030131-2426")</f>
        <v>https://zfin.org/ZDB-GENE-030131-2426</v>
      </c>
      <c r="J3620" t="s">
        <v>3780</v>
      </c>
    </row>
    <row r="3621" spans="1:10" x14ac:dyDescent="0.2">
      <c r="A3621">
        <v>2.4207718732239E-11</v>
      </c>
      <c r="B3621">
        <v>0.40805638370122799</v>
      </c>
      <c r="C3621">
        <v>0.52500000000000002</v>
      </c>
      <c r="D3621">
        <v>0.40300000000000002</v>
      </c>
      <c r="E3621">
        <v>3.3643887494065699E-7</v>
      </c>
      <c r="F3621">
        <v>7</v>
      </c>
      <c r="G3621" t="s">
        <v>2403</v>
      </c>
      <c r="H3621" t="s">
        <v>2404</v>
      </c>
      <c r="I3621" t="str">
        <f>HYPERLINK("https://zfin.org/ZDB-GENE-040801-77")</f>
        <v>https://zfin.org/ZDB-GENE-040801-77</v>
      </c>
      <c r="J3621" t="s">
        <v>2405</v>
      </c>
    </row>
    <row r="3622" spans="1:10" x14ac:dyDescent="0.2">
      <c r="A3622">
        <v>2.5697812660270101E-11</v>
      </c>
      <c r="B3622">
        <v>-0.39675499873221998</v>
      </c>
      <c r="C3622">
        <v>0.104</v>
      </c>
      <c r="D3622">
        <v>0.246</v>
      </c>
      <c r="E3622">
        <v>3.5714820035243403E-7</v>
      </c>
      <c r="F3622">
        <v>7</v>
      </c>
      <c r="G3622" t="s">
        <v>6612</v>
      </c>
      <c r="H3622" t="s">
        <v>6613</v>
      </c>
      <c r="I3622" t="str">
        <f>HYPERLINK("https://zfin.org/ZDB-GENE-040912-24")</f>
        <v>https://zfin.org/ZDB-GENE-040912-24</v>
      </c>
      <c r="J3622" t="s">
        <v>6614</v>
      </c>
    </row>
    <row r="3623" spans="1:10" x14ac:dyDescent="0.2">
      <c r="A3623">
        <v>3.6880183210193698E-11</v>
      </c>
      <c r="B3623">
        <v>0.48279242632994401</v>
      </c>
      <c r="C3623">
        <v>0.33300000000000002</v>
      </c>
      <c r="D3623">
        <v>0.216</v>
      </c>
      <c r="E3623">
        <v>5.1256078625527204E-7</v>
      </c>
      <c r="F3623">
        <v>7</v>
      </c>
      <c r="G3623" t="s">
        <v>2879</v>
      </c>
      <c r="H3623" t="s">
        <v>2880</v>
      </c>
      <c r="I3623" t="str">
        <f>HYPERLINK("https://zfin.org/ZDB-GENE-011213-1")</f>
        <v>https://zfin.org/ZDB-GENE-011213-1</v>
      </c>
      <c r="J3623" t="s">
        <v>2881</v>
      </c>
    </row>
    <row r="3624" spans="1:10" x14ac:dyDescent="0.2">
      <c r="A3624">
        <v>4.0778023562167198E-11</v>
      </c>
      <c r="B3624">
        <v>0.39716435061626598</v>
      </c>
      <c r="C3624">
        <v>0.151</v>
      </c>
      <c r="D3624">
        <v>6.6000000000000003E-2</v>
      </c>
      <c r="E3624">
        <v>5.6673297146699899E-7</v>
      </c>
      <c r="F3624">
        <v>7</v>
      </c>
      <c r="G3624" t="s">
        <v>6615</v>
      </c>
      <c r="H3624" t="s">
        <v>6616</v>
      </c>
      <c r="I3624" t="str">
        <f>HYPERLINK("https://zfin.org/ZDB-GENE-120814-1")</f>
        <v>https://zfin.org/ZDB-GENE-120814-1</v>
      </c>
      <c r="J3624" t="s">
        <v>6617</v>
      </c>
    </row>
    <row r="3625" spans="1:10" x14ac:dyDescent="0.2">
      <c r="A3625">
        <v>4.6694030576784798E-11</v>
      </c>
      <c r="B3625">
        <v>-0.36291775448033697</v>
      </c>
      <c r="C3625">
        <v>0.441</v>
      </c>
      <c r="D3625">
        <v>0.59899999999999998</v>
      </c>
      <c r="E3625">
        <v>6.4895363695615504E-7</v>
      </c>
      <c r="F3625">
        <v>7</v>
      </c>
      <c r="G3625" t="s">
        <v>2813</v>
      </c>
      <c r="H3625" t="s">
        <v>2814</v>
      </c>
      <c r="I3625" t="str">
        <f>HYPERLINK("https://zfin.org/ZDB-GENE-040426-1112")</f>
        <v>https://zfin.org/ZDB-GENE-040426-1112</v>
      </c>
      <c r="J3625" t="s">
        <v>2815</v>
      </c>
    </row>
    <row r="3626" spans="1:10" x14ac:dyDescent="0.2">
      <c r="A3626">
        <v>4.97076749899763E-11</v>
      </c>
      <c r="B3626">
        <v>-0.66724525187350103</v>
      </c>
      <c r="C3626">
        <v>1.7000000000000001E-2</v>
      </c>
      <c r="D3626">
        <v>0.11700000000000001</v>
      </c>
      <c r="E3626">
        <v>6.9083726701069103E-7</v>
      </c>
      <c r="F3626">
        <v>7</v>
      </c>
      <c r="G3626" t="s">
        <v>3924</v>
      </c>
      <c r="H3626" t="s">
        <v>3925</v>
      </c>
      <c r="I3626" t="str">
        <f>HYPERLINK("https://zfin.org/ZDB-GENE-990415-25")</f>
        <v>https://zfin.org/ZDB-GENE-990415-25</v>
      </c>
      <c r="J3626" t="s">
        <v>3926</v>
      </c>
    </row>
    <row r="3627" spans="1:10" x14ac:dyDescent="0.2">
      <c r="A3627">
        <v>5.1454478068377303E-11</v>
      </c>
      <c r="B3627">
        <v>-0.39677431208924202</v>
      </c>
      <c r="C3627">
        <v>0.11700000000000001</v>
      </c>
      <c r="D3627">
        <v>0.26100000000000001</v>
      </c>
      <c r="E3627">
        <v>7.1511433619430804E-7</v>
      </c>
      <c r="F3627">
        <v>7</v>
      </c>
      <c r="G3627" t="s">
        <v>576</v>
      </c>
      <c r="H3627" t="s">
        <v>577</v>
      </c>
      <c r="I3627" t="str">
        <f>HYPERLINK("https://zfin.org/ZDB-GENE-081028-55")</f>
        <v>https://zfin.org/ZDB-GENE-081028-55</v>
      </c>
      <c r="J3627" t="s">
        <v>578</v>
      </c>
    </row>
    <row r="3628" spans="1:10" x14ac:dyDescent="0.2">
      <c r="A3628">
        <v>5.5403169157966098E-11</v>
      </c>
      <c r="B3628">
        <v>-0.30922598511955701</v>
      </c>
      <c r="C3628">
        <v>0.13200000000000001</v>
      </c>
      <c r="D3628">
        <v>0.28699999999999998</v>
      </c>
      <c r="E3628">
        <v>7.6999324495741298E-7</v>
      </c>
      <c r="F3628">
        <v>7</v>
      </c>
      <c r="G3628" t="s">
        <v>4336</v>
      </c>
      <c r="H3628" t="s">
        <v>4337</v>
      </c>
      <c r="I3628" t="str">
        <f>HYPERLINK("https://zfin.org/ZDB-GENE-040625-144")</f>
        <v>https://zfin.org/ZDB-GENE-040625-144</v>
      </c>
      <c r="J3628" t="s">
        <v>4338</v>
      </c>
    </row>
    <row r="3629" spans="1:10" x14ac:dyDescent="0.2">
      <c r="A3629">
        <v>5.9018623134266594E-11</v>
      </c>
      <c r="B3629">
        <v>-0.25482460295353898</v>
      </c>
      <c r="C3629">
        <v>0.95299999999999996</v>
      </c>
      <c r="D3629">
        <v>0.96199999999999997</v>
      </c>
      <c r="E3629">
        <v>8.2024082432003696E-7</v>
      </c>
      <c r="F3629">
        <v>7</v>
      </c>
      <c r="G3629" t="s">
        <v>1032</v>
      </c>
      <c r="H3629" t="s">
        <v>1033</v>
      </c>
      <c r="I3629" t="str">
        <f>HYPERLINK("https://zfin.org/ZDB-GENE-040426-2315")</f>
        <v>https://zfin.org/ZDB-GENE-040426-2315</v>
      </c>
      <c r="J3629" t="s">
        <v>1034</v>
      </c>
    </row>
    <row r="3630" spans="1:10" x14ac:dyDescent="0.2">
      <c r="A3630">
        <v>7.0671999854250897E-11</v>
      </c>
      <c r="B3630">
        <v>-0.29952850541468601</v>
      </c>
      <c r="C3630">
        <v>0.32600000000000001</v>
      </c>
      <c r="D3630">
        <v>0.50700000000000001</v>
      </c>
      <c r="E3630">
        <v>9.8219945397437897E-7</v>
      </c>
      <c r="F3630">
        <v>7</v>
      </c>
      <c r="G3630" t="s">
        <v>3204</v>
      </c>
      <c r="H3630" t="s">
        <v>3205</v>
      </c>
      <c r="I3630" t="str">
        <f>HYPERLINK("https://zfin.org/ZDB-GENE-020419-14")</f>
        <v>https://zfin.org/ZDB-GENE-020419-14</v>
      </c>
      <c r="J3630" t="s">
        <v>3206</v>
      </c>
    </row>
    <row r="3631" spans="1:10" x14ac:dyDescent="0.2">
      <c r="A3631">
        <v>9.9797164465851201E-11</v>
      </c>
      <c r="B3631">
        <v>-0.383777489395218</v>
      </c>
      <c r="C3631">
        <v>0.151</v>
      </c>
      <c r="D3631">
        <v>0.307</v>
      </c>
      <c r="E3631">
        <v>1.3869809917463999E-6</v>
      </c>
      <c r="F3631">
        <v>7</v>
      </c>
      <c r="G3631" t="s">
        <v>6526</v>
      </c>
      <c r="H3631" t="s">
        <v>6527</v>
      </c>
      <c r="I3631" t="str">
        <f>HYPERLINK("https://zfin.org/ZDB-GENE-061103-301")</f>
        <v>https://zfin.org/ZDB-GENE-061103-301</v>
      </c>
      <c r="J3631" t="s">
        <v>6528</v>
      </c>
    </row>
    <row r="3632" spans="1:10" x14ac:dyDescent="0.2">
      <c r="A3632">
        <v>1.01215082894201E-10</v>
      </c>
      <c r="B3632">
        <v>-0.33905731585496302</v>
      </c>
      <c r="C3632">
        <v>0.115</v>
      </c>
      <c r="D3632">
        <v>0.25800000000000001</v>
      </c>
      <c r="E3632">
        <v>1.4066872220636101E-6</v>
      </c>
      <c r="F3632">
        <v>7</v>
      </c>
      <c r="G3632" t="s">
        <v>3432</v>
      </c>
      <c r="H3632" t="s">
        <v>3433</v>
      </c>
      <c r="I3632" t="str">
        <f>HYPERLINK("https://zfin.org/ZDB-GENE-030131-8279")</f>
        <v>https://zfin.org/ZDB-GENE-030131-8279</v>
      </c>
      <c r="J3632" t="s">
        <v>3434</v>
      </c>
    </row>
    <row r="3633" spans="1:10" x14ac:dyDescent="0.2">
      <c r="A3633">
        <v>1.1024483016308E-10</v>
      </c>
      <c r="B3633">
        <v>0.37419714478251298</v>
      </c>
      <c r="C3633">
        <v>0.32200000000000001</v>
      </c>
      <c r="D3633">
        <v>0.20599999999999999</v>
      </c>
      <c r="E3633">
        <v>1.53218264960648E-6</v>
      </c>
      <c r="F3633">
        <v>7</v>
      </c>
      <c r="G3633" t="s">
        <v>2852</v>
      </c>
      <c r="H3633" t="s">
        <v>2853</v>
      </c>
      <c r="I3633" t="str">
        <f>HYPERLINK("https://zfin.org/ZDB-GENE-041130-1")</f>
        <v>https://zfin.org/ZDB-GENE-041130-1</v>
      </c>
      <c r="J3633" t="s">
        <v>2854</v>
      </c>
    </row>
    <row r="3634" spans="1:10" x14ac:dyDescent="0.2">
      <c r="A3634">
        <v>1.48192538437783E-10</v>
      </c>
      <c r="B3634">
        <v>-0.52935899204674897</v>
      </c>
      <c r="C3634">
        <v>0.11899999999999999</v>
      </c>
      <c r="D3634">
        <v>0.25800000000000001</v>
      </c>
      <c r="E3634">
        <v>2.0595798992083102E-6</v>
      </c>
      <c r="F3634">
        <v>7</v>
      </c>
      <c r="G3634" t="s">
        <v>3032</v>
      </c>
      <c r="H3634" t="s">
        <v>3033</v>
      </c>
      <c r="I3634" t="str">
        <f>HYPERLINK("https://zfin.org/ZDB-GENE-041010-89")</f>
        <v>https://zfin.org/ZDB-GENE-041010-89</v>
      </c>
      <c r="J3634" t="s">
        <v>3034</v>
      </c>
    </row>
    <row r="3635" spans="1:10" x14ac:dyDescent="0.2">
      <c r="A3635">
        <v>1.6269969601821501E-10</v>
      </c>
      <c r="B3635">
        <v>-0.32212683234904999</v>
      </c>
      <c r="C3635">
        <v>0.40500000000000003</v>
      </c>
      <c r="D3635">
        <v>0.57599999999999996</v>
      </c>
      <c r="E3635">
        <v>2.2612003752611498E-6</v>
      </c>
      <c r="F3635">
        <v>7</v>
      </c>
      <c r="G3635" t="s">
        <v>3712</v>
      </c>
      <c r="H3635" t="s">
        <v>3713</v>
      </c>
      <c r="I3635" t="str">
        <f>HYPERLINK("https://zfin.org/ZDB-GENE-071005-2")</f>
        <v>https://zfin.org/ZDB-GENE-071005-2</v>
      </c>
      <c r="J3635" t="s">
        <v>3714</v>
      </c>
    </row>
    <row r="3636" spans="1:10" x14ac:dyDescent="0.2">
      <c r="A3636">
        <v>1.8697288846442199E-10</v>
      </c>
      <c r="B3636">
        <v>0.34307076891447702</v>
      </c>
      <c r="C3636">
        <v>0.63100000000000001</v>
      </c>
      <c r="D3636">
        <v>0.53400000000000003</v>
      </c>
      <c r="E3636">
        <v>2.5985492038785401E-6</v>
      </c>
      <c r="F3636">
        <v>7</v>
      </c>
      <c r="G3636" t="s">
        <v>2352</v>
      </c>
      <c r="H3636" t="s">
        <v>2353</v>
      </c>
      <c r="I3636" t="str">
        <f>HYPERLINK("https://zfin.org/ZDB-GENE-051023-8")</f>
        <v>https://zfin.org/ZDB-GENE-051023-8</v>
      </c>
      <c r="J3636" t="s">
        <v>2354</v>
      </c>
    </row>
    <row r="3637" spans="1:10" x14ac:dyDescent="0.2">
      <c r="A3637">
        <v>2.32713690895375E-10</v>
      </c>
      <c r="B3637">
        <v>0.41188293567207301</v>
      </c>
      <c r="C3637">
        <v>0.42399999999999999</v>
      </c>
      <c r="D3637">
        <v>0.317</v>
      </c>
      <c r="E3637">
        <v>3.2342548760639301E-6</v>
      </c>
      <c r="F3637">
        <v>7</v>
      </c>
      <c r="G3637" t="s">
        <v>2978</v>
      </c>
      <c r="H3637" t="s">
        <v>2979</v>
      </c>
      <c r="I3637" t="str">
        <f>HYPERLINK("https://zfin.org/ZDB-GENE-040426-1413")</f>
        <v>https://zfin.org/ZDB-GENE-040426-1413</v>
      </c>
      <c r="J3637" t="s">
        <v>2980</v>
      </c>
    </row>
    <row r="3638" spans="1:10" x14ac:dyDescent="0.2">
      <c r="A3638">
        <v>2.4442204926864402E-10</v>
      </c>
      <c r="B3638">
        <v>-0.38126117919504199</v>
      </c>
      <c r="C3638">
        <v>8.6999999999999994E-2</v>
      </c>
      <c r="D3638">
        <v>0.215</v>
      </c>
      <c r="E3638">
        <v>3.3969776407356202E-6</v>
      </c>
      <c r="F3638">
        <v>7</v>
      </c>
      <c r="G3638" t="s">
        <v>591</v>
      </c>
      <c r="H3638" t="s">
        <v>592</v>
      </c>
      <c r="I3638" t="str">
        <f>HYPERLINK("https://zfin.org/ZDB-GENE-070424-267")</f>
        <v>https://zfin.org/ZDB-GENE-070424-267</v>
      </c>
      <c r="J3638" t="s">
        <v>593</v>
      </c>
    </row>
    <row r="3639" spans="1:10" x14ac:dyDescent="0.2">
      <c r="A3639">
        <v>2.7499563890634997E-10</v>
      </c>
      <c r="B3639">
        <v>-0.57625113815476603</v>
      </c>
      <c r="C3639">
        <v>5.0999999999999997E-2</v>
      </c>
      <c r="D3639">
        <v>0.16200000000000001</v>
      </c>
      <c r="E3639">
        <v>3.8218893895204502E-6</v>
      </c>
      <c r="F3639">
        <v>7</v>
      </c>
      <c r="G3639" t="s">
        <v>264</v>
      </c>
      <c r="H3639" t="s">
        <v>265</v>
      </c>
      <c r="I3639" t="str">
        <f>HYPERLINK("https://zfin.org/ZDB-GENE-131127-224")</f>
        <v>https://zfin.org/ZDB-GENE-131127-224</v>
      </c>
      <c r="J3639" t="s">
        <v>266</v>
      </c>
    </row>
    <row r="3640" spans="1:10" x14ac:dyDescent="0.2">
      <c r="A3640">
        <v>2.8832412857146398E-10</v>
      </c>
      <c r="B3640">
        <v>-0.30579255310164399</v>
      </c>
      <c r="C3640">
        <v>1.4999999999999999E-2</v>
      </c>
      <c r="D3640">
        <v>0.108</v>
      </c>
      <c r="E3640">
        <v>4.0071287388862099E-6</v>
      </c>
      <c r="F3640">
        <v>7</v>
      </c>
      <c r="G3640" t="s">
        <v>2742</v>
      </c>
      <c r="H3640" t="s">
        <v>2743</v>
      </c>
      <c r="I3640" t="str">
        <f>HYPERLINK("https://zfin.org/ZDB-GENE-131127-337")</f>
        <v>https://zfin.org/ZDB-GENE-131127-337</v>
      </c>
      <c r="J3640" t="s">
        <v>2744</v>
      </c>
    </row>
    <row r="3641" spans="1:10" x14ac:dyDescent="0.2">
      <c r="A3641">
        <v>3.1223081630115301E-10</v>
      </c>
      <c r="B3641">
        <v>-0.25415147496391199</v>
      </c>
      <c r="C3641">
        <v>0.52</v>
      </c>
      <c r="D3641">
        <v>0.69699999999999995</v>
      </c>
      <c r="E3641">
        <v>4.3393838849534202E-6</v>
      </c>
      <c r="F3641">
        <v>7</v>
      </c>
      <c r="G3641" t="s">
        <v>2021</v>
      </c>
      <c r="H3641" t="s">
        <v>2022</v>
      </c>
      <c r="I3641" t="str">
        <f>HYPERLINK("https://zfin.org/ZDB-GENE-030131-1819")</f>
        <v>https://zfin.org/ZDB-GENE-030131-1819</v>
      </c>
      <c r="J3641" t="s">
        <v>2023</v>
      </c>
    </row>
    <row r="3642" spans="1:10" x14ac:dyDescent="0.2">
      <c r="A3642">
        <v>3.8093179326969902E-10</v>
      </c>
      <c r="B3642">
        <v>0.42794032544525801</v>
      </c>
      <c r="C3642">
        <v>0.30499999999999999</v>
      </c>
      <c r="D3642">
        <v>0.193</v>
      </c>
      <c r="E3642">
        <v>5.2941900628622802E-6</v>
      </c>
      <c r="F3642">
        <v>7</v>
      </c>
      <c r="G3642" t="s">
        <v>3047</v>
      </c>
      <c r="H3642" t="s">
        <v>3048</v>
      </c>
      <c r="I3642" t="str">
        <f>HYPERLINK("https://zfin.org/ZDB-GENE-030131-688")</f>
        <v>https://zfin.org/ZDB-GENE-030131-688</v>
      </c>
      <c r="J3642" t="s">
        <v>3049</v>
      </c>
    </row>
    <row r="3643" spans="1:10" x14ac:dyDescent="0.2">
      <c r="A3643">
        <v>3.9531456032155798E-10</v>
      </c>
      <c r="B3643">
        <v>-0.42224853124509498</v>
      </c>
      <c r="C3643">
        <v>0.224</v>
      </c>
      <c r="D3643">
        <v>0.379</v>
      </c>
      <c r="E3643">
        <v>5.4940817593490098E-6</v>
      </c>
      <c r="F3643">
        <v>7</v>
      </c>
      <c r="G3643" t="s">
        <v>3088</v>
      </c>
      <c r="H3643" t="s">
        <v>3089</v>
      </c>
      <c r="I3643" t="str">
        <f>HYPERLINK("https://zfin.org/ZDB-GENE-060503-618")</f>
        <v>https://zfin.org/ZDB-GENE-060503-618</v>
      </c>
      <c r="J3643" t="s">
        <v>3090</v>
      </c>
    </row>
    <row r="3644" spans="1:10" x14ac:dyDescent="0.2">
      <c r="A3644">
        <v>4.0353620528131698E-10</v>
      </c>
      <c r="B3644">
        <v>-0.40647592157253198</v>
      </c>
      <c r="C3644">
        <v>0.113</v>
      </c>
      <c r="D3644">
        <v>0.24099999999999999</v>
      </c>
      <c r="E3644">
        <v>5.6083461809997398E-6</v>
      </c>
      <c r="F3644">
        <v>7</v>
      </c>
      <c r="G3644" t="s">
        <v>3094</v>
      </c>
      <c r="H3644" t="s">
        <v>3095</v>
      </c>
      <c r="I3644" t="str">
        <f>HYPERLINK("https://zfin.org/ZDB-GENE-040912-148")</f>
        <v>https://zfin.org/ZDB-GENE-040912-148</v>
      </c>
      <c r="J3644" t="s">
        <v>3096</v>
      </c>
    </row>
    <row r="3645" spans="1:10" x14ac:dyDescent="0.2">
      <c r="A3645">
        <v>6.6873747223232598E-10</v>
      </c>
      <c r="B3645">
        <v>-0.38127095356144203</v>
      </c>
      <c r="C3645">
        <v>0.14499999999999999</v>
      </c>
      <c r="D3645">
        <v>0.28799999999999998</v>
      </c>
      <c r="E3645">
        <v>9.2941133890848692E-6</v>
      </c>
      <c r="F3645">
        <v>7</v>
      </c>
      <c r="G3645" t="s">
        <v>6358</v>
      </c>
      <c r="H3645" t="s">
        <v>6359</v>
      </c>
      <c r="I3645" t="str">
        <f>HYPERLINK("https://zfin.org/ZDB-GENE-000210-15")</f>
        <v>https://zfin.org/ZDB-GENE-000210-15</v>
      </c>
      <c r="J3645" t="s">
        <v>6360</v>
      </c>
    </row>
    <row r="3646" spans="1:10" x14ac:dyDescent="0.2">
      <c r="A3646">
        <v>6.8357051261300198E-10</v>
      </c>
      <c r="B3646">
        <v>-0.332425812342935</v>
      </c>
      <c r="C3646">
        <v>8.5000000000000006E-2</v>
      </c>
      <c r="D3646">
        <v>0.21199999999999999</v>
      </c>
      <c r="E3646">
        <v>9.5002629842955094E-6</v>
      </c>
      <c r="F3646">
        <v>7</v>
      </c>
      <c r="G3646" t="s">
        <v>6618</v>
      </c>
      <c r="H3646" t="s">
        <v>6619</v>
      </c>
      <c r="I3646" t="str">
        <f>HYPERLINK("https://zfin.org/ZDB-GENE-040426-2528")</f>
        <v>https://zfin.org/ZDB-GENE-040426-2528</v>
      </c>
      <c r="J3646" t="s">
        <v>6620</v>
      </c>
    </row>
    <row r="3647" spans="1:10" x14ac:dyDescent="0.2">
      <c r="A3647">
        <v>8.9035506940137102E-10</v>
      </c>
      <c r="B3647">
        <v>-0.28978399439213498</v>
      </c>
      <c r="C3647">
        <v>0.17299999999999999</v>
      </c>
      <c r="D3647">
        <v>0.32600000000000001</v>
      </c>
      <c r="E3647">
        <v>1.23741547545403E-5</v>
      </c>
      <c r="F3647">
        <v>7</v>
      </c>
      <c r="G3647" t="s">
        <v>2358</v>
      </c>
      <c r="H3647" t="s">
        <v>2359</v>
      </c>
      <c r="I3647" t="str">
        <f>HYPERLINK("https://zfin.org/ZDB-GENE-020326-1")</f>
        <v>https://zfin.org/ZDB-GENE-020326-1</v>
      </c>
      <c r="J3647" t="s">
        <v>2360</v>
      </c>
    </row>
    <row r="3648" spans="1:10" x14ac:dyDescent="0.2">
      <c r="A3648">
        <v>9.5219642123969109E-10</v>
      </c>
      <c r="B3648">
        <v>-0.53537151692723906</v>
      </c>
      <c r="C3648">
        <v>8.1000000000000003E-2</v>
      </c>
      <c r="D3648">
        <v>0.19900000000000001</v>
      </c>
      <c r="E3648">
        <v>1.32336258623892E-5</v>
      </c>
      <c r="F3648">
        <v>7</v>
      </c>
      <c r="G3648" t="s">
        <v>321</v>
      </c>
      <c r="H3648" t="s">
        <v>322</v>
      </c>
      <c r="I3648" t="str">
        <f>HYPERLINK("https://zfin.org/ZDB-GENE-040912-60")</f>
        <v>https://zfin.org/ZDB-GENE-040912-60</v>
      </c>
      <c r="J3648" t="s">
        <v>323</v>
      </c>
    </row>
    <row r="3649" spans="1:10" x14ac:dyDescent="0.2">
      <c r="A3649">
        <v>9.8065953747372302E-10</v>
      </c>
      <c r="B3649">
        <v>-0.49995510002351701</v>
      </c>
      <c r="C3649">
        <v>2.3E-2</v>
      </c>
      <c r="D3649">
        <v>0.11700000000000001</v>
      </c>
      <c r="E3649">
        <v>1.36292062518098E-5</v>
      </c>
      <c r="F3649">
        <v>7</v>
      </c>
      <c r="G3649" t="s">
        <v>390</v>
      </c>
      <c r="H3649" t="s">
        <v>391</v>
      </c>
      <c r="I3649" t="str">
        <f>HYPERLINK("https://zfin.org/ZDB-GENE-061114-1")</f>
        <v>https://zfin.org/ZDB-GENE-061114-1</v>
      </c>
      <c r="J3649" t="s">
        <v>392</v>
      </c>
    </row>
    <row r="3650" spans="1:10" x14ac:dyDescent="0.2">
      <c r="A3650">
        <v>1.06189728446652E-9</v>
      </c>
      <c r="B3650">
        <v>-0.325988545198232</v>
      </c>
      <c r="C3650">
        <v>0.03</v>
      </c>
      <c r="D3650">
        <v>0.127</v>
      </c>
      <c r="E3650">
        <v>1.4758248459515699E-5</v>
      </c>
      <c r="F3650">
        <v>7</v>
      </c>
      <c r="G3650" t="s">
        <v>318</v>
      </c>
      <c r="H3650" t="s">
        <v>319</v>
      </c>
      <c r="I3650" t="str">
        <f>HYPERLINK("https://zfin.org/ZDB-GENE-041212-9")</f>
        <v>https://zfin.org/ZDB-GENE-041212-9</v>
      </c>
      <c r="J3650" t="s">
        <v>320</v>
      </c>
    </row>
    <row r="3651" spans="1:10" x14ac:dyDescent="0.2">
      <c r="A3651">
        <v>1.2598018239150301E-9</v>
      </c>
      <c r="B3651">
        <v>-0.29517990829177998</v>
      </c>
      <c r="C3651">
        <v>0.35</v>
      </c>
      <c r="D3651">
        <v>0.51900000000000002</v>
      </c>
      <c r="E3651">
        <v>1.75087257487711E-5</v>
      </c>
      <c r="F3651">
        <v>7</v>
      </c>
      <c r="G3651" t="s">
        <v>3053</v>
      </c>
      <c r="H3651" t="s">
        <v>3054</v>
      </c>
      <c r="I3651" t="str">
        <f>HYPERLINK("https://zfin.org/ZDB-GENE-040914-10")</f>
        <v>https://zfin.org/ZDB-GENE-040914-10</v>
      </c>
      <c r="J3651" t="s">
        <v>3055</v>
      </c>
    </row>
    <row r="3652" spans="1:10" x14ac:dyDescent="0.2">
      <c r="A3652">
        <v>1.26784584640678E-9</v>
      </c>
      <c r="B3652">
        <v>-0.70462310148927698</v>
      </c>
      <c r="C3652">
        <v>0.192</v>
      </c>
      <c r="D3652">
        <v>0.32900000000000001</v>
      </c>
      <c r="E3652">
        <v>1.7620521573361399E-5</v>
      </c>
      <c r="F3652">
        <v>7</v>
      </c>
      <c r="G3652" t="s">
        <v>2936</v>
      </c>
      <c r="H3652" t="s">
        <v>2937</v>
      </c>
      <c r="I3652" t="str">
        <f>HYPERLINK("https://zfin.org/ZDB-GENE-131127-95")</f>
        <v>https://zfin.org/ZDB-GENE-131127-95</v>
      </c>
      <c r="J3652" t="s">
        <v>2938</v>
      </c>
    </row>
    <row r="3653" spans="1:10" x14ac:dyDescent="0.2">
      <c r="A3653">
        <v>1.3500257009919099E-9</v>
      </c>
      <c r="B3653">
        <v>-0.40752826766216499</v>
      </c>
      <c r="C3653">
        <v>4.2999999999999997E-2</v>
      </c>
      <c r="D3653">
        <v>0.14599999999999999</v>
      </c>
      <c r="E3653">
        <v>1.8762657192385599E-5</v>
      </c>
      <c r="F3653">
        <v>7</v>
      </c>
      <c r="G3653" t="s">
        <v>3189</v>
      </c>
      <c r="H3653" t="s">
        <v>3190</v>
      </c>
      <c r="I3653" t="str">
        <f>HYPERLINK("https://zfin.org/ZDB-GENE-030131-9923")</f>
        <v>https://zfin.org/ZDB-GENE-030131-9923</v>
      </c>
      <c r="J3653" t="s">
        <v>3191</v>
      </c>
    </row>
    <row r="3654" spans="1:10" x14ac:dyDescent="0.2">
      <c r="A3654">
        <v>1.4734679073437201E-9</v>
      </c>
      <c r="B3654">
        <v>0.465973430309084</v>
      </c>
      <c r="C3654">
        <v>0.29899999999999999</v>
      </c>
      <c r="D3654">
        <v>0.19</v>
      </c>
      <c r="E3654">
        <v>2.04782569762631E-5</v>
      </c>
      <c r="F3654">
        <v>7</v>
      </c>
      <c r="G3654" t="s">
        <v>3026</v>
      </c>
      <c r="H3654" t="s">
        <v>3027</v>
      </c>
      <c r="I3654" t="str">
        <f>HYPERLINK("https://zfin.org/ZDB-GENE-060815-1")</f>
        <v>https://zfin.org/ZDB-GENE-060815-1</v>
      </c>
      <c r="J3654" t="s">
        <v>3028</v>
      </c>
    </row>
    <row r="3655" spans="1:10" x14ac:dyDescent="0.2">
      <c r="A3655">
        <v>1.4997916792383101E-9</v>
      </c>
      <c r="B3655">
        <v>-0.25635902098892099</v>
      </c>
      <c r="C3655">
        <v>0.16600000000000001</v>
      </c>
      <c r="D3655">
        <v>0.317</v>
      </c>
      <c r="E3655">
        <v>2.0844104758054E-5</v>
      </c>
      <c r="F3655">
        <v>7</v>
      </c>
      <c r="G3655" t="s">
        <v>2147</v>
      </c>
      <c r="H3655" t="s">
        <v>2148</v>
      </c>
      <c r="I3655" t="str">
        <f>HYPERLINK("https://zfin.org/ZDB-GENE-030131-304")</f>
        <v>https://zfin.org/ZDB-GENE-030131-304</v>
      </c>
      <c r="J3655" t="s">
        <v>2149</v>
      </c>
    </row>
    <row r="3656" spans="1:10" x14ac:dyDescent="0.2">
      <c r="A3656">
        <v>1.6259965047986599E-9</v>
      </c>
      <c r="B3656">
        <v>0.32247747485017703</v>
      </c>
      <c r="C3656">
        <v>0.13600000000000001</v>
      </c>
      <c r="D3656">
        <v>6.0999999999999999E-2</v>
      </c>
      <c r="E3656">
        <v>2.25980994236918E-5</v>
      </c>
      <c r="F3656">
        <v>7</v>
      </c>
      <c r="G3656" t="s">
        <v>6385</v>
      </c>
      <c r="H3656" t="s">
        <v>6386</v>
      </c>
      <c r="I3656" t="str">
        <f>HYPERLINK("https://zfin.org/ZDB-GENE-050417-409")</f>
        <v>https://zfin.org/ZDB-GENE-050417-409</v>
      </c>
      <c r="J3656" t="s">
        <v>6387</v>
      </c>
    </row>
    <row r="3657" spans="1:10" x14ac:dyDescent="0.2">
      <c r="A3657">
        <v>1.6384476650635001E-9</v>
      </c>
      <c r="B3657">
        <v>-0.30439398094347098</v>
      </c>
      <c r="C3657">
        <v>0.21099999999999999</v>
      </c>
      <c r="D3657">
        <v>0.36499999999999999</v>
      </c>
      <c r="E3657">
        <v>2.27711456490525E-5</v>
      </c>
      <c r="F3657">
        <v>7</v>
      </c>
      <c r="G3657" t="s">
        <v>2897</v>
      </c>
      <c r="H3657" t="s">
        <v>2898</v>
      </c>
      <c r="I3657" t="str">
        <f>HYPERLINK("https://zfin.org/ZDB-GENE-000906-2")</f>
        <v>https://zfin.org/ZDB-GENE-000906-2</v>
      </c>
      <c r="J3657" t="s">
        <v>2899</v>
      </c>
    </row>
    <row r="3658" spans="1:10" x14ac:dyDescent="0.2">
      <c r="A3658">
        <v>1.83921536579123E-9</v>
      </c>
      <c r="B3658">
        <v>0.315695801758621</v>
      </c>
      <c r="C3658">
        <v>0.51800000000000002</v>
      </c>
      <c r="D3658">
        <v>0.41799999999999998</v>
      </c>
      <c r="E3658">
        <v>2.5561415153766499E-5</v>
      </c>
      <c r="F3658">
        <v>7</v>
      </c>
      <c r="G3658" t="s">
        <v>6621</v>
      </c>
      <c r="H3658" t="s">
        <v>6622</v>
      </c>
      <c r="I3658" t="str">
        <f>HYPERLINK("https://zfin.org/ZDB-GENE-040718-175")</f>
        <v>https://zfin.org/ZDB-GENE-040718-175</v>
      </c>
      <c r="J3658" t="s">
        <v>6623</v>
      </c>
    </row>
    <row r="3659" spans="1:10" x14ac:dyDescent="0.2">
      <c r="A3659">
        <v>2.0481190422530101E-9</v>
      </c>
      <c r="B3659">
        <v>-0.39449079603746001</v>
      </c>
      <c r="C3659">
        <v>0.111</v>
      </c>
      <c r="D3659">
        <v>0.23599999999999999</v>
      </c>
      <c r="E3659">
        <v>2.8464758449232401E-5</v>
      </c>
      <c r="F3659">
        <v>7</v>
      </c>
      <c r="G3659" t="s">
        <v>6624</v>
      </c>
      <c r="H3659" t="s">
        <v>6625</v>
      </c>
      <c r="I3659" t="str">
        <f>HYPERLINK("https://zfin.org/ZDB-GENE-050417-307")</f>
        <v>https://zfin.org/ZDB-GENE-050417-307</v>
      </c>
      <c r="J3659" t="s">
        <v>6626</v>
      </c>
    </row>
    <row r="3660" spans="1:10" x14ac:dyDescent="0.2">
      <c r="A3660">
        <v>2.18041203421565E-9</v>
      </c>
      <c r="B3660">
        <v>-0.26341133112852599</v>
      </c>
      <c r="C3660">
        <v>0.107</v>
      </c>
      <c r="D3660">
        <v>0.23599999999999999</v>
      </c>
      <c r="E3660">
        <v>3.0303366451529001E-5</v>
      </c>
      <c r="F3660">
        <v>7</v>
      </c>
      <c r="G3660" t="s">
        <v>1731</v>
      </c>
      <c r="H3660" t="s">
        <v>1732</v>
      </c>
      <c r="I3660" t="str">
        <f>HYPERLINK("https://zfin.org/ZDB-GENE-040426-2200")</f>
        <v>https://zfin.org/ZDB-GENE-040426-2200</v>
      </c>
      <c r="J3660" t="s">
        <v>1733</v>
      </c>
    </row>
    <row r="3661" spans="1:10" x14ac:dyDescent="0.2">
      <c r="A3661">
        <v>2.2656089495545298E-9</v>
      </c>
      <c r="B3661">
        <v>-0.30103942687736002</v>
      </c>
      <c r="C3661">
        <v>0.25600000000000001</v>
      </c>
      <c r="D3661">
        <v>0.41699999999999998</v>
      </c>
      <c r="E3661">
        <v>3.14874331809089E-5</v>
      </c>
      <c r="F3661">
        <v>7</v>
      </c>
      <c r="G3661" t="s">
        <v>1438</v>
      </c>
      <c r="H3661" t="s">
        <v>1439</v>
      </c>
      <c r="I3661" t="str">
        <f>HYPERLINK("https://zfin.org/ZDB-GENE-040625-38")</f>
        <v>https://zfin.org/ZDB-GENE-040625-38</v>
      </c>
      <c r="J3661" t="s">
        <v>1440</v>
      </c>
    </row>
    <row r="3662" spans="1:10" x14ac:dyDescent="0.2">
      <c r="A3662">
        <v>2.66805194241362E-9</v>
      </c>
      <c r="B3662">
        <v>0.40862258501052801</v>
      </c>
      <c r="C3662">
        <v>0.33900000000000002</v>
      </c>
      <c r="D3662">
        <v>0.23200000000000001</v>
      </c>
      <c r="E3662">
        <v>3.7080585895664501E-5</v>
      </c>
      <c r="F3662">
        <v>7</v>
      </c>
      <c r="G3662" t="s">
        <v>6627</v>
      </c>
      <c r="H3662" t="s">
        <v>6628</v>
      </c>
      <c r="I3662" t="str">
        <f>HYPERLINK("https://zfin.org/ZDB-GENE-040426-1064")</f>
        <v>https://zfin.org/ZDB-GENE-040426-1064</v>
      </c>
      <c r="J3662" t="s">
        <v>6629</v>
      </c>
    </row>
    <row r="3663" spans="1:10" x14ac:dyDescent="0.2">
      <c r="A3663">
        <v>2.6763293310315001E-9</v>
      </c>
      <c r="B3663">
        <v>-0.30608691705134899</v>
      </c>
      <c r="C3663">
        <v>4.9000000000000002E-2</v>
      </c>
      <c r="D3663">
        <v>0.153</v>
      </c>
      <c r="E3663">
        <v>3.7195625042675799E-5</v>
      </c>
      <c r="F3663">
        <v>7</v>
      </c>
      <c r="G3663" t="s">
        <v>6630</v>
      </c>
      <c r="H3663" t="s">
        <v>6631</v>
      </c>
      <c r="I3663" t="str">
        <f>HYPERLINK("https://zfin.org/ZDB-GENE-030131-2860")</f>
        <v>https://zfin.org/ZDB-GENE-030131-2860</v>
      </c>
      <c r="J3663" t="s">
        <v>6632</v>
      </c>
    </row>
    <row r="3664" spans="1:10" x14ac:dyDescent="0.2">
      <c r="A3664">
        <v>2.7255544438153502E-9</v>
      </c>
      <c r="B3664">
        <v>-0.41640669975499001</v>
      </c>
      <c r="C3664">
        <v>0.28599999999999998</v>
      </c>
      <c r="D3664">
        <v>0.42699999999999999</v>
      </c>
      <c r="E3664">
        <v>3.78797556601458E-5</v>
      </c>
      <c r="F3664">
        <v>7</v>
      </c>
      <c r="G3664" t="s">
        <v>2457</v>
      </c>
      <c r="H3664" t="s">
        <v>2458</v>
      </c>
      <c r="I3664" t="str">
        <f>HYPERLINK("https://zfin.org/ZDB-GENE-070424-30")</f>
        <v>https://zfin.org/ZDB-GENE-070424-30</v>
      </c>
      <c r="J3664" t="s">
        <v>2459</v>
      </c>
    </row>
    <row r="3665" spans="1:10" x14ac:dyDescent="0.2">
      <c r="A3665">
        <v>3.0095046046582199E-9</v>
      </c>
      <c r="B3665">
        <v>0.25188836335813902</v>
      </c>
      <c r="C3665">
        <v>0.67600000000000005</v>
      </c>
      <c r="D3665">
        <v>0.59</v>
      </c>
      <c r="E3665">
        <v>4.1826094995540001E-5</v>
      </c>
      <c r="F3665">
        <v>7</v>
      </c>
      <c r="G3665" t="s">
        <v>2051</v>
      </c>
      <c r="H3665" t="s">
        <v>2052</v>
      </c>
      <c r="I3665" t="str">
        <f>HYPERLINK("https://zfin.org/ZDB-GENE-030825-1")</f>
        <v>https://zfin.org/ZDB-GENE-030825-1</v>
      </c>
      <c r="J3665" t="s">
        <v>2053</v>
      </c>
    </row>
    <row r="3666" spans="1:10" x14ac:dyDescent="0.2">
      <c r="A3666">
        <v>3.2437056732635701E-9</v>
      </c>
      <c r="B3666">
        <v>-0.28409523723835201</v>
      </c>
      <c r="C3666">
        <v>0.13400000000000001</v>
      </c>
      <c r="D3666">
        <v>0.27</v>
      </c>
      <c r="E3666">
        <v>4.5081021447017201E-5</v>
      </c>
      <c r="F3666">
        <v>7</v>
      </c>
      <c r="G3666" t="s">
        <v>3429</v>
      </c>
      <c r="H3666" t="s">
        <v>3430</v>
      </c>
      <c r="I3666" t="str">
        <f>HYPERLINK("https://zfin.org/ZDB-GENE-061215-102")</f>
        <v>https://zfin.org/ZDB-GENE-061215-102</v>
      </c>
      <c r="J3666" t="s">
        <v>3431</v>
      </c>
    </row>
    <row r="3667" spans="1:10" x14ac:dyDescent="0.2">
      <c r="A3667">
        <v>3.3976860990892498E-9</v>
      </c>
      <c r="B3667">
        <v>-0.362161832999087</v>
      </c>
      <c r="C3667">
        <v>0.8</v>
      </c>
      <c r="D3667">
        <v>0.86699999999999999</v>
      </c>
      <c r="E3667">
        <v>4.7221041405142397E-5</v>
      </c>
      <c r="F3667">
        <v>7</v>
      </c>
      <c r="G3667" t="s">
        <v>1269</v>
      </c>
      <c r="H3667" t="s">
        <v>1270</v>
      </c>
      <c r="I3667" t="str">
        <f>HYPERLINK("https://zfin.org/ZDB-GENE-061111-1")</f>
        <v>https://zfin.org/ZDB-GENE-061111-1</v>
      </c>
      <c r="J3667" t="s">
        <v>1271</v>
      </c>
    </row>
    <row r="3668" spans="1:10" x14ac:dyDescent="0.2">
      <c r="A3668">
        <v>3.4056152174184999E-9</v>
      </c>
      <c r="B3668">
        <v>-0.35184451859051502</v>
      </c>
      <c r="C3668">
        <v>6.2E-2</v>
      </c>
      <c r="D3668">
        <v>0.17</v>
      </c>
      <c r="E3668">
        <v>4.7331240291682397E-5</v>
      </c>
      <c r="F3668">
        <v>7</v>
      </c>
      <c r="G3668" t="s">
        <v>534</v>
      </c>
      <c r="H3668" t="s">
        <v>535</v>
      </c>
      <c r="I3668" t="str">
        <f>HYPERLINK("https://zfin.org/ZDB-GENE-050320-35")</f>
        <v>https://zfin.org/ZDB-GENE-050320-35</v>
      </c>
      <c r="J3668" t="s">
        <v>536</v>
      </c>
    </row>
    <row r="3669" spans="1:10" x14ac:dyDescent="0.2">
      <c r="A3669">
        <v>3.4340417189202502E-9</v>
      </c>
      <c r="B3669">
        <v>-0.31609507443854701</v>
      </c>
      <c r="C3669">
        <v>9.1999999999999998E-2</v>
      </c>
      <c r="D3669">
        <v>0.21</v>
      </c>
      <c r="E3669">
        <v>4.7726311809553597E-5</v>
      </c>
      <c r="F3669">
        <v>7</v>
      </c>
      <c r="G3669" t="s">
        <v>4178</v>
      </c>
      <c r="H3669" t="s">
        <v>4179</v>
      </c>
      <c r="I3669" t="str">
        <f>HYPERLINK("https://zfin.org/ZDB-GENE-030131-445")</f>
        <v>https://zfin.org/ZDB-GENE-030131-445</v>
      </c>
      <c r="J3669" t="s">
        <v>4180</v>
      </c>
    </row>
    <row r="3670" spans="1:10" x14ac:dyDescent="0.2">
      <c r="A3670">
        <v>3.65976178060928E-9</v>
      </c>
      <c r="B3670">
        <v>-0.30449224519186402</v>
      </c>
      <c r="C3670">
        <v>0.19600000000000001</v>
      </c>
      <c r="D3670">
        <v>0.34</v>
      </c>
      <c r="E3670">
        <v>5.0863369226907699E-5</v>
      </c>
      <c r="F3670">
        <v>7</v>
      </c>
      <c r="G3670" t="s">
        <v>2951</v>
      </c>
      <c r="H3670" t="s">
        <v>2952</v>
      </c>
      <c r="I3670" t="str">
        <f>HYPERLINK("https://zfin.org/ZDB-GENE-040426-2114")</f>
        <v>https://zfin.org/ZDB-GENE-040426-2114</v>
      </c>
      <c r="J3670" t="s">
        <v>2953</v>
      </c>
    </row>
    <row r="3671" spans="1:10" x14ac:dyDescent="0.2">
      <c r="A3671">
        <v>3.7761007016934199E-9</v>
      </c>
      <c r="B3671">
        <v>-0.31288029315350202</v>
      </c>
      <c r="C3671">
        <v>0.78500000000000003</v>
      </c>
      <c r="D3671">
        <v>0.878</v>
      </c>
      <c r="E3671">
        <v>5.2480247552135203E-5</v>
      </c>
      <c r="F3671">
        <v>7</v>
      </c>
      <c r="G3671" t="s">
        <v>1353</v>
      </c>
      <c r="H3671" t="s">
        <v>1354</v>
      </c>
      <c r="I3671" t="str">
        <f>HYPERLINK("https://zfin.org/")</f>
        <v>https://zfin.org/</v>
      </c>
    </row>
    <row r="3672" spans="1:10" x14ac:dyDescent="0.2">
      <c r="A3672">
        <v>3.8996561946440401E-9</v>
      </c>
      <c r="B3672">
        <v>-0.25272669367191902</v>
      </c>
      <c r="C3672">
        <v>0.254</v>
      </c>
      <c r="D3672">
        <v>0.41399999999999998</v>
      </c>
      <c r="E3672">
        <v>5.4197421793162798E-5</v>
      </c>
      <c r="F3672">
        <v>7</v>
      </c>
      <c r="G3672" t="s">
        <v>2882</v>
      </c>
      <c r="H3672" t="s">
        <v>2883</v>
      </c>
      <c r="I3672" t="str">
        <f>HYPERLINK("https://zfin.org/ZDB-GENE-021219-3")</f>
        <v>https://zfin.org/ZDB-GENE-021219-3</v>
      </c>
      <c r="J3672" t="s">
        <v>2884</v>
      </c>
    </row>
    <row r="3673" spans="1:10" x14ac:dyDescent="0.2">
      <c r="A3673">
        <v>4.2749180575459499E-9</v>
      </c>
      <c r="B3673">
        <v>0.48562928092576002</v>
      </c>
      <c r="C3673">
        <v>0.183</v>
      </c>
      <c r="D3673">
        <v>0.1</v>
      </c>
      <c r="E3673">
        <v>5.9412811163773602E-5</v>
      </c>
      <c r="F3673">
        <v>7</v>
      </c>
      <c r="G3673" t="s">
        <v>6633</v>
      </c>
      <c r="H3673" t="s">
        <v>6634</v>
      </c>
      <c r="I3673" t="str">
        <f>HYPERLINK("https://zfin.org/ZDB-GENE-090313-116")</f>
        <v>https://zfin.org/ZDB-GENE-090313-116</v>
      </c>
      <c r="J3673" t="s">
        <v>6635</v>
      </c>
    </row>
    <row r="3674" spans="1:10" x14ac:dyDescent="0.2">
      <c r="A3674">
        <v>4.40598511605692E-9</v>
      </c>
      <c r="B3674">
        <v>-0.25658361709907002</v>
      </c>
      <c r="C3674">
        <v>3.7999999999999999E-2</v>
      </c>
      <c r="D3674">
        <v>0.13600000000000001</v>
      </c>
      <c r="E3674">
        <v>6.1234381142959103E-5</v>
      </c>
      <c r="F3674">
        <v>7</v>
      </c>
      <c r="G3674" t="s">
        <v>606</v>
      </c>
      <c r="H3674" t="s">
        <v>607</v>
      </c>
      <c r="I3674" t="str">
        <f>HYPERLINK("https://zfin.org/ZDB-GENE-040426-2733")</f>
        <v>https://zfin.org/ZDB-GENE-040426-2733</v>
      </c>
      <c r="J3674" t="s">
        <v>608</v>
      </c>
    </row>
    <row r="3675" spans="1:10" x14ac:dyDescent="0.2">
      <c r="A3675">
        <v>4.5004172831090203E-9</v>
      </c>
      <c r="B3675">
        <v>-0.36593701747781698</v>
      </c>
      <c r="C3675">
        <v>0.19600000000000001</v>
      </c>
      <c r="D3675">
        <v>0.33700000000000002</v>
      </c>
      <c r="E3675">
        <v>6.2546799400649104E-5</v>
      </c>
      <c r="F3675">
        <v>7</v>
      </c>
      <c r="G3675" t="s">
        <v>5000</v>
      </c>
      <c r="H3675" t="s">
        <v>5001</v>
      </c>
      <c r="I3675" t="str">
        <f>HYPERLINK("https://zfin.org/ZDB-GENE-040912-55")</f>
        <v>https://zfin.org/ZDB-GENE-040912-55</v>
      </c>
      <c r="J3675" t="s">
        <v>5002</v>
      </c>
    </row>
    <row r="3676" spans="1:10" x14ac:dyDescent="0.2">
      <c r="A3676">
        <v>4.5694706767255899E-9</v>
      </c>
      <c r="B3676">
        <v>-0.28118688664411301</v>
      </c>
      <c r="C3676">
        <v>5.0999999999999997E-2</v>
      </c>
      <c r="D3676">
        <v>0.155</v>
      </c>
      <c r="E3676">
        <v>6.3506503465132294E-5</v>
      </c>
      <c r="F3676">
        <v>7</v>
      </c>
      <c r="G3676" t="s">
        <v>3558</v>
      </c>
      <c r="H3676" t="s">
        <v>3559</v>
      </c>
      <c r="I3676" t="str">
        <f>HYPERLINK("https://zfin.org/ZDB-GENE-030925-31")</f>
        <v>https://zfin.org/ZDB-GENE-030925-31</v>
      </c>
      <c r="J3676" t="s">
        <v>3560</v>
      </c>
    </row>
    <row r="3677" spans="1:10" x14ac:dyDescent="0.2">
      <c r="A3677">
        <v>6.1109008499384701E-9</v>
      </c>
      <c r="B3677">
        <v>-0.28692575009128801</v>
      </c>
      <c r="C3677">
        <v>7.1999999999999995E-2</v>
      </c>
      <c r="D3677">
        <v>0.183</v>
      </c>
      <c r="E3677">
        <v>8.4929300012444805E-5</v>
      </c>
      <c r="F3677">
        <v>7</v>
      </c>
      <c r="G3677" t="s">
        <v>6636</v>
      </c>
      <c r="H3677" t="s">
        <v>6637</v>
      </c>
      <c r="I3677" t="str">
        <f>HYPERLINK("https://zfin.org/ZDB-GENE-030721-2")</f>
        <v>https://zfin.org/ZDB-GENE-030721-2</v>
      </c>
      <c r="J3677" t="s">
        <v>6638</v>
      </c>
    </row>
    <row r="3678" spans="1:10" x14ac:dyDescent="0.2">
      <c r="A3678">
        <v>6.74932163135865E-9</v>
      </c>
      <c r="B3678">
        <v>-0.30256709022031902</v>
      </c>
      <c r="C3678">
        <v>0.14699999999999999</v>
      </c>
      <c r="D3678">
        <v>0.28199999999999997</v>
      </c>
      <c r="E3678">
        <v>9.3802072032622604E-5</v>
      </c>
      <c r="F3678">
        <v>7</v>
      </c>
      <c r="G3678" t="s">
        <v>663</v>
      </c>
      <c r="H3678" t="s">
        <v>664</v>
      </c>
      <c r="I3678" t="str">
        <f>HYPERLINK("https://zfin.org/ZDB-GENE-060825-160")</f>
        <v>https://zfin.org/ZDB-GENE-060825-160</v>
      </c>
      <c r="J3678" t="s">
        <v>665</v>
      </c>
    </row>
    <row r="3679" spans="1:10" x14ac:dyDescent="0.2">
      <c r="A3679">
        <v>6.8485087825344598E-9</v>
      </c>
      <c r="B3679">
        <v>-0.36977553004980002</v>
      </c>
      <c r="C3679">
        <v>0.09</v>
      </c>
      <c r="D3679">
        <v>0.20399999999999999</v>
      </c>
      <c r="E3679">
        <v>9.5180575059663903E-5</v>
      </c>
      <c r="F3679">
        <v>7</v>
      </c>
      <c r="G3679" t="s">
        <v>3501</v>
      </c>
      <c r="H3679" t="s">
        <v>3502</v>
      </c>
      <c r="I3679" t="str">
        <f>HYPERLINK("https://zfin.org/ZDB-GENE-030131-5561")</f>
        <v>https://zfin.org/ZDB-GENE-030131-5561</v>
      </c>
      <c r="J3679" t="s">
        <v>3503</v>
      </c>
    </row>
    <row r="3680" spans="1:10" x14ac:dyDescent="0.2">
      <c r="A3680">
        <v>7.3955982861321903E-9</v>
      </c>
      <c r="B3680">
        <v>0.39834303419093903</v>
      </c>
      <c r="C3680">
        <v>0.104</v>
      </c>
      <c r="D3680">
        <v>4.2999999999999997E-2</v>
      </c>
      <c r="E3680">
        <v>1.0278402498066499E-4</v>
      </c>
      <c r="F3680">
        <v>7</v>
      </c>
      <c r="G3680" t="s">
        <v>6639</v>
      </c>
      <c r="H3680" t="s">
        <v>6640</v>
      </c>
      <c r="I3680" t="str">
        <f>HYPERLINK("https://zfin.org/")</f>
        <v>https://zfin.org/</v>
      </c>
    </row>
    <row r="3681" spans="1:10" x14ac:dyDescent="0.2">
      <c r="A3681">
        <v>8.6780200440424407E-9</v>
      </c>
      <c r="B3681">
        <v>-0.27509701680095999</v>
      </c>
      <c r="C3681">
        <v>0.23499999999999999</v>
      </c>
      <c r="D3681">
        <v>0.38700000000000001</v>
      </c>
      <c r="E3681">
        <v>1.20607122572102E-4</v>
      </c>
      <c r="F3681">
        <v>7</v>
      </c>
      <c r="G3681" t="s">
        <v>3691</v>
      </c>
      <c r="H3681" t="s">
        <v>3692</v>
      </c>
      <c r="I3681" t="str">
        <f>HYPERLINK("https://zfin.org/ZDB-GENE-040625-96")</f>
        <v>https://zfin.org/ZDB-GENE-040625-96</v>
      </c>
      <c r="J3681" t="s">
        <v>3693</v>
      </c>
    </row>
    <row r="3682" spans="1:10" x14ac:dyDescent="0.2">
      <c r="A3682">
        <v>9.1862195895091305E-9</v>
      </c>
      <c r="B3682">
        <v>-0.31155534062820001</v>
      </c>
      <c r="C3682">
        <v>0.13</v>
      </c>
      <c r="D3682">
        <v>0.25600000000000001</v>
      </c>
      <c r="E3682">
        <v>1.27670079854998E-4</v>
      </c>
      <c r="F3682">
        <v>7</v>
      </c>
      <c r="G3682" t="s">
        <v>3056</v>
      </c>
      <c r="H3682" t="s">
        <v>3057</v>
      </c>
      <c r="I3682" t="str">
        <f>HYPERLINK("https://zfin.org/ZDB-GENE-021028-1")</f>
        <v>https://zfin.org/ZDB-GENE-021028-1</v>
      </c>
      <c r="J3682" t="s">
        <v>3058</v>
      </c>
    </row>
    <row r="3683" spans="1:10" x14ac:dyDescent="0.2">
      <c r="A3683">
        <v>9.3353007208276903E-9</v>
      </c>
      <c r="B3683">
        <v>-0.26075631942976801</v>
      </c>
      <c r="C3683">
        <v>4.9000000000000002E-2</v>
      </c>
      <c r="D3683">
        <v>0.15</v>
      </c>
      <c r="E3683">
        <v>1.29742009418063E-4</v>
      </c>
      <c r="F3683">
        <v>7</v>
      </c>
      <c r="G3683" t="s">
        <v>1426</v>
      </c>
      <c r="H3683" t="s">
        <v>1427</v>
      </c>
      <c r="I3683" t="str">
        <f>HYPERLINK("https://zfin.org/ZDB-GENE-030825-2")</f>
        <v>https://zfin.org/ZDB-GENE-030825-2</v>
      </c>
      <c r="J3683" t="s">
        <v>1428</v>
      </c>
    </row>
    <row r="3684" spans="1:10" x14ac:dyDescent="0.2">
      <c r="A3684">
        <v>9.8917139408088794E-9</v>
      </c>
      <c r="B3684">
        <v>-0.26709143260710499</v>
      </c>
      <c r="C3684">
        <v>0.36499999999999999</v>
      </c>
      <c r="D3684">
        <v>0.52200000000000002</v>
      </c>
      <c r="E3684">
        <v>1.37475040349362E-4</v>
      </c>
      <c r="F3684">
        <v>7</v>
      </c>
      <c r="G3684" t="s">
        <v>6641</v>
      </c>
      <c r="H3684" t="s">
        <v>6642</v>
      </c>
      <c r="I3684" t="str">
        <f>HYPERLINK("https://zfin.org/ZDB-GENE-041114-180")</f>
        <v>https://zfin.org/ZDB-GENE-041114-180</v>
      </c>
      <c r="J3684" t="s">
        <v>6643</v>
      </c>
    </row>
    <row r="3685" spans="1:10" x14ac:dyDescent="0.2">
      <c r="A3685">
        <v>1.05757869443238E-8</v>
      </c>
      <c r="B3685">
        <v>-0.66253323535903996</v>
      </c>
      <c r="C3685">
        <v>6.8000000000000005E-2</v>
      </c>
      <c r="D3685">
        <v>0.17100000000000001</v>
      </c>
      <c r="E3685">
        <v>1.46982286952213E-4</v>
      </c>
      <c r="F3685">
        <v>7</v>
      </c>
      <c r="G3685" t="s">
        <v>354</v>
      </c>
      <c r="H3685" t="s">
        <v>355</v>
      </c>
      <c r="I3685" t="str">
        <f>HYPERLINK("https://zfin.org/ZDB-GENE-051127-7")</f>
        <v>https://zfin.org/ZDB-GENE-051127-7</v>
      </c>
      <c r="J3685" t="s">
        <v>356</v>
      </c>
    </row>
    <row r="3686" spans="1:10" x14ac:dyDescent="0.2">
      <c r="A3686">
        <v>1.0857840449368899E-8</v>
      </c>
      <c r="B3686">
        <v>-0.28682993303031701</v>
      </c>
      <c r="C3686">
        <v>0.128</v>
      </c>
      <c r="D3686">
        <v>0.252</v>
      </c>
      <c r="E3686">
        <v>1.5090226656532899E-4</v>
      </c>
      <c r="F3686">
        <v>7</v>
      </c>
      <c r="G3686" t="s">
        <v>3261</v>
      </c>
      <c r="H3686" t="s">
        <v>3262</v>
      </c>
      <c r="I3686" t="str">
        <f>HYPERLINK("https://zfin.org/ZDB-GENE-031118-120")</f>
        <v>https://zfin.org/ZDB-GENE-031118-120</v>
      </c>
      <c r="J3686" t="s">
        <v>3263</v>
      </c>
    </row>
    <row r="3687" spans="1:10" x14ac:dyDescent="0.2">
      <c r="A3687">
        <v>1.09523749731103E-8</v>
      </c>
      <c r="B3687">
        <v>-0.25738090268924502</v>
      </c>
      <c r="C3687">
        <v>8.5000000000000006E-2</v>
      </c>
      <c r="D3687">
        <v>0.20100000000000001</v>
      </c>
      <c r="E3687">
        <v>1.52216107376287E-4</v>
      </c>
      <c r="F3687">
        <v>7</v>
      </c>
      <c r="G3687" t="s">
        <v>1872</v>
      </c>
      <c r="H3687" t="s">
        <v>1873</v>
      </c>
      <c r="I3687" t="str">
        <f>HYPERLINK("https://zfin.org/ZDB-GENE-081105-65")</f>
        <v>https://zfin.org/ZDB-GENE-081105-65</v>
      </c>
      <c r="J3687" t="s">
        <v>1874</v>
      </c>
    </row>
    <row r="3688" spans="1:10" x14ac:dyDescent="0.2">
      <c r="A3688">
        <v>1.13169032602152E-8</v>
      </c>
      <c r="B3688">
        <v>-0.59168575044497995</v>
      </c>
      <c r="C3688">
        <v>0.69099999999999995</v>
      </c>
      <c r="D3688">
        <v>0.76800000000000002</v>
      </c>
      <c r="E3688">
        <v>1.5728232151047101E-4</v>
      </c>
      <c r="F3688">
        <v>7</v>
      </c>
      <c r="G3688" t="s">
        <v>2565</v>
      </c>
      <c r="H3688" t="s">
        <v>2566</v>
      </c>
      <c r="I3688" t="str">
        <f>HYPERLINK("https://zfin.org/ZDB-GENE-040912-122")</f>
        <v>https://zfin.org/ZDB-GENE-040912-122</v>
      </c>
      <c r="J3688" t="s">
        <v>2567</v>
      </c>
    </row>
    <row r="3689" spans="1:10" x14ac:dyDescent="0.2">
      <c r="A3689">
        <v>1.14128642807631E-8</v>
      </c>
      <c r="B3689">
        <v>-0.36146779296721698</v>
      </c>
      <c r="C3689">
        <v>0.13900000000000001</v>
      </c>
      <c r="D3689">
        <v>0.26500000000000001</v>
      </c>
      <c r="E3689">
        <v>1.5861598777404501E-4</v>
      </c>
      <c r="F3689">
        <v>7</v>
      </c>
      <c r="G3689" t="s">
        <v>2712</v>
      </c>
      <c r="H3689" t="s">
        <v>2713</v>
      </c>
      <c r="I3689" t="str">
        <f>HYPERLINK("https://zfin.org/ZDB-GENE-091204-95")</f>
        <v>https://zfin.org/ZDB-GENE-091204-95</v>
      </c>
      <c r="J3689" t="s">
        <v>2714</v>
      </c>
    </row>
    <row r="3690" spans="1:10" x14ac:dyDescent="0.2">
      <c r="A3690">
        <v>1.1463996627319501E-8</v>
      </c>
      <c r="B3690">
        <v>-0.27595709185439499</v>
      </c>
      <c r="C3690">
        <v>0.111</v>
      </c>
      <c r="D3690">
        <v>0.23599999999999999</v>
      </c>
      <c r="E3690">
        <v>1.59326625126486E-4</v>
      </c>
      <c r="F3690">
        <v>7</v>
      </c>
      <c r="G3690" t="s">
        <v>3270</v>
      </c>
      <c r="H3690" t="s">
        <v>3271</v>
      </c>
      <c r="I3690" t="str">
        <f>HYPERLINK("https://zfin.org/ZDB-GENE-040718-209")</f>
        <v>https://zfin.org/ZDB-GENE-040718-209</v>
      </c>
      <c r="J3690" t="s">
        <v>3272</v>
      </c>
    </row>
    <row r="3691" spans="1:10" x14ac:dyDescent="0.2">
      <c r="A3691">
        <v>1.14665227844636E-8</v>
      </c>
      <c r="B3691">
        <v>0.36739310357198601</v>
      </c>
      <c r="C3691">
        <v>0.20899999999999999</v>
      </c>
      <c r="D3691">
        <v>0.11899999999999999</v>
      </c>
      <c r="E3691">
        <v>1.5936173365847599E-4</v>
      </c>
      <c r="F3691">
        <v>7</v>
      </c>
      <c r="G3691" t="s">
        <v>3321</v>
      </c>
      <c r="H3691" t="s">
        <v>3322</v>
      </c>
      <c r="I3691" t="str">
        <f>HYPERLINK("https://zfin.org/ZDB-GENE-990603-12")</f>
        <v>https://zfin.org/ZDB-GENE-990603-12</v>
      </c>
      <c r="J3691" t="s">
        <v>3323</v>
      </c>
    </row>
    <row r="3692" spans="1:10" x14ac:dyDescent="0.2">
      <c r="A3692">
        <v>1.3191545786661599E-8</v>
      </c>
      <c r="B3692">
        <v>-0.28804975305988301</v>
      </c>
      <c r="C3692">
        <v>0.03</v>
      </c>
      <c r="D3692">
        <v>0.11799999999999999</v>
      </c>
      <c r="E3692">
        <v>1.83336103343023E-4</v>
      </c>
      <c r="F3692">
        <v>7</v>
      </c>
      <c r="G3692" t="s">
        <v>5829</v>
      </c>
      <c r="H3692" t="s">
        <v>5830</v>
      </c>
      <c r="I3692" t="str">
        <f>HYPERLINK("https://zfin.org/ZDB-GENE-020419-27")</f>
        <v>https://zfin.org/ZDB-GENE-020419-27</v>
      </c>
      <c r="J3692" t="s">
        <v>5831</v>
      </c>
    </row>
    <row r="3693" spans="1:10" x14ac:dyDescent="0.2">
      <c r="A3693">
        <v>1.3597679704241001E-8</v>
      </c>
      <c r="B3693">
        <v>0.32609993839754498</v>
      </c>
      <c r="C3693">
        <v>0.124</v>
      </c>
      <c r="D3693">
        <v>5.6000000000000001E-2</v>
      </c>
      <c r="E3693">
        <v>1.88980552529541E-4</v>
      </c>
      <c r="F3693">
        <v>7</v>
      </c>
      <c r="G3693" t="s">
        <v>6494</v>
      </c>
      <c r="H3693" t="s">
        <v>6495</v>
      </c>
      <c r="I3693" t="str">
        <f>HYPERLINK("https://zfin.org/ZDB-GENE-040426-1909")</f>
        <v>https://zfin.org/ZDB-GENE-040426-1909</v>
      </c>
      <c r="J3693" t="s">
        <v>6496</v>
      </c>
    </row>
    <row r="3694" spans="1:10" x14ac:dyDescent="0.2">
      <c r="A3694">
        <v>1.5035235328218501E-8</v>
      </c>
      <c r="B3694">
        <v>-0.27165825037970798</v>
      </c>
      <c r="C3694">
        <v>0.19</v>
      </c>
      <c r="D3694">
        <v>0.32800000000000001</v>
      </c>
      <c r="E3694">
        <v>2.0895970059157999E-4</v>
      </c>
      <c r="F3694">
        <v>7</v>
      </c>
      <c r="G3694" t="s">
        <v>3637</v>
      </c>
      <c r="H3694" t="s">
        <v>3638</v>
      </c>
      <c r="I3694" t="str">
        <f>HYPERLINK("https://zfin.org/ZDB-GENE-990714-24")</f>
        <v>https://zfin.org/ZDB-GENE-990714-24</v>
      </c>
      <c r="J3694" t="s">
        <v>3639</v>
      </c>
    </row>
    <row r="3695" spans="1:10" x14ac:dyDescent="0.2">
      <c r="A3695">
        <v>1.5091391253581099E-8</v>
      </c>
      <c r="B3695">
        <v>-0.28740193836799599</v>
      </c>
      <c r="C3695">
        <v>0.122</v>
      </c>
      <c r="D3695">
        <v>0.247</v>
      </c>
      <c r="E3695">
        <v>2.09740155642271E-4</v>
      </c>
      <c r="F3695">
        <v>7</v>
      </c>
      <c r="G3695" t="s">
        <v>6456</v>
      </c>
      <c r="H3695" t="s">
        <v>6457</v>
      </c>
      <c r="I3695" t="str">
        <f>HYPERLINK("https://zfin.org/ZDB-GENE-030131-1957")</f>
        <v>https://zfin.org/ZDB-GENE-030131-1957</v>
      </c>
      <c r="J3695" t="s">
        <v>6458</v>
      </c>
    </row>
    <row r="3696" spans="1:10" x14ac:dyDescent="0.2">
      <c r="A3696">
        <v>1.56145872971557E-8</v>
      </c>
      <c r="B3696">
        <v>-0.30066289769098498</v>
      </c>
      <c r="C3696">
        <v>0.29399999999999998</v>
      </c>
      <c r="D3696">
        <v>0.44800000000000001</v>
      </c>
      <c r="E3696">
        <v>2.1701153425586901E-4</v>
      </c>
      <c r="F3696">
        <v>7</v>
      </c>
      <c r="G3696" t="s">
        <v>6411</v>
      </c>
      <c r="H3696" t="s">
        <v>6412</v>
      </c>
      <c r="I3696" t="str">
        <f>HYPERLINK("https://zfin.org/ZDB-GENE-030616-127")</f>
        <v>https://zfin.org/ZDB-GENE-030616-127</v>
      </c>
      <c r="J3696" t="s">
        <v>6413</v>
      </c>
    </row>
    <row r="3697" spans="1:10" x14ac:dyDescent="0.2">
      <c r="A3697">
        <v>1.6322727875308001E-8</v>
      </c>
      <c r="B3697">
        <v>-0.30562871816924497</v>
      </c>
      <c r="C3697">
        <v>0.17499999999999999</v>
      </c>
      <c r="D3697">
        <v>0.308</v>
      </c>
      <c r="E3697">
        <v>2.2685327201103E-4</v>
      </c>
      <c r="F3697">
        <v>7</v>
      </c>
      <c r="G3697" t="s">
        <v>3435</v>
      </c>
      <c r="H3697" t="s">
        <v>3436</v>
      </c>
      <c r="I3697" t="str">
        <f>HYPERLINK("https://zfin.org/ZDB-GENE-040625-136")</f>
        <v>https://zfin.org/ZDB-GENE-040625-136</v>
      </c>
      <c r="J3697" t="s">
        <v>3437</v>
      </c>
    </row>
    <row r="3698" spans="1:10" x14ac:dyDescent="0.2">
      <c r="A3698">
        <v>1.7761833080172499E-8</v>
      </c>
      <c r="B3698">
        <v>-0.29193104773123801</v>
      </c>
      <c r="C3698">
        <v>0.128</v>
      </c>
      <c r="D3698">
        <v>0.252</v>
      </c>
      <c r="E3698">
        <v>2.4685395614823801E-4</v>
      </c>
      <c r="F3698">
        <v>7</v>
      </c>
      <c r="G3698" t="s">
        <v>6644</v>
      </c>
      <c r="H3698" t="s">
        <v>6645</v>
      </c>
      <c r="I3698" t="str">
        <f>HYPERLINK("https://zfin.org/ZDB-GENE-040801-215")</f>
        <v>https://zfin.org/ZDB-GENE-040801-215</v>
      </c>
      <c r="J3698" t="s">
        <v>6646</v>
      </c>
    </row>
    <row r="3699" spans="1:10" x14ac:dyDescent="0.2">
      <c r="A3699">
        <v>1.7806878626789501E-8</v>
      </c>
      <c r="B3699">
        <v>-0.76487602796870302</v>
      </c>
      <c r="C3699">
        <v>0.104</v>
      </c>
      <c r="D3699">
        <v>0.21299999999999999</v>
      </c>
      <c r="E3699">
        <v>2.4747999915512099E-4</v>
      </c>
      <c r="F3699">
        <v>7</v>
      </c>
      <c r="G3699" t="s">
        <v>2640</v>
      </c>
      <c r="H3699" t="s">
        <v>2641</v>
      </c>
      <c r="I3699" t="str">
        <f>HYPERLINK("https://zfin.org/ZDB-GENE-041111-1")</f>
        <v>https://zfin.org/ZDB-GENE-041111-1</v>
      </c>
      <c r="J3699" t="s">
        <v>2642</v>
      </c>
    </row>
    <row r="3700" spans="1:10" x14ac:dyDescent="0.2">
      <c r="A3700">
        <v>1.88195210908271E-8</v>
      </c>
      <c r="B3700">
        <v>-0.26365045534418202</v>
      </c>
      <c r="C3700">
        <v>0.29399999999999998</v>
      </c>
      <c r="D3700">
        <v>0.44700000000000001</v>
      </c>
      <c r="E3700">
        <v>2.6155370412031499E-4</v>
      </c>
      <c r="F3700">
        <v>7</v>
      </c>
      <c r="G3700" t="s">
        <v>4698</v>
      </c>
      <c r="H3700" t="s">
        <v>4699</v>
      </c>
      <c r="I3700" t="str">
        <f>HYPERLINK("https://zfin.org/ZDB-GENE-030131-5493")</f>
        <v>https://zfin.org/ZDB-GENE-030131-5493</v>
      </c>
      <c r="J3700" t="s">
        <v>4700</v>
      </c>
    </row>
    <row r="3701" spans="1:10" x14ac:dyDescent="0.2">
      <c r="A3701">
        <v>2.06892807466197E-8</v>
      </c>
      <c r="B3701">
        <v>-0.26244489016421202</v>
      </c>
      <c r="C3701">
        <v>0.313</v>
      </c>
      <c r="D3701">
        <v>0.46600000000000003</v>
      </c>
      <c r="E3701">
        <v>2.8753962381652102E-4</v>
      </c>
      <c r="F3701">
        <v>7</v>
      </c>
      <c r="G3701" t="s">
        <v>2538</v>
      </c>
      <c r="H3701" t="s">
        <v>2539</v>
      </c>
      <c r="I3701" t="str">
        <f>HYPERLINK("https://zfin.org/ZDB-GENE-040426-2194")</f>
        <v>https://zfin.org/ZDB-GENE-040426-2194</v>
      </c>
      <c r="J3701" t="s">
        <v>2540</v>
      </c>
    </row>
    <row r="3702" spans="1:10" x14ac:dyDescent="0.2">
      <c r="A3702">
        <v>2.22600638025539E-8</v>
      </c>
      <c r="B3702">
        <v>-0.40030842675272899</v>
      </c>
      <c r="C3702">
        <v>4.2999999999999997E-2</v>
      </c>
      <c r="D3702">
        <v>0.13300000000000001</v>
      </c>
      <c r="E3702">
        <v>3.0937036672789398E-4</v>
      </c>
      <c r="F3702">
        <v>7</v>
      </c>
      <c r="G3702" t="s">
        <v>267</v>
      </c>
      <c r="H3702" t="s">
        <v>268</v>
      </c>
      <c r="I3702" t="str">
        <f>HYPERLINK("https://zfin.org/ZDB-GENE-060616-326")</f>
        <v>https://zfin.org/ZDB-GENE-060616-326</v>
      </c>
      <c r="J3702" t="s">
        <v>269</v>
      </c>
    </row>
    <row r="3703" spans="1:10" x14ac:dyDescent="0.2">
      <c r="A3703">
        <v>2.3268344872374099E-8</v>
      </c>
      <c r="B3703">
        <v>-0.28257859676416902</v>
      </c>
      <c r="C3703">
        <v>2.1000000000000001E-2</v>
      </c>
      <c r="D3703">
        <v>0.10100000000000001</v>
      </c>
      <c r="E3703">
        <v>3.2338345703625498E-4</v>
      </c>
      <c r="F3703">
        <v>7</v>
      </c>
      <c r="G3703" t="s">
        <v>6647</v>
      </c>
      <c r="H3703" t="s">
        <v>6648</v>
      </c>
      <c r="I3703" t="str">
        <f>HYPERLINK("https://zfin.org/ZDB-GENE-141216-467")</f>
        <v>https://zfin.org/ZDB-GENE-141216-467</v>
      </c>
      <c r="J3703" t="s">
        <v>6649</v>
      </c>
    </row>
    <row r="3704" spans="1:10" x14ac:dyDescent="0.2">
      <c r="A3704">
        <v>2.4752194725838502E-8</v>
      </c>
      <c r="B3704">
        <v>-0.31233349392385001</v>
      </c>
      <c r="C3704">
        <v>0.39900000000000002</v>
      </c>
      <c r="D3704">
        <v>0.54500000000000004</v>
      </c>
      <c r="E3704">
        <v>3.4400600229970302E-4</v>
      </c>
      <c r="F3704">
        <v>7</v>
      </c>
      <c r="G3704" t="s">
        <v>2334</v>
      </c>
      <c r="H3704" t="s">
        <v>2335</v>
      </c>
      <c r="I3704" t="str">
        <f>HYPERLINK("https://zfin.org/ZDB-GENE-030131-6757")</f>
        <v>https://zfin.org/ZDB-GENE-030131-6757</v>
      </c>
      <c r="J3704" t="s">
        <v>2336</v>
      </c>
    </row>
    <row r="3705" spans="1:10" x14ac:dyDescent="0.2">
      <c r="A3705">
        <v>2.7842641651653199E-8</v>
      </c>
      <c r="B3705">
        <v>0.25051688298657099</v>
      </c>
      <c r="C3705">
        <v>0.60299999999999998</v>
      </c>
      <c r="D3705">
        <v>0.53400000000000003</v>
      </c>
      <c r="E3705">
        <v>3.8695703367467601E-4</v>
      </c>
      <c r="F3705">
        <v>7</v>
      </c>
      <c r="G3705" t="s">
        <v>6509</v>
      </c>
      <c r="H3705" t="s">
        <v>6510</v>
      </c>
      <c r="I3705" t="str">
        <f>HYPERLINK("https://zfin.org/ZDB-GENE-060503-86")</f>
        <v>https://zfin.org/ZDB-GENE-060503-86</v>
      </c>
      <c r="J3705" t="s">
        <v>6511</v>
      </c>
    </row>
    <row r="3706" spans="1:10" x14ac:dyDescent="0.2">
      <c r="A3706">
        <v>2.9692815925103101E-8</v>
      </c>
      <c r="B3706">
        <v>-0.30496979868493601</v>
      </c>
      <c r="C3706">
        <v>4.7E-2</v>
      </c>
      <c r="D3706">
        <v>0.14000000000000001</v>
      </c>
      <c r="E3706">
        <v>4.1267075572708298E-4</v>
      </c>
      <c r="F3706">
        <v>7</v>
      </c>
      <c r="G3706" t="s">
        <v>6650</v>
      </c>
      <c r="H3706" t="s">
        <v>6651</v>
      </c>
      <c r="I3706" t="str">
        <f>HYPERLINK("https://zfin.org/ZDB-GENE-080829-3")</f>
        <v>https://zfin.org/ZDB-GENE-080829-3</v>
      </c>
      <c r="J3706" t="s">
        <v>6652</v>
      </c>
    </row>
    <row r="3707" spans="1:10" x14ac:dyDescent="0.2">
      <c r="A3707">
        <v>3.1974325765429998E-8</v>
      </c>
      <c r="B3707">
        <v>-0.25811107602543698</v>
      </c>
      <c r="C3707">
        <v>0.38800000000000001</v>
      </c>
      <c r="D3707">
        <v>0.54600000000000004</v>
      </c>
      <c r="E3707">
        <v>4.44379179487946E-4</v>
      </c>
      <c r="F3707">
        <v>7</v>
      </c>
      <c r="G3707" t="s">
        <v>3613</v>
      </c>
      <c r="H3707" t="s">
        <v>3614</v>
      </c>
      <c r="I3707" t="str">
        <f>HYPERLINK("https://zfin.org/ZDB-GENE-040426-2682")</f>
        <v>https://zfin.org/ZDB-GENE-040426-2682</v>
      </c>
      <c r="J3707" t="s">
        <v>3615</v>
      </c>
    </row>
    <row r="3708" spans="1:10" x14ac:dyDescent="0.2">
      <c r="A3708">
        <v>3.2914347500040197E-8</v>
      </c>
      <c r="B3708">
        <v>-0.26156354718174502</v>
      </c>
      <c r="C3708">
        <v>0.33</v>
      </c>
      <c r="D3708">
        <v>0.48499999999999999</v>
      </c>
      <c r="E3708">
        <v>4.57443601555558E-4</v>
      </c>
      <c r="F3708">
        <v>7</v>
      </c>
      <c r="G3708" t="s">
        <v>6653</v>
      </c>
      <c r="H3708" t="s">
        <v>6654</v>
      </c>
      <c r="I3708" t="str">
        <f>HYPERLINK("https://zfin.org/ZDB-GENE-040426-2166")</f>
        <v>https://zfin.org/ZDB-GENE-040426-2166</v>
      </c>
      <c r="J3708" t="s">
        <v>6655</v>
      </c>
    </row>
    <row r="3709" spans="1:10" x14ac:dyDescent="0.2">
      <c r="A3709">
        <v>3.4438987932220401E-8</v>
      </c>
      <c r="B3709">
        <v>-0.26557793555779702</v>
      </c>
      <c r="C3709">
        <v>2.3E-2</v>
      </c>
      <c r="D3709">
        <v>0.104</v>
      </c>
      <c r="E3709">
        <v>4.7863305428200002E-4</v>
      </c>
      <c r="F3709">
        <v>7</v>
      </c>
      <c r="G3709" t="s">
        <v>3489</v>
      </c>
      <c r="H3709" t="s">
        <v>3490</v>
      </c>
      <c r="I3709" t="str">
        <f>HYPERLINK("https://zfin.org/ZDB-GENE-980526-114")</f>
        <v>https://zfin.org/ZDB-GENE-980526-114</v>
      </c>
      <c r="J3709" t="s">
        <v>3491</v>
      </c>
    </row>
    <row r="3710" spans="1:10" x14ac:dyDescent="0.2">
      <c r="A3710">
        <v>3.4450482588243003E-8</v>
      </c>
      <c r="B3710">
        <v>-0.32437873207739898</v>
      </c>
      <c r="C3710">
        <v>0.45800000000000002</v>
      </c>
      <c r="D3710">
        <v>0.58299999999999996</v>
      </c>
      <c r="E3710">
        <v>4.7879280701140201E-4</v>
      </c>
      <c r="F3710">
        <v>7</v>
      </c>
      <c r="G3710" t="s">
        <v>2036</v>
      </c>
      <c r="H3710" t="s">
        <v>2037</v>
      </c>
      <c r="I3710" t="str">
        <f>HYPERLINK("https://zfin.org/ZDB-GENE-001208-4")</f>
        <v>https://zfin.org/ZDB-GENE-001208-4</v>
      </c>
      <c r="J3710" t="s">
        <v>2038</v>
      </c>
    </row>
    <row r="3711" spans="1:10" x14ac:dyDescent="0.2">
      <c r="A3711">
        <v>3.6282198033963702E-8</v>
      </c>
      <c r="B3711">
        <v>-0.33017661832810902</v>
      </c>
      <c r="C3711">
        <v>6.6000000000000003E-2</v>
      </c>
      <c r="D3711">
        <v>0.16600000000000001</v>
      </c>
      <c r="E3711">
        <v>5.0424998827602798E-4</v>
      </c>
      <c r="F3711">
        <v>7</v>
      </c>
      <c r="G3711" t="s">
        <v>6656</v>
      </c>
      <c r="H3711" t="s">
        <v>6657</v>
      </c>
      <c r="I3711" t="str">
        <f>HYPERLINK("https://zfin.org/ZDB-GENE-040426-1289")</f>
        <v>https://zfin.org/ZDB-GENE-040426-1289</v>
      </c>
      <c r="J3711" t="s">
        <v>6658</v>
      </c>
    </row>
    <row r="3712" spans="1:10" x14ac:dyDescent="0.2">
      <c r="A3712">
        <v>3.6296255977896899E-8</v>
      </c>
      <c r="B3712">
        <v>-0.29155672541073502</v>
      </c>
      <c r="C3712">
        <v>0.49</v>
      </c>
      <c r="D3712">
        <v>0.629</v>
      </c>
      <c r="E3712">
        <v>5.0444536558081102E-4</v>
      </c>
      <c r="F3712">
        <v>7</v>
      </c>
      <c r="G3712" t="s">
        <v>2942</v>
      </c>
      <c r="H3712" t="s">
        <v>2943</v>
      </c>
      <c r="I3712" t="str">
        <f>HYPERLINK("https://zfin.org/ZDB-GENE-030131-6154")</f>
        <v>https://zfin.org/ZDB-GENE-030131-6154</v>
      </c>
      <c r="J3712" t="s">
        <v>2944</v>
      </c>
    </row>
    <row r="3713" spans="1:10" x14ac:dyDescent="0.2">
      <c r="A3713">
        <v>3.72451194305723E-8</v>
      </c>
      <c r="B3713">
        <v>-0.30812404831155099</v>
      </c>
      <c r="C3713">
        <v>0.38200000000000001</v>
      </c>
      <c r="D3713">
        <v>0.52</v>
      </c>
      <c r="E3713">
        <v>5.1763266984609403E-4</v>
      </c>
      <c r="F3713">
        <v>7</v>
      </c>
      <c r="G3713" t="s">
        <v>4955</v>
      </c>
      <c r="H3713" t="s">
        <v>4956</v>
      </c>
      <c r="I3713" t="str">
        <f>HYPERLINK("https://zfin.org/ZDB-GENE-030826-15")</f>
        <v>https://zfin.org/ZDB-GENE-030826-15</v>
      </c>
      <c r="J3713" t="s">
        <v>4957</v>
      </c>
    </row>
    <row r="3714" spans="1:10" x14ac:dyDescent="0.2">
      <c r="A3714">
        <v>3.79289031557711E-8</v>
      </c>
      <c r="B3714">
        <v>0.49372852916860599</v>
      </c>
      <c r="C3714">
        <v>0.29199999999999998</v>
      </c>
      <c r="D3714">
        <v>0.19500000000000001</v>
      </c>
      <c r="E3714">
        <v>5.2713589605890598E-4</v>
      </c>
      <c r="F3714">
        <v>7</v>
      </c>
      <c r="G3714" t="s">
        <v>6659</v>
      </c>
      <c r="H3714" t="s">
        <v>6660</v>
      </c>
      <c r="I3714" t="str">
        <f>HYPERLINK("https://zfin.org/ZDB-GENE-070627-1")</f>
        <v>https://zfin.org/ZDB-GENE-070627-1</v>
      </c>
      <c r="J3714" t="s">
        <v>6661</v>
      </c>
    </row>
    <row r="3715" spans="1:10" x14ac:dyDescent="0.2">
      <c r="A3715">
        <v>4.2560985473737697E-8</v>
      </c>
      <c r="B3715">
        <v>-0.310700686048622</v>
      </c>
      <c r="C3715">
        <v>3.5999999999999997E-2</v>
      </c>
      <c r="D3715">
        <v>0.123</v>
      </c>
      <c r="E3715">
        <v>5.9151257611400696E-4</v>
      </c>
      <c r="F3715">
        <v>7</v>
      </c>
      <c r="G3715" t="s">
        <v>5327</v>
      </c>
      <c r="H3715" t="s">
        <v>5328</v>
      </c>
      <c r="I3715" t="str">
        <f>HYPERLINK("https://zfin.org/ZDB-GENE-110404-2")</f>
        <v>https://zfin.org/ZDB-GENE-110404-2</v>
      </c>
      <c r="J3715" t="s">
        <v>5329</v>
      </c>
    </row>
    <row r="3716" spans="1:10" x14ac:dyDescent="0.2">
      <c r="A3716">
        <v>5.5903477261495102E-8</v>
      </c>
      <c r="B3716">
        <v>-0.41525867838828701</v>
      </c>
      <c r="C3716">
        <v>0.72899999999999998</v>
      </c>
      <c r="D3716">
        <v>0.82699999999999996</v>
      </c>
      <c r="E3716">
        <v>7.7694652698025895E-4</v>
      </c>
      <c r="F3716">
        <v>7</v>
      </c>
      <c r="G3716" t="s">
        <v>4002</v>
      </c>
      <c r="H3716" t="s">
        <v>4003</v>
      </c>
      <c r="I3716" t="str">
        <f>HYPERLINK("https://zfin.org/ZDB-GENE-131120-172")</f>
        <v>https://zfin.org/ZDB-GENE-131120-172</v>
      </c>
      <c r="J3716" t="s">
        <v>4004</v>
      </c>
    </row>
    <row r="3717" spans="1:10" x14ac:dyDescent="0.2">
      <c r="A3717">
        <v>5.592175166641E-8</v>
      </c>
      <c r="B3717">
        <v>-0.53900624278479903</v>
      </c>
      <c r="C3717">
        <v>0.14499999999999999</v>
      </c>
      <c r="D3717">
        <v>0.26</v>
      </c>
      <c r="E3717">
        <v>7.7720050465976604E-4</v>
      </c>
      <c r="F3717">
        <v>7</v>
      </c>
      <c r="G3717" t="s">
        <v>6373</v>
      </c>
      <c r="H3717" t="s">
        <v>6374</v>
      </c>
      <c r="I3717" t="str">
        <f>HYPERLINK("https://zfin.org/ZDB-GENE-160728-105")</f>
        <v>https://zfin.org/ZDB-GENE-160728-105</v>
      </c>
      <c r="J3717" t="s">
        <v>6375</v>
      </c>
    </row>
    <row r="3718" spans="1:10" x14ac:dyDescent="0.2">
      <c r="A3718">
        <v>6.6023987139040698E-8</v>
      </c>
      <c r="B3718">
        <v>-0.254070930681082</v>
      </c>
      <c r="C3718">
        <v>0.58199999999999996</v>
      </c>
      <c r="D3718">
        <v>0.71399999999999997</v>
      </c>
      <c r="E3718">
        <v>9.1760137325838805E-4</v>
      </c>
      <c r="F3718">
        <v>7</v>
      </c>
      <c r="G3718" t="s">
        <v>4214</v>
      </c>
      <c r="H3718" t="s">
        <v>4215</v>
      </c>
      <c r="I3718" t="str">
        <f>HYPERLINK("https://zfin.org/ZDB-GENE-030131-925")</f>
        <v>https://zfin.org/ZDB-GENE-030131-925</v>
      </c>
      <c r="J3718" t="s">
        <v>4216</v>
      </c>
    </row>
    <row r="3719" spans="1:10" x14ac:dyDescent="0.2">
      <c r="A3719">
        <v>6.9277392036641002E-8</v>
      </c>
      <c r="B3719">
        <v>0.38841815503719301</v>
      </c>
      <c r="C3719">
        <v>0.222</v>
      </c>
      <c r="D3719">
        <v>0.13700000000000001</v>
      </c>
      <c r="E3719">
        <v>9.6281719452523601E-4</v>
      </c>
      <c r="F3719">
        <v>7</v>
      </c>
      <c r="G3719" t="s">
        <v>6662</v>
      </c>
      <c r="H3719" t="s">
        <v>6663</v>
      </c>
      <c r="I3719" t="str">
        <f>HYPERLINK("https://zfin.org/ZDB-GENE-040426-2445")</f>
        <v>https://zfin.org/ZDB-GENE-040426-2445</v>
      </c>
      <c r="J3719" t="s">
        <v>6664</v>
      </c>
    </row>
    <row r="3720" spans="1:10" x14ac:dyDescent="0.2">
      <c r="A3720">
        <v>3.6320260920970202E-78</v>
      </c>
      <c r="B3720">
        <v>1.0534157429970299</v>
      </c>
      <c r="C3720">
        <v>0.625</v>
      </c>
      <c r="D3720">
        <v>0.216</v>
      </c>
      <c r="E3720">
        <v>5.0477898627964303E-74</v>
      </c>
      <c r="F3720">
        <v>8</v>
      </c>
      <c r="G3720" t="s">
        <v>2763</v>
      </c>
      <c r="H3720" t="s">
        <v>2764</v>
      </c>
      <c r="I3720" t="str">
        <f>HYPERLINK("https://zfin.org/")</f>
        <v>https://zfin.org/</v>
      </c>
    </row>
    <row r="3721" spans="1:10" x14ac:dyDescent="0.2">
      <c r="A3721">
        <v>5.0763819821135301E-67</v>
      </c>
      <c r="B3721">
        <v>1.04349765911981</v>
      </c>
      <c r="C3721">
        <v>0.97599999999999998</v>
      </c>
      <c r="D3721">
        <v>0.879</v>
      </c>
      <c r="E3721">
        <v>7.0551556787413801E-63</v>
      </c>
      <c r="F3721">
        <v>8</v>
      </c>
      <c r="G3721" t="s">
        <v>2259</v>
      </c>
      <c r="H3721" t="s">
        <v>2260</v>
      </c>
      <c r="I3721" t="str">
        <f>HYPERLINK("https://zfin.org/ZDB-GENE-121214-193")</f>
        <v>https://zfin.org/ZDB-GENE-121214-193</v>
      </c>
      <c r="J3721" t="s">
        <v>2261</v>
      </c>
    </row>
    <row r="3722" spans="1:10" x14ac:dyDescent="0.2">
      <c r="A3722">
        <v>2.3976400518221999E-42</v>
      </c>
      <c r="B3722">
        <v>0.47984319591987001</v>
      </c>
      <c r="C3722">
        <v>0.96799999999999997</v>
      </c>
      <c r="D3722">
        <v>0.83</v>
      </c>
      <c r="E3722">
        <v>3.3322401440224897E-38</v>
      </c>
      <c r="F3722">
        <v>8</v>
      </c>
      <c r="G3722" t="s">
        <v>1967</v>
      </c>
      <c r="H3722" t="s">
        <v>1968</v>
      </c>
      <c r="I3722" t="str">
        <f>HYPERLINK("https://zfin.org/ZDB-GENE-070705-532")</f>
        <v>https://zfin.org/ZDB-GENE-070705-532</v>
      </c>
      <c r="J3722" t="s">
        <v>1969</v>
      </c>
    </row>
    <row r="3723" spans="1:10" x14ac:dyDescent="0.2">
      <c r="A3723">
        <v>4.4782622291220498E-42</v>
      </c>
      <c r="B3723">
        <v>0.52228227033589503</v>
      </c>
      <c r="C3723">
        <v>0.93799999999999994</v>
      </c>
      <c r="D3723">
        <v>0.72399999999999998</v>
      </c>
      <c r="E3723">
        <v>6.2238888460338196E-38</v>
      </c>
      <c r="F3723">
        <v>8</v>
      </c>
      <c r="G3723" t="s">
        <v>1701</v>
      </c>
      <c r="H3723" t="s">
        <v>1702</v>
      </c>
      <c r="I3723" t="str">
        <f>HYPERLINK("https://zfin.org/ZDB-GENE-111109-2")</f>
        <v>https://zfin.org/ZDB-GENE-111109-2</v>
      </c>
      <c r="J3723" t="s">
        <v>1703</v>
      </c>
    </row>
    <row r="3724" spans="1:10" x14ac:dyDescent="0.2">
      <c r="A3724">
        <v>6.1977324208174795E-39</v>
      </c>
      <c r="B3724">
        <v>0.41647436555775302</v>
      </c>
      <c r="C3724">
        <v>1</v>
      </c>
      <c r="D3724">
        <v>1</v>
      </c>
      <c r="E3724">
        <v>8.6136085184521401E-35</v>
      </c>
      <c r="F3724">
        <v>8</v>
      </c>
      <c r="G3724" t="s">
        <v>945</v>
      </c>
      <c r="H3724" t="s">
        <v>946</v>
      </c>
      <c r="I3724" t="str">
        <f>HYPERLINK("https://zfin.org/ZDB-GENE-080225-18")</f>
        <v>https://zfin.org/ZDB-GENE-080225-18</v>
      </c>
      <c r="J3724" t="s">
        <v>947</v>
      </c>
    </row>
    <row r="3725" spans="1:10" x14ac:dyDescent="0.2">
      <c r="A3725">
        <v>1.0706180693455201E-35</v>
      </c>
      <c r="B3725">
        <v>0.631053702818413</v>
      </c>
      <c r="C3725">
        <v>0.78800000000000003</v>
      </c>
      <c r="D3725">
        <v>0.59099999999999997</v>
      </c>
      <c r="E3725">
        <v>1.4879449927764001E-31</v>
      </c>
      <c r="F3725">
        <v>8</v>
      </c>
      <c r="G3725" t="s">
        <v>1997</v>
      </c>
      <c r="H3725" t="s">
        <v>1998</v>
      </c>
      <c r="I3725" t="str">
        <f>HYPERLINK("https://zfin.org/ZDB-GENE-030131-9")</f>
        <v>https://zfin.org/ZDB-GENE-030131-9</v>
      </c>
      <c r="J3725" t="s">
        <v>1999</v>
      </c>
    </row>
    <row r="3726" spans="1:10" x14ac:dyDescent="0.2">
      <c r="A3726">
        <v>4.8160965283799804E-35</v>
      </c>
      <c r="B3726">
        <v>0.76144320884113703</v>
      </c>
      <c r="C3726">
        <v>0.44</v>
      </c>
      <c r="D3726">
        <v>0.185</v>
      </c>
      <c r="E3726">
        <v>6.6934109551425003E-31</v>
      </c>
      <c r="F3726">
        <v>8</v>
      </c>
      <c r="G3726" t="s">
        <v>2918</v>
      </c>
      <c r="H3726" t="s">
        <v>2919</v>
      </c>
      <c r="I3726" t="str">
        <f>HYPERLINK("https://zfin.org/ZDB-GENE-040718-440")</f>
        <v>https://zfin.org/ZDB-GENE-040718-440</v>
      </c>
      <c r="J3726" t="s">
        <v>2920</v>
      </c>
    </row>
    <row r="3727" spans="1:10" x14ac:dyDescent="0.2">
      <c r="A3727">
        <v>2.10756457945014E-33</v>
      </c>
      <c r="B3727">
        <v>0.35877676762138</v>
      </c>
      <c r="C3727">
        <v>1</v>
      </c>
      <c r="D3727">
        <v>1</v>
      </c>
      <c r="E3727">
        <v>2.92909325251981E-29</v>
      </c>
      <c r="F3727">
        <v>8</v>
      </c>
      <c r="G3727" t="s">
        <v>1023</v>
      </c>
      <c r="H3727" t="s">
        <v>1024</v>
      </c>
      <c r="I3727" t="str">
        <f>HYPERLINK("https://zfin.org/ZDB-GENE-130603-61")</f>
        <v>https://zfin.org/ZDB-GENE-130603-61</v>
      </c>
      <c r="J3727" t="s">
        <v>1025</v>
      </c>
    </row>
    <row r="3728" spans="1:10" x14ac:dyDescent="0.2">
      <c r="A3728">
        <v>4.2626418081467103E-32</v>
      </c>
      <c r="B3728">
        <v>0.85563503282015796</v>
      </c>
      <c r="C3728">
        <v>0.45600000000000002</v>
      </c>
      <c r="D3728">
        <v>0.20599999999999999</v>
      </c>
      <c r="E3728">
        <v>5.9242195849623003E-28</v>
      </c>
      <c r="F3728">
        <v>8</v>
      </c>
      <c r="G3728" t="s">
        <v>3032</v>
      </c>
      <c r="H3728" t="s">
        <v>3033</v>
      </c>
      <c r="I3728" t="str">
        <f>HYPERLINK("https://zfin.org/ZDB-GENE-041010-89")</f>
        <v>https://zfin.org/ZDB-GENE-041010-89</v>
      </c>
      <c r="J3728" t="s">
        <v>3034</v>
      </c>
    </row>
    <row r="3729" spans="1:10" x14ac:dyDescent="0.2">
      <c r="A3729">
        <v>5.3925195636534203E-32</v>
      </c>
      <c r="B3729">
        <v>0.42230694953150699</v>
      </c>
      <c r="C3729">
        <v>0.98699999999999999</v>
      </c>
      <c r="D3729">
        <v>0.93600000000000005</v>
      </c>
      <c r="E3729">
        <v>7.49452368956552E-28</v>
      </c>
      <c r="F3729">
        <v>8</v>
      </c>
      <c r="G3729" t="s">
        <v>1221</v>
      </c>
      <c r="H3729" t="s">
        <v>1222</v>
      </c>
      <c r="I3729" t="str">
        <f>HYPERLINK("https://zfin.org/ZDB-GENE-040426-1508")</f>
        <v>https://zfin.org/ZDB-GENE-040426-1508</v>
      </c>
      <c r="J3729" t="s">
        <v>1223</v>
      </c>
    </row>
    <row r="3730" spans="1:10" x14ac:dyDescent="0.2">
      <c r="A3730">
        <v>6.6661023509639005E-26</v>
      </c>
      <c r="B3730">
        <v>0.65788036441497399</v>
      </c>
      <c r="C3730">
        <v>0.59199999999999997</v>
      </c>
      <c r="D3730">
        <v>0.38500000000000001</v>
      </c>
      <c r="E3730">
        <v>9.2645490473696301E-22</v>
      </c>
      <c r="F3730">
        <v>8</v>
      </c>
      <c r="G3730" t="s">
        <v>2825</v>
      </c>
      <c r="H3730" t="s">
        <v>2826</v>
      </c>
      <c r="I3730" t="str">
        <f>HYPERLINK("https://zfin.org/ZDB-GENE-030829-65")</f>
        <v>https://zfin.org/ZDB-GENE-030829-65</v>
      </c>
      <c r="J3730" t="s">
        <v>2827</v>
      </c>
    </row>
    <row r="3731" spans="1:10" x14ac:dyDescent="0.2">
      <c r="A3731">
        <v>7.6456816038514295E-26</v>
      </c>
      <c r="B3731">
        <v>0.52034452912971596</v>
      </c>
      <c r="C3731">
        <v>0.81799999999999995</v>
      </c>
      <c r="D3731">
        <v>0.64500000000000002</v>
      </c>
      <c r="E3731">
        <v>1.06259682930327E-21</v>
      </c>
      <c r="F3731">
        <v>8</v>
      </c>
      <c r="G3731" t="s">
        <v>1638</v>
      </c>
      <c r="H3731" t="s">
        <v>1639</v>
      </c>
      <c r="I3731" t="str">
        <f>HYPERLINK("https://zfin.org/ZDB-GENE-010129-1")</f>
        <v>https://zfin.org/ZDB-GENE-010129-1</v>
      </c>
      <c r="J3731" t="s">
        <v>1640</v>
      </c>
    </row>
    <row r="3732" spans="1:10" x14ac:dyDescent="0.2">
      <c r="A3732">
        <v>8.3092035771423195E-26</v>
      </c>
      <c r="B3732">
        <v>-0.45398609305759202</v>
      </c>
      <c r="C3732">
        <v>0.97899999999999998</v>
      </c>
      <c r="D3732">
        <v>0.99099999999999999</v>
      </c>
      <c r="E3732">
        <v>1.15481311315124E-21</v>
      </c>
      <c r="F3732">
        <v>8</v>
      </c>
      <c r="G3732" t="s">
        <v>3498</v>
      </c>
      <c r="H3732" t="s">
        <v>3499</v>
      </c>
      <c r="I3732" t="str">
        <f>HYPERLINK("https://zfin.org/ZDB-GENE-030131-8681")</f>
        <v>https://zfin.org/ZDB-GENE-030131-8681</v>
      </c>
      <c r="J3732" t="s">
        <v>3500</v>
      </c>
    </row>
    <row r="3733" spans="1:10" x14ac:dyDescent="0.2">
      <c r="A3733">
        <v>1.03101647562475E-24</v>
      </c>
      <c r="B3733">
        <v>-0.85693337091465405</v>
      </c>
      <c r="C3733">
        <v>0.23599999999999999</v>
      </c>
      <c r="D3733">
        <v>0.51300000000000001</v>
      </c>
      <c r="E3733">
        <v>1.4329066978232799E-20</v>
      </c>
      <c r="F3733">
        <v>8</v>
      </c>
      <c r="G3733" t="s">
        <v>2319</v>
      </c>
      <c r="H3733" t="s">
        <v>2320</v>
      </c>
      <c r="I3733" t="str">
        <f>HYPERLINK("https://zfin.org/ZDB-GENE-041121-18")</f>
        <v>https://zfin.org/ZDB-GENE-041121-18</v>
      </c>
      <c r="J3733" t="s">
        <v>2321</v>
      </c>
    </row>
    <row r="3734" spans="1:10" x14ac:dyDescent="0.2">
      <c r="A3734">
        <v>7.4435741193501302E-23</v>
      </c>
      <c r="B3734">
        <v>0.37752489971059999</v>
      </c>
      <c r="C3734">
        <v>0.92</v>
      </c>
      <c r="D3734">
        <v>0.84799999999999998</v>
      </c>
      <c r="E3734">
        <v>1.03450793110728E-18</v>
      </c>
      <c r="F3734">
        <v>8</v>
      </c>
      <c r="G3734" t="s">
        <v>1269</v>
      </c>
      <c r="H3734" t="s">
        <v>1270</v>
      </c>
      <c r="I3734" t="str">
        <f>HYPERLINK("https://zfin.org/ZDB-GENE-061111-1")</f>
        <v>https://zfin.org/ZDB-GENE-061111-1</v>
      </c>
      <c r="J3734" t="s">
        <v>1271</v>
      </c>
    </row>
    <row r="3735" spans="1:10" x14ac:dyDescent="0.2">
      <c r="A3735">
        <v>4.0807885220314301E-22</v>
      </c>
      <c r="B3735">
        <v>0.57048952552540699</v>
      </c>
      <c r="C3735">
        <v>0.57599999999999996</v>
      </c>
      <c r="D3735">
        <v>0.38900000000000001</v>
      </c>
      <c r="E3735">
        <v>5.6714798879192796E-18</v>
      </c>
      <c r="F3735">
        <v>8</v>
      </c>
      <c r="G3735" t="s">
        <v>2780</v>
      </c>
      <c r="H3735" t="s">
        <v>2781</v>
      </c>
      <c r="I3735" t="str">
        <f>HYPERLINK("https://zfin.org/ZDB-GENE-030131-5283")</f>
        <v>https://zfin.org/ZDB-GENE-030131-5283</v>
      </c>
      <c r="J3735" t="s">
        <v>2782</v>
      </c>
    </row>
    <row r="3736" spans="1:10" x14ac:dyDescent="0.2">
      <c r="A3736">
        <v>2.28281151239635E-21</v>
      </c>
      <c r="B3736">
        <v>0.41883732681876801</v>
      </c>
      <c r="C3736">
        <v>0.79400000000000004</v>
      </c>
      <c r="D3736">
        <v>0.58399999999999996</v>
      </c>
      <c r="E3736">
        <v>3.1726514399284502E-17</v>
      </c>
      <c r="F3736">
        <v>8</v>
      </c>
      <c r="G3736" t="s">
        <v>1558</v>
      </c>
      <c r="H3736" t="s">
        <v>1559</v>
      </c>
      <c r="I3736" t="str">
        <f>HYPERLINK("https://zfin.org/")</f>
        <v>https://zfin.org/</v>
      </c>
    </row>
    <row r="3737" spans="1:10" x14ac:dyDescent="0.2">
      <c r="A3737">
        <v>4.5062888185264796E-19</v>
      </c>
      <c r="B3737">
        <v>0.68538632815187595</v>
      </c>
      <c r="C3737">
        <v>0.45</v>
      </c>
      <c r="D3737">
        <v>0.254</v>
      </c>
      <c r="E3737">
        <v>6.2628401999881101E-15</v>
      </c>
      <c r="F3737">
        <v>8</v>
      </c>
      <c r="G3737" t="s">
        <v>2864</v>
      </c>
      <c r="H3737" t="s">
        <v>2865</v>
      </c>
      <c r="I3737" t="str">
        <f>HYPERLINK("https://zfin.org/ZDB-GENE-110411-139")</f>
        <v>https://zfin.org/ZDB-GENE-110411-139</v>
      </c>
      <c r="J3737" t="s">
        <v>2866</v>
      </c>
    </row>
    <row r="3738" spans="1:10" x14ac:dyDescent="0.2">
      <c r="A3738">
        <v>6.1603123866840299E-19</v>
      </c>
      <c r="B3738">
        <v>-0.85776282822382599</v>
      </c>
      <c r="C3738">
        <v>0.82</v>
      </c>
      <c r="D3738">
        <v>0.89600000000000002</v>
      </c>
      <c r="E3738">
        <v>8.5616021550134703E-15</v>
      </c>
      <c r="F3738">
        <v>8</v>
      </c>
      <c r="G3738" t="s">
        <v>1599</v>
      </c>
      <c r="H3738" t="s">
        <v>1600</v>
      </c>
      <c r="I3738" t="str">
        <f>HYPERLINK("https://zfin.org/")</f>
        <v>https://zfin.org/</v>
      </c>
      <c r="J3738" t="s">
        <v>1601</v>
      </c>
    </row>
    <row r="3739" spans="1:10" x14ac:dyDescent="0.2">
      <c r="A3739">
        <v>1.02961099185846E-17</v>
      </c>
      <c r="B3739">
        <v>0.513685164374724</v>
      </c>
      <c r="C3739">
        <v>0.217</v>
      </c>
      <c r="D3739">
        <v>8.2000000000000003E-2</v>
      </c>
      <c r="E3739">
        <v>1.43095335648488E-13</v>
      </c>
      <c r="F3739">
        <v>8</v>
      </c>
      <c r="G3739" t="s">
        <v>6665</v>
      </c>
      <c r="H3739" t="s">
        <v>6666</v>
      </c>
      <c r="I3739" t="str">
        <f>HYPERLINK("https://zfin.org/ZDB-GENE-030616-624")</f>
        <v>https://zfin.org/ZDB-GENE-030616-624</v>
      </c>
      <c r="J3739" t="s">
        <v>6667</v>
      </c>
    </row>
    <row r="3740" spans="1:10" x14ac:dyDescent="0.2">
      <c r="A3740">
        <v>3.9840477168108498E-16</v>
      </c>
      <c r="B3740">
        <v>-0.60054959716178402</v>
      </c>
      <c r="C3740">
        <v>0.255</v>
      </c>
      <c r="D3740">
        <v>0.49</v>
      </c>
      <c r="E3740">
        <v>5.5370295168237199E-12</v>
      </c>
      <c r="F3740">
        <v>8</v>
      </c>
      <c r="G3740" t="s">
        <v>2607</v>
      </c>
      <c r="H3740" t="s">
        <v>2608</v>
      </c>
      <c r="I3740" t="str">
        <f>HYPERLINK("https://zfin.org/ZDB-GENE-030911-2")</f>
        <v>https://zfin.org/ZDB-GENE-030911-2</v>
      </c>
      <c r="J3740" t="s">
        <v>2609</v>
      </c>
    </row>
    <row r="3741" spans="1:10" x14ac:dyDescent="0.2">
      <c r="A3741">
        <v>4.7123910604549501E-16</v>
      </c>
      <c r="B3741">
        <v>0.27351732375353299</v>
      </c>
      <c r="C3741">
        <v>0.96199999999999997</v>
      </c>
      <c r="D3741">
        <v>0.92400000000000004</v>
      </c>
      <c r="E3741">
        <v>6.5492810958202899E-12</v>
      </c>
      <c r="F3741">
        <v>8</v>
      </c>
      <c r="G3741" t="s">
        <v>1305</v>
      </c>
      <c r="H3741" t="s">
        <v>1306</v>
      </c>
      <c r="I3741" t="str">
        <f>HYPERLINK("https://zfin.org/ZDB-GENE-030131-8304")</f>
        <v>https://zfin.org/ZDB-GENE-030131-8304</v>
      </c>
      <c r="J3741" t="s">
        <v>1307</v>
      </c>
    </row>
    <row r="3742" spans="1:10" x14ac:dyDescent="0.2">
      <c r="A3742">
        <v>6.1502582879170798E-16</v>
      </c>
      <c r="B3742">
        <v>-0.62316478491003102</v>
      </c>
      <c r="C3742">
        <v>0.877</v>
      </c>
      <c r="D3742">
        <v>0.92</v>
      </c>
      <c r="E3742">
        <v>8.5476289685471602E-12</v>
      </c>
      <c r="F3742">
        <v>8</v>
      </c>
      <c r="G3742" t="s">
        <v>3631</v>
      </c>
      <c r="H3742" t="s">
        <v>3632</v>
      </c>
      <c r="I3742" t="str">
        <f>HYPERLINK("https://zfin.org/ZDB-GENE-051120-126")</f>
        <v>https://zfin.org/ZDB-GENE-051120-126</v>
      </c>
      <c r="J3742" t="s">
        <v>3633</v>
      </c>
    </row>
    <row r="3743" spans="1:10" x14ac:dyDescent="0.2">
      <c r="A3743">
        <v>6.4993368952678997E-16</v>
      </c>
      <c r="B3743">
        <v>-0.86712685555868496</v>
      </c>
      <c r="C3743">
        <v>0.19800000000000001</v>
      </c>
      <c r="D3743">
        <v>0.40200000000000002</v>
      </c>
      <c r="E3743">
        <v>9.0327784170433292E-12</v>
      </c>
      <c r="F3743">
        <v>8</v>
      </c>
      <c r="G3743" t="s">
        <v>984</v>
      </c>
      <c r="H3743" t="s">
        <v>985</v>
      </c>
      <c r="I3743" t="str">
        <f>HYPERLINK("https://zfin.org/ZDB-GENE-040718-162")</f>
        <v>https://zfin.org/ZDB-GENE-040718-162</v>
      </c>
      <c r="J3743" t="s">
        <v>986</v>
      </c>
    </row>
    <row r="3744" spans="1:10" x14ac:dyDescent="0.2">
      <c r="A3744">
        <v>8.3760230338050901E-16</v>
      </c>
      <c r="B3744">
        <v>-0.75373874808116004</v>
      </c>
      <c r="C3744">
        <v>0.193</v>
      </c>
      <c r="D3744">
        <v>0.40400000000000003</v>
      </c>
      <c r="E3744">
        <v>1.1640996812382301E-11</v>
      </c>
      <c r="F3744">
        <v>8</v>
      </c>
      <c r="G3744" t="s">
        <v>2634</v>
      </c>
      <c r="H3744" t="s">
        <v>2635</v>
      </c>
      <c r="I3744" t="str">
        <f>HYPERLINK("https://zfin.org/ZDB-GENE-011212-6")</f>
        <v>https://zfin.org/ZDB-GENE-011212-6</v>
      </c>
      <c r="J3744" t="s">
        <v>2636</v>
      </c>
    </row>
    <row r="3745" spans="1:10" x14ac:dyDescent="0.2">
      <c r="A3745">
        <v>2.63350032742693E-15</v>
      </c>
      <c r="B3745">
        <v>0.49427429551681001</v>
      </c>
      <c r="C3745">
        <v>0.20100000000000001</v>
      </c>
      <c r="D3745">
        <v>8.1000000000000003E-2</v>
      </c>
      <c r="E3745">
        <v>3.6600387550579402E-11</v>
      </c>
      <c r="F3745">
        <v>8</v>
      </c>
      <c r="G3745" t="s">
        <v>6668</v>
      </c>
      <c r="H3745" t="s">
        <v>6669</v>
      </c>
      <c r="I3745" t="str">
        <f>HYPERLINK("https://zfin.org/ZDB-GENE-991019-5")</f>
        <v>https://zfin.org/ZDB-GENE-991019-5</v>
      </c>
      <c r="J3745" t="s">
        <v>6670</v>
      </c>
    </row>
    <row r="3746" spans="1:10" x14ac:dyDescent="0.2">
      <c r="A3746">
        <v>4.94543684309391E-15</v>
      </c>
      <c r="B3746">
        <v>-0.62297070083426898</v>
      </c>
      <c r="C3746">
        <v>0.126</v>
      </c>
      <c r="D3746">
        <v>0.32500000000000001</v>
      </c>
      <c r="E3746">
        <v>6.8731681245319202E-11</v>
      </c>
      <c r="F3746">
        <v>8</v>
      </c>
      <c r="G3746" t="s">
        <v>2673</v>
      </c>
      <c r="H3746" t="s">
        <v>2674</v>
      </c>
      <c r="I3746" t="str">
        <f>HYPERLINK("https://zfin.org/ZDB-GENE-061103-283")</f>
        <v>https://zfin.org/ZDB-GENE-061103-283</v>
      </c>
      <c r="J3746" t="s">
        <v>2675</v>
      </c>
    </row>
    <row r="3747" spans="1:10" x14ac:dyDescent="0.2">
      <c r="A3747">
        <v>1.0904227767225301E-14</v>
      </c>
      <c r="B3747">
        <v>-0.73894416196724999</v>
      </c>
      <c r="C3747">
        <v>0.13400000000000001</v>
      </c>
      <c r="D3747">
        <v>0.33</v>
      </c>
      <c r="E3747">
        <v>1.5154695750889801E-10</v>
      </c>
      <c r="F3747">
        <v>8</v>
      </c>
      <c r="G3747" t="s">
        <v>2739</v>
      </c>
      <c r="H3747" t="s">
        <v>2740</v>
      </c>
      <c r="I3747" t="str">
        <f>HYPERLINK("https://zfin.org/ZDB-GENE-051030-98")</f>
        <v>https://zfin.org/ZDB-GENE-051030-98</v>
      </c>
      <c r="J3747" t="s">
        <v>2741</v>
      </c>
    </row>
    <row r="3748" spans="1:10" x14ac:dyDescent="0.2">
      <c r="A3748">
        <v>4.4136373069278398E-13</v>
      </c>
      <c r="B3748">
        <v>0.25797254107999401</v>
      </c>
      <c r="C3748">
        <v>0.92800000000000005</v>
      </c>
      <c r="D3748">
        <v>0.878</v>
      </c>
      <c r="E3748">
        <v>6.1340731291683098E-9</v>
      </c>
      <c r="F3748">
        <v>8</v>
      </c>
      <c r="G3748" t="s">
        <v>1344</v>
      </c>
      <c r="H3748" t="s">
        <v>1345</v>
      </c>
      <c r="I3748" t="str">
        <f>HYPERLINK("https://zfin.org/ZDB-GENE-141222-6")</f>
        <v>https://zfin.org/ZDB-GENE-141222-6</v>
      </c>
      <c r="J3748" t="s">
        <v>1346</v>
      </c>
    </row>
    <row r="3749" spans="1:10" x14ac:dyDescent="0.2">
      <c r="A3749">
        <v>5.1728636449013004E-13</v>
      </c>
      <c r="B3749">
        <v>0.25144830157303499</v>
      </c>
      <c r="C3749">
        <v>0.91700000000000004</v>
      </c>
      <c r="D3749">
        <v>0.876</v>
      </c>
      <c r="E3749">
        <v>7.1892458936838297E-9</v>
      </c>
      <c r="F3749">
        <v>8</v>
      </c>
      <c r="G3749" t="s">
        <v>1179</v>
      </c>
      <c r="H3749" t="s">
        <v>1180</v>
      </c>
      <c r="I3749" t="str">
        <f>HYPERLINK("https://zfin.org/ZDB-GENE-030410-1")</f>
        <v>https://zfin.org/ZDB-GENE-030410-1</v>
      </c>
      <c r="J3749" t="s">
        <v>1181</v>
      </c>
    </row>
    <row r="3750" spans="1:10" x14ac:dyDescent="0.2">
      <c r="A3750">
        <v>8.2094841740730396E-13</v>
      </c>
      <c r="B3750">
        <v>-0.69857885705606404</v>
      </c>
      <c r="C3750">
        <v>0.35899999999999999</v>
      </c>
      <c r="D3750">
        <v>0.55400000000000005</v>
      </c>
      <c r="E3750">
        <v>1.14095411051267E-8</v>
      </c>
      <c r="F3750">
        <v>8</v>
      </c>
      <c r="G3750" t="s">
        <v>3062</v>
      </c>
      <c r="H3750" t="s">
        <v>3063</v>
      </c>
      <c r="I3750" t="str">
        <f>HYPERLINK("https://zfin.org/ZDB-GENE-010502-1")</f>
        <v>https://zfin.org/ZDB-GENE-010502-1</v>
      </c>
      <c r="J3750" t="s">
        <v>3064</v>
      </c>
    </row>
    <row r="3751" spans="1:10" x14ac:dyDescent="0.2">
      <c r="A3751">
        <v>8.8101654806616597E-13</v>
      </c>
      <c r="B3751">
        <v>-0.45910953887079298</v>
      </c>
      <c r="C3751">
        <v>4.8000000000000001E-2</v>
      </c>
      <c r="D3751">
        <v>0.20399999999999999</v>
      </c>
      <c r="E3751">
        <v>1.2244367985023601E-8</v>
      </c>
      <c r="F3751">
        <v>8</v>
      </c>
      <c r="G3751" t="s">
        <v>816</v>
      </c>
      <c r="H3751" t="s">
        <v>817</v>
      </c>
      <c r="I3751" t="str">
        <f>HYPERLINK("https://zfin.org/ZDB-GENE-050417-175")</f>
        <v>https://zfin.org/ZDB-GENE-050417-175</v>
      </c>
      <c r="J3751" t="s">
        <v>818</v>
      </c>
    </row>
    <row r="3752" spans="1:10" x14ac:dyDescent="0.2">
      <c r="A3752">
        <v>7.06328393405732E-12</v>
      </c>
      <c r="B3752">
        <v>0.367986758865541</v>
      </c>
      <c r="C3752">
        <v>0.57099999999999995</v>
      </c>
      <c r="D3752">
        <v>0.42499999999999999</v>
      </c>
      <c r="E3752">
        <v>9.8165520115528703E-8</v>
      </c>
      <c r="F3752">
        <v>8</v>
      </c>
      <c r="G3752" t="s">
        <v>2496</v>
      </c>
      <c r="H3752" t="s">
        <v>2497</v>
      </c>
      <c r="I3752" t="str">
        <f>HYPERLINK("https://zfin.org/ZDB-GENE-031002-1")</f>
        <v>https://zfin.org/ZDB-GENE-031002-1</v>
      </c>
      <c r="J3752" t="s">
        <v>2498</v>
      </c>
    </row>
    <row r="3753" spans="1:10" x14ac:dyDescent="0.2">
      <c r="A3753">
        <v>1.44680065866588E-11</v>
      </c>
      <c r="B3753">
        <v>0.43402912199000299</v>
      </c>
      <c r="C3753">
        <v>0.34300000000000003</v>
      </c>
      <c r="D3753">
        <v>0.20799999999999999</v>
      </c>
      <c r="E3753">
        <v>2.01076355541384E-7</v>
      </c>
      <c r="F3753">
        <v>8</v>
      </c>
      <c r="G3753" t="s">
        <v>2852</v>
      </c>
      <c r="H3753" t="s">
        <v>2853</v>
      </c>
      <c r="I3753" t="str">
        <f>HYPERLINK("https://zfin.org/ZDB-GENE-041130-1")</f>
        <v>https://zfin.org/ZDB-GENE-041130-1</v>
      </c>
      <c r="J3753" t="s">
        <v>2854</v>
      </c>
    </row>
    <row r="3754" spans="1:10" x14ac:dyDescent="0.2">
      <c r="A3754">
        <v>1.56545821280522E-11</v>
      </c>
      <c r="B3754">
        <v>-0.49449788166213099</v>
      </c>
      <c r="C3754">
        <v>0.46100000000000002</v>
      </c>
      <c r="D3754">
        <v>0.63500000000000001</v>
      </c>
      <c r="E3754">
        <v>2.1756738241566899E-7</v>
      </c>
      <c r="F3754">
        <v>8</v>
      </c>
      <c r="G3754" t="s">
        <v>2873</v>
      </c>
      <c r="H3754" t="s">
        <v>2874</v>
      </c>
      <c r="I3754" t="str">
        <f>HYPERLINK("https://zfin.org/ZDB-GENE-050506-24")</f>
        <v>https://zfin.org/ZDB-GENE-050506-24</v>
      </c>
      <c r="J3754" t="s">
        <v>2875</v>
      </c>
    </row>
    <row r="3755" spans="1:10" x14ac:dyDescent="0.2">
      <c r="A3755">
        <v>2.09339930400084E-11</v>
      </c>
      <c r="B3755">
        <v>-0.45077981005054302</v>
      </c>
      <c r="C3755">
        <v>0.52800000000000002</v>
      </c>
      <c r="D3755">
        <v>0.66</v>
      </c>
      <c r="E3755">
        <v>2.9094063527003703E-7</v>
      </c>
      <c r="F3755">
        <v>8</v>
      </c>
      <c r="G3755" t="s">
        <v>996</v>
      </c>
      <c r="H3755" t="s">
        <v>997</v>
      </c>
      <c r="I3755" t="str">
        <f>HYPERLINK("https://zfin.org/ZDB-GENE-030131-5590")</f>
        <v>https://zfin.org/ZDB-GENE-030131-5590</v>
      </c>
      <c r="J3755" t="s">
        <v>998</v>
      </c>
    </row>
    <row r="3756" spans="1:10" x14ac:dyDescent="0.2">
      <c r="A3756">
        <v>2.87823530952905E-11</v>
      </c>
      <c r="B3756">
        <v>0.44003931229277099</v>
      </c>
      <c r="C3756">
        <v>0.47499999999999998</v>
      </c>
      <c r="D3756">
        <v>0.34699999999999998</v>
      </c>
      <c r="E3756">
        <v>4.0001714331834697E-7</v>
      </c>
      <c r="F3756">
        <v>8</v>
      </c>
      <c r="G3756" t="s">
        <v>5826</v>
      </c>
      <c r="H3756" t="s">
        <v>5827</v>
      </c>
      <c r="I3756" t="str">
        <f>HYPERLINK("https://zfin.org/ZDB-GENE-040123-1")</f>
        <v>https://zfin.org/ZDB-GENE-040123-1</v>
      </c>
      <c r="J3756" t="s">
        <v>5828</v>
      </c>
    </row>
    <row r="3757" spans="1:10" x14ac:dyDescent="0.2">
      <c r="A3757">
        <v>3.1725928623876903E-11</v>
      </c>
      <c r="B3757">
        <v>-0.37363801974002703</v>
      </c>
      <c r="C3757">
        <v>0.35399999999999998</v>
      </c>
      <c r="D3757">
        <v>0.55100000000000005</v>
      </c>
      <c r="E3757">
        <v>4.4092695601464201E-7</v>
      </c>
      <c r="F3757">
        <v>8</v>
      </c>
      <c r="G3757" t="s">
        <v>5120</v>
      </c>
      <c r="H3757" t="s">
        <v>5121</v>
      </c>
      <c r="I3757" t="str">
        <f>HYPERLINK("https://zfin.org/ZDB-GENE-030521-13")</f>
        <v>https://zfin.org/ZDB-GENE-030521-13</v>
      </c>
      <c r="J3757" t="s">
        <v>5122</v>
      </c>
    </row>
    <row r="3758" spans="1:10" x14ac:dyDescent="0.2">
      <c r="A3758">
        <v>3.8233146990656098E-11</v>
      </c>
      <c r="B3758">
        <v>0.47751548115189701</v>
      </c>
      <c r="C3758">
        <v>0.48299999999999998</v>
      </c>
      <c r="D3758">
        <v>0.36799999999999999</v>
      </c>
      <c r="E3758">
        <v>5.3136427687613797E-7</v>
      </c>
      <c r="F3758">
        <v>8</v>
      </c>
      <c r="G3758" t="s">
        <v>6671</v>
      </c>
      <c r="H3758" t="s">
        <v>6672</v>
      </c>
      <c r="I3758" t="str">
        <f>HYPERLINK("https://zfin.org/ZDB-GENE-040426-1304")</f>
        <v>https://zfin.org/ZDB-GENE-040426-1304</v>
      </c>
      <c r="J3758" t="s">
        <v>6673</v>
      </c>
    </row>
    <row r="3759" spans="1:10" x14ac:dyDescent="0.2">
      <c r="A3759">
        <v>5.1043457535243401E-11</v>
      </c>
      <c r="B3759">
        <v>-0.49402305943339803</v>
      </c>
      <c r="C3759">
        <v>7.8E-2</v>
      </c>
      <c r="D3759">
        <v>0.22500000000000001</v>
      </c>
      <c r="E3759">
        <v>7.0940197282481304E-7</v>
      </c>
      <c r="F3759">
        <v>8</v>
      </c>
      <c r="G3759" t="s">
        <v>2754</v>
      </c>
      <c r="H3759" t="s">
        <v>2755</v>
      </c>
      <c r="I3759" t="str">
        <f>HYPERLINK("https://zfin.org/ZDB-GENE-030131-3481")</f>
        <v>https://zfin.org/ZDB-GENE-030131-3481</v>
      </c>
      <c r="J3759" t="s">
        <v>2756</v>
      </c>
    </row>
    <row r="3760" spans="1:10" x14ac:dyDescent="0.2">
      <c r="A3760">
        <v>6.0960591750050894E-11</v>
      </c>
      <c r="B3760">
        <v>0.41767645819281302</v>
      </c>
      <c r="C3760">
        <v>0.34899999999999998</v>
      </c>
      <c r="D3760">
        <v>0.217</v>
      </c>
      <c r="E3760">
        <v>8.4723030414220703E-7</v>
      </c>
      <c r="F3760">
        <v>8</v>
      </c>
      <c r="G3760" t="s">
        <v>6644</v>
      </c>
      <c r="H3760" t="s">
        <v>6645</v>
      </c>
      <c r="I3760" t="str">
        <f>HYPERLINK("https://zfin.org/ZDB-GENE-040801-215")</f>
        <v>https://zfin.org/ZDB-GENE-040801-215</v>
      </c>
      <c r="J3760" t="s">
        <v>6646</v>
      </c>
    </row>
    <row r="3761" spans="1:10" x14ac:dyDescent="0.2">
      <c r="A3761">
        <v>1.02874331210534E-10</v>
      </c>
      <c r="B3761">
        <v>-0.96321165930826003</v>
      </c>
      <c r="C3761">
        <v>0.13100000000000001</v>
      </c>
      <c r="D3761">
        <v>0.28199999999999997</v>
      </c>
      <c r="E3761">
        <v>1.4297474551640101E-6</v>
      </c>
      <c r="F3761">
        <v>8</v>
      </c>
      <c r="G3761" t="s">
        <v>2948</v>
      </c>
      <c r="H3761" t="s">
        <v>2949</v>
      </c>
      <c r="I3761" t="str">
        <f>HYPERLINK("https://zfin.org/ZDB-GENE-031006-14")</f>
        <v>https://zfin.org/ZDB-GENE-031006-14</v>
      </c>
      <c r="J3761" t="s">
        <v>2950</v>
      </c>
    </row>
    <row r="3762" spans="1:10" x14ac:dyDescent="0.2">
      <c r="A3762">
        <v>1.4195965635932299E-10</v>
      </c>
      <c r="B3762">
        <v>-0.51481472570425202</v>
      </c>
      <c r="C3762">
        <v>0.30299999999999999</v>
      </c>
      <c r="D3762">
        <v>0.48499999999999999</v>
      </c>
      <c r="E3762">
        <v>1.97295530408187E-6</v>
      </c>
      <c r="F3762">
        <v>8</v>
      </c>
      <c r="G3762" t="s">
        <v>6361</v>
      </c>
      <c r="H3762" t="s">
        <v>6362</v>
      </c>
      <c r="I3762" t="str">
        <f>HYPERLINK("https://zfin.org/ZDB-GENE-030131-7859")</f>
        <v>https://zfin.org/ZDB-GENE-030131-7859</v>
      </c>
      <c r="J3762" t="s">
        <v>6363</v>
      </c>
    </row>
    <row r="3763" spans="1:10" x14ac:dyDescent="0.2">
      <c r="A3763">
        <v>1.6523613106189401E-10</v>
      </c>
      <c r="B3763">
        <v>-0.79296932847623702</v>
      </c>
      <c r="C3763">
        <v>0.18</v>
      </c>
      <c r="D3763">
        <v>0.34</v>
      </c>
      <c r="E3763">
        <v>2.2964517494981999E-6</v>
      </c>
      <c r="F3763">
        <v>8</v>
      </c>
      <c r="G3763" t="s">
        <v>2867</v>
      </c>
      <c r="H3763" t="s">
        <v>2868</v>
      </c>
      <c r="I3763" t="str">
        <f>HYPERLINK("https://zfin.org/ZDB-GENE-110411-258")</f>
        <v>https://zfin.org/ZDB-GENE-110411-258</v>
      </c>
      <c r="J3763" t="s">
        <v>2869</v>
      </c>
    </row>
    <row r="3764" spans="1:10" x14ac:dyDescent="0.2">
      <c r="A3764">
        <v>5.2523857207756397E-10</v>
      </c>
      <c r="B3764">
        <v>-0.46652669915949802</v>
      </c>
      <c r="C3764">
        <v>6.7000000000000004E-2</v>
      </c>
      <c r="D3764">
        <v>0.20200000000000001</v>
      </c>
      <c r="E3764">
        <v>7.2997656747339902E-6</v>
      </c>
      <c r="F3764">
        <v>8</v>
      </c>
      <c r="G3764" t="s">
        <v>2957</v>
      </c>
      <c r="H3764" t="s">
        <v>2958</v>
      </c>
      <c r="I3764" t="str">
        <f>HYPERLINK("https://zfin.org/ZDB-GENE-141212-376")</f>
        <v>https://zfin.org/ZDB-GENE-141212-376</v>
      </c>
      <c r="J3764" t="s">
        <v>2959</v>
      </c>
    </row>
    <row r="3765" spans="1:10" x14ac:dyDescent="0.2">
      <c r="A3765">
        <v>5.3346530795572798E-10</v>
      </c>
      <c r="B3765">
        <v>0.40752111805017199</v>
      </c>
      <c r="C3765">
        <v>0.437</v>
      </c>
      <c r="D3765">
        <v>0.31</v>
      </c>
      <c r="E3765">
        <v>7.4141008499686998E-6</v>
      </c>
      <c r="F3765">
        <v>8</v>
      </c>
      <c r="G3765" t="s">
        <v>5045</v>
      </c>
      <c r="H3765" t="s">
        <v>5046</v>
      </c>
      <c r="I3765" t="str">
        <f>HYPERLINK("https://zfin.org/ZDB-GENE-050208-573")</f>
        <v>https://zfin.org/ZDB-GENE-050208-573</v>
      </c>
      <c r="J3765" t="s">
        <v>5047</v>
      </c>
    </row>
    <row r="3766" spans="1:10" x14ac:dyDescent="0.2">
      <c r="A3766">
        <v>5.48369679388939E-10</v>
      </c>
      <c r="B3766">
        <v>-0.37966034479175398</v>
      </c>
      <c r="C3766">
        <v>0.17399999999999999</v>
      </c>
      <c r="D3766">
        <v>0.34300000000000003</v>
      </c>
      <c r="E3766">
        <v>7.6212418041474697E-6</v>
      </c>
      <c r="F3766">
        <v>8</v>
      </c>
      <c r="G3766" t="s">
        <v>1543</v>
      </c>
      <c r="H3766" t="s">
        <v>1544</v>
      </c>
      <c r="I3766" t="str">
        <f>HYPERLINK("https://zfin.org/ZDB-GENE-050320-132")</f>
        <v>https://zfin.org/ZDB-GENE-050320-132</v>
      </c>
      <c r="J3766" t="s">
        <v>1545</v>
      </c>
    </row>
    <row r="3767" spans="1:10" x14ac:dyDescent="0.2">
      <c r="A3767">
        <v>7.7208238451695895E-10</v>
      </c>
      <c r="B3767">
        <v>0.25961368523259298</v>
      </c>
      <c r="C3767">
        <v>0.85799999999999998</v>
      </c>
      <c r="D3767">
        <v>0.82499999999999996</v>
      </c>
      <c r="E3767">
        <v>1.07304009800167E-5</v>
      </c>
      <c r="F3767">
        <v>8</v>
      </c>
      <c r="G3767" t="s">
        <v>1677</v>
      </c>
      <c r="H3767" t="s">
        <v>1678</v>
      </c>
      <c r="I3767" t="str">
        <f>HYPERLINK("https://zfin.org/ZDB-GENE-030410-4")</f>
        <v>https://zfin.org/ZDB-GENE-030410-4</v>
      </c>
      <c r="J3767" t="s">
        <v>1679</v>
      </c>
    </row>
    <row r="3768" spans="1:10" x14ac:dyDescent="0.2">
      <c r="A3768">
        <v>8.4084817260053897E-10</v>
      </c>
      <c r="B3768">
        <v>-0.43499576810637602</v>
      </c>
      <c r="C3768">
        <v>5.0999999999999997E-2</v>
      </c>
      <c r="D3768">
        <v>0.17599999999999999</v>
      </c>
      <c r="E3768">
        <v>1.16861079028023E-5</v>
      </c>
      <c r="F3768">
        <v>8</v>
      </c>
      <c r="G3768" t="s">
        <v>6589</v>
      </c>
      <c r="H3768" t="s">
        <v>6590</v>
      </c>
      <c r="I3768" t="str">
        <f>HYPERLINK("https://zfin.org/ZDB-GENE-100922-65")</f>
        <v>https://zfin.org/ZDB-GENE-100922-65</v>
      </c>
      <c r="J3768" t="s">
        <v>6591</v>
      </c>
    </row>
    <row r="3769" spans="1:10" x14ac:dyDescent="0.2">
      <c r="A3769">
        <v>9.6591500698577392E-10</v>
      </c>
      <c r="B3769">
        <v>0.36289084762671803</v>
      </c>
      <c r="C3769">
        <v>0.182</v>
      </c>
      <c r="D3769">
        <v>8.5999999999999993E-2</v>
      </c>
      <c r="E3769">
        <v>1.34242867670883E-5</v>
      </c>
      <c r="F3769">
        <v>8</v>
      </c>
      <c r="G3769" t="s">
        <v>3234</v>
      </c>
      <c r="H3769" t="s">
        <v>3235</v>
      </c>
      <c r="I3769" t="str">
        <f>HYPERLINK("https://zfin.org/ZDB-GENE-020102-1")</f>
        <v>https://zfin.org/ZDB-GENE-020102-1</v>
      </c>
      <c r="J3769" t="s">
        <v>3236</v>
      </c>
    </row>
    <row r="3770" spans="1:10" x14ac:dyDescent="0.2">
      <c r="A3770">
        <v>1.2064194758269601E-9</v>
      </c>
      <c r="B3770">
        <v>-0.56677788224050996</v>
      </c>
      <c r="C3770">
        <v>1.2999999999999999E-2</v>
      </c>
      <c r="D3770">
        <v>0.115</v>
      </c>
      <c r="E3770">
        <v>1.67668178750431E-5</v>
      </c>
      <c r="F3770">
        <v>8</v>
      </c>
      <c r="G3770" t="s">
        <v>390</v>
      </c>
      <c r="H3770" t="s">
        <v>391</v>
      </c>
      <c r="I3770" t="str">
        <f>HYPERLINK("https://zfin.org/ZDB-GENE-061114-1")</f>
        <v>https://zfin.org/ZDB-GENE-061114-1</v>
      </c>
      <c r="J3770" t="s">
        <v>392</v>
      </c>
    </row>
    <row r="3771" spans="1:10" x14ac:dyDescent="0.2">
      <c r="A3771">
        <v>1.4275613436203999E-9</v>
      </c>
      <c r="B3771">
        <v>0.323863455932763</v>
      </c>
      <c r="C3771">
        <v>0.158</v>
      </c>
      <c r="D3771">
        <v>7.0999999999999994E-2</v>
      </c>
      <c r="E3771">
        <v>1.9840247553636302E-5</v>
      </c>
      <c r="F3771">
        <v>8</v>
      </c>
      <c r="G3771" t="s">
        <v>6674</v>
      </c>
      <c r="H3771" t="s">
        <v>6675</v>
      </c>
      <c r="I3771" t="str">
        <f>HYPERLINK("https://zfin.org/ZDB-GENE-041212-82")</f>
        <v>https://zfin.org/ZDB-GENE-041212-82</v>
      </c>
      <c r="J3771" t="s">
        <v>6676</v>
      </c>
    </row>
    <row r="3772" spans="1:10" x14ac:dyDescent="0.2">
      <c r="A3772">
        <v>2.0737847172873598E-9</v>
      </c>
      <c r="B3772">
        <v>-0.42981902070917899</v>
      </c>
      <c r="C3772">
        <v>1.6E-2</v>
      </c>
      <c r="D3772">
        <v>0.11899999999999999</v>
      </c>
      <c r="E3772">
        <v>2.88214600008597E-5</v>
      </c>
      <c r="F3772">
        <v>8</v>
      </c>
      <c r="G3772" t="s">
        <v>2912</v>
      </c>
      <c r="H3772" t="s">
        <v>2913</v>
      </c>
      <c r="I3772" t="str">
        <f>HYPERLINK("https://zfin.org/ZDB-GENE-030131-5416")</f>
        <v>https://zfin.org/ZDB-GENE-030131-5416</v>
      </c>
      <c r="J3772" t="s">
        <v>2914</v>
      </c>
    </row>
    <row r="3773" spans="1:10" x14ac:dyDescent="0.2">
      <c r="A3773">
        <v>2.1474484101911402E-9</v>
      </c>
      <c r="B3773">
        <v>-0.53606282498747204</v>
      </c>
      <c r="C3773">
        <v>0.115</v>
      </c>
      <c r="D3773">
        <v>0.25600000000000001</v>
      </c>
      <c r="E3773">
        <v>2.98452380048364E-5</v>
      </c>
      <c r="F3773">
        <v>8</v>
      </c>
      <c r="G3773" t="s">
        <v>2801</v>
      </c>
      <c r="H3773" t="s">
        <v>2802</v>
      </c>
      <c r="I3773" t="str">
        <f>HYPERLINK("https://zfin.org/ZDB-GENE-980526-112")</f>
        <v>https://zfin.org/ZDB-GENE-980526-112</v>
      </c>
      <c r="J3773" t="s">
        <v>2803</v>
      </c>
    </row>
    <row r="3774" spans="1:10" x14ac:dyDescent="0.2">
      <c r="A3774">
        <v>2.1543550283215401E-9</v>
      </c>
      <c r="B3774">
        <v>-0.37995876138145901</v>
      </c>
      <c r="C3774">
        <v>0.748</v>
      </c>
      <c r="D3774">
        <v>0.83299999999999996</v>
      </c>
      <c r="E3774">
        <v>2.9941226183612801E-5</v>
      </c>
      <c r="F3774">
        <v>8</v>
      </c>
      <c r="G3774" t="s">
        <v>1519</v>
      </c>
      <c r="H3774" t="s">
        <v>1520</v>
      </c>
      <c r="I3774" t="str">
        <f>HYPERLINK("https://zfin.org/ZDB-GENE-990715-6")</f>
        <v>https://zfin.org/ZDB-GENE-990715-6</v>
      </c>
      <c r="J3774" t="s">
        <v>1521</v>
      </c>
    </row>
    <row r="3775" spans="1:10" x14ac:dyDescent="0.2">
      <c r="A3775">
        <v>2.6916186457011099E-9</v>
      </c>
      <c r="B3775">
        <v>-0.33578171544386198</v>
      </c>
      <c r="C3775">
        <v>0.17199999999999999</v>
      </c>
      <c r="D3775">
        <v>0.33900000000000002</v>
      </c>
      <c r="E3775">
        <v>3.74081159379541E-5</v>
      </c>
      <c r="F3775">
        <v>8</v>
      </c>
      <c r="G3775" t="s">
        <v>2951</v>
      </c>
      <c r="H3775" t="s">
        <v>2952</v>
      </c>
      <c r="I3775" t="str">
        <f>HYPERLINK("https://zfin.org/ZDB-GENE-040426-2114")</f>
        <v>https://zfin.org/ZDB-GENE-040426-2114</v>
      </c>
      <c r="J3775" t="s">
        <v>2953</v>
      </c>
    </row>
    <row r="3776" spans="1:10" x14ac:dyDescent="0.2">
      <c r="A3776">
        <v>3.3717639417043202E-9</v>
      </c>
      <c r="B3776">
        <v>0.301130217061924</v>
      </c>
      <c r="C3776">
        <v>0.60899999999999999</v>
      </c>
      <c r="D3776">
        <v>0.49399999999999999</v>
      </c>
      <c r="E3776">
        <v>4.6860775261806597E-5</v>
      </c>
      <c r="F3776">
        <v>8</v>
      </c>
      <c r="G3776" t="s">
        <v>2745</v>
      </c>
      <c r="H3776" t="s">
        <v>2746</v>
      </c>
      <c r="I3776" t="str">
        <f>HYPERLINK("https://zfin.org/ZDB-GENE-041210-191")</f>
        <v>https://zfin.org/ZDB-GENE-041210-191</v>
      </c>
      <c r="J3776" t="s">
        <v>2747</v>
      </c>
    </row>
    <row r="3777" spans="1:10" x14ac:dyDescent="0.2">
      <c r="A3777">
        <v>3.5978573324468099E-9</v>
      </c>
      <c r="B3777">
        <v>-1.2490576214284099</v>
      </c>
      <c r="C3777">
        <v>0.997</v>
      </c>
      <c r="D3777">
        <v>0.998</v>
      </c>
      <c r="E3777">
        <v>5.0003021206345798E-5</v>
      </c>
      <c r="F3777">
        <v>8</v>
      </c>
      <c r="G3777" t="s">
        <v>752</v>
      </c>
      <c r="H3777" t="s">
        <v>753</v>
      </c>
      <c r="I3777" t="str">
        <f>HYPERLINK("https://zfin.org/ZDB-GENE-030805-3")</f>
        <v>https://zfin.org/ZDB-GENE-030805-3</v>
      </c>
      <c r="J3777" t="s">
        <v>754</v>
      </c>
    </row>
    <row r="3778" spans="1:10" x14ac:dyDescent="0.2">
      <c r="A3778">
        <v>3.6569607277282402E-9</v>
      </c>
      <c r="B3778">
        <v>-0.48744005042732802</v>
      </c>
      <c r="C3778">
        <v>0.17199999999999999</v>
      </c>
      <c r="D3778">
        <v>0.32100000000000001</v>
      </c>
      <c r="E3778">
        <v>5.0824440193967099E-5</v>
      </c>
      <c r="F3778">
        <v>8</v>
      </c>
      <c r="G3778" t="s">
        <v>942</v>
      </c>
      <c r="H3778" t="s">
        <v>943</v>
      </c>
      <c r="I3778" t="str">
        <f>HYPERLINK("https://zfin.org/ZDB-GENE-040801-218")</f>
        <v>https://zfin.org/ZDB-GENE-040801-218</v>
      </c>
      <c r="J3778" t="s">
        <v>944</v>
      </c>
    </row>
    <row r="3779" spans="1:10" x14ac:dyDescent="0.2">
      <c r="A3779">
        <v>3.8679011520242402E-9</v>
      </c>
      <c r="B3779">
        <v>-0.392777034239773</v>
      </c>
      <c r="C3779">
        <v>0.36499999999999999</v>
      </c>
      <c r="D3779">
        <v>0.53</v>
      </c>
      <c r="E3779">
        <v>5.3756090210832902E-5</v>
      </c>
      <c r="F3779">
        <v>8</v>
      </c>
      <c r="G3779" t="s">
        <v>1329</v>
      </c>
      <c r="H3779" t="s">
        <v>1330</v>
      </c>
      <c r="I3779" t="str">
        <f>HYPERLINK("https://zfin.org/ZDB-GENE-030131-8541")</f>
        <v>https://zfin.org/ZDB-GENE-030131-8541</v>
      </c>
      <c r="J3779" t="s">
        <v>1331</v>
      </c>
    </row>
    <row r="3780" spans="1:10" x14ac:dyDescent="0.2">
      <c r="A3780">
        <v>4.2440115297508198E-9</v>
      </c>
      <c r="B3780">
        <v>-0.31949795127047098</v>
      </c>
      <c r="C3780">
        <v>6.4000000000000001E-2</v>
      </c>
      <c r="D3780">
        <v>0.19400000000000001</v>
      </c>
      <c r="E3780">
        <v>5.8983272240477002E-5</v>
      </c>
      <c r="F3780">
        <v>8</v>
      </c>
      <c r="G3780" t="s">
        <v>781</v>
      </c>
      <c r="H3780" t="s">
        <v>782</v>
      </c>
      <c r="I3780" t="str">
        <f>HYPERLINK("https://zfin.org/ZDB-GENE-030131-3231")</f>
        <v>https://zfin.org/ZDB-GENE-030131-3231</v>
      </c>
      <c r="J3780" t="s">
        <v>783</v>
      </c>
    </row>
    <row r="3781" spans="1:10" x14ac:dyDescent="0.2">
      <c r="A3781">
        <v>4.3852210408734998E-9</v>
      </c>
      <c r="B3781">
        <v>-0.36628133069871899</v>
      </c>
      <c r="C3781">
        <v>9.9000000000000005E-2</v>
      </c>
      <c r="D3781">
        <v>0.24</v>
      </c>
      <c r="E3781">
        <v>6.0945802026059898E-5</v>
      </c>
      <c r="F3781">
        <v>8</v>
      </c>
      <c r="G3781" t="s">
        <v>3169</v>
      </c>
      <c r="H3781" t="s">
        <v>3170</v>
      </c>
      <c r="I3781" t="str">
        <f>HYPERLINK("https://zfin.org/ZDB-GENE-030715-1")</f>
        <v>https://zfin.org/ZDB-GENE-030715-1</v>
      </c>
      <c r="J3781" t="s">
        <v>3171</v>
      </c>
    </row>
    <row r="3782" spans="1:10" x14ac:dyDescent="0.2">
      <c r="A3782">
        <v>5.1122811504060497E-9</v>
      </c>
      <c r="B3782">
        <v>-0.60421344899148099</v>
      </c>
      <c r="C3782">
        <v>5.6000000000000001E-2</v>
      </c>
      <c r="D3782">
        <v>0.17399999999999999</v>
      </c>
      <c r="E3782">
        <v>7.1050483428343301E-5</v>
      </c>
      <c r="F3782">
        <v>8</v>
      </c>
      <c r="G3782" t="s">
        <v>2637</v>
      </c>
      <c r="H3782" t="s">
        <v>2638</v>
      </c>
      <c r="I3782" t="str">
        <f>HYPERLINK("https://zfin.org/ZDB-GENE-070502-5")</f>
        <v>https://zfin.org/ZDB-GENE-070502-5</v>
      </c>
      <c r="J3782" t="s">
        <v>2639</v>
      </c>
    </row>
    <row r="3783" spans="1:10" x14ac:dyDescent="0.2">
      <c r="A3783">
        <v>5.7252111329752096E-9</v>
      </c>
      <c r="B3783">
        <v>-0.29559316719788098</v>
      </c>
      <c r="C3783">
        <v>5.6000000000000001E-2</v>
      </c>
      <c r="D3783">
        <v>0.17899999999999999</v>
      </c>
      <c r="E3783">
        <v>7.9568984326089504E-5</v>
      </c>
      <c r="F3783">
        <v>8</v>
      </c>
      <c r="G3783" t="s">
        <v>1560</v>
      </c>
      <c r="H3783" t="s">
        <v>1561</v>
      </c>
      <c r="I3783" t="str">
        <f>HYPERLINK("https://zfin.org/ZDB-GENE-030109-2")</f>
        <v>https://zfin.org/ZDB-GENE-030109-2</v>
      </c>
      <c r="J3783" t="s">
        <v>1562</v>
      </c>
    </row>
    <row r="3784" spans="1:10" x14ac:dyDescent="0.2">
      <c r="A3784">
        <v>7.6904469800359297E-9</v>
      </c>
      <c r="B3784">
        <v>-0.36089428173890398</v>
      </c>
      <c r="C3784">
        <v>3.2000000000000001E-2</v>
      </c>
      <c r="D3784">
        <v>0.13900000000000001</v>
      </c>
      <c r="E3784">
        <v>1.06881832128539E-4</v>
      </c>
      <c r="F3784">
        <v>8</v>
      </c>
      <c r="G3784" t="s">
        <v>6677</v>
      </c>
      <c r="H3784" t="s">
        <v>6678</v>
      </c>
      <c r="I3784" t="str">
        <f>HYPERLINK("https://zfin.org/ZDB-GENE-030131-1334")</f>
        <v>https://zfin.org/ZDB-GENE-030131-1334</v>
      </c>
      <c r="J3784" t="s">
        <v>6679</v>
      </c>
    </row>
    <row r="3785" spans="1:10" x14ac:dyDescent="0.2">
      <c r="A3785">
        <v>9.5856116441912202E-9</v>
      </c>
      <c r="B3785">
        <v>-0.86602316141398605</v>
      </c>
      <c r="C3785">
        <v>7.1999999999999995E-2</v>
      </c>
      <c r="D3785">
        <v>0.188</v>
      </c>
      <c r="E3785">
        <v>1.3322083063097001E-4</v>
      </c>
      <c r="F3785">
        <v>8</v>
      </c>
      <c r="G3785" t="s">
        <v>438</v>
      </c>
      <c r="H3785" t="s">
        <v>439</v>
      </c>
      <c r="I3785" t="str">
        <f>HYPERLINK("https://zfin.org/ZDB-GENE-040628-1")</f>
        <v>https://zfin.org/ZDB-GENE-040628-1</v>
      </c>
      <c r="J3785" t="s">
        <v>440</v>
      </c>
    </row>
    <row r="3786" spans="1:10" x14ac:dyDescent="0.2">
      <c r="A3786">
        <v>1.70521298130661E-8</v>
      </c>
      <c r="B3786">
        <v>-0.32900236087830498</v>
      </c>
      <c r="C3786">
        <v>0.129</v>
      </c>
      <c r="D3786">
        <v>0.27300000000000002</v>
      </c>
      <c r="E3786">
        <v>2.36990500141993E-4</v>
      </c>
      <c r="F3786">
        <v>8</v>
      </c>
      <c r="G3786" t="s">
        <v>1364</v>
      </c>
      <c r="H3786" t="s">
        <v>1365</v>
      </c>
      <c r="I3786" t="str">
        <f>HYPERLINK("https://zfin.org/ZDB-GENE-040426-2448")</f>
        <v>https://zfin.org/ZDB-GENE-040426-2448</v>
      </c>
      <c r="J3786" t="s">
        <v>1366</v>
      </c>
    </row>
    <row r="3787" spans="1:10" x14ac:dyDescent="0.2">
      <c r="A3787">
        <v>1.8149507942815101E-8</v>
      </c>
      <c r="B3787">
        <v>0.25780586396286198</v>
      </c>
      <c r="C3787">
        <v>0.54200000000000004</v>
      </c>
      <c r="D3787">
        <v>0.39100000000000001</v>
      </c>
      <c r="E3787">
        <v>2.5224186138924498E-4</v>
      </c>
      <c r="F3787">
        <v>8</v>
      </c>
      <c r="G3787" t="s">
        <v>2697</v>
      </c>
      <c r="H3787" t="s">
        <v>2698</v>
      </c>
      <c r="I3787" t="str">
        <f>HYPERLINK("https://zfin.org/ZDB-GENE-141215-49")</f>
        <v>https://zfin.org/ZDB-GENE-141215-49</v>
      </c>
      <c r="J3787" t="s">
        <v>2699</v>
      </c>
    </row>
    <row r="3788" spans="1:10" x14ac:dyDescent="0.2">
      <c r="A3788">
        <v>1.8428628956864999E-8</v>
      </c>
      <c r="B3788">
        <v>0.25706542872003801</v>
      </c>
      <c r="C3788">
        <v>0.63800000000000001</v>
      </c>
      <c r="D3788">
        <v>0.51800000000000002</v>
      </c>
      <c r="E3788">
        <v>2.5612108524250999E-4</v>
      </c>
      <c r="F3788">
        <v>8</v>
      </c>
      <c r="G3788" t="s">
        <v>2280</v>
      </c>
      <c r="H3788" t="s">
        <v>2281</v>
      </c>
      <c r="I3788" t="str">
        <f>HYPERLINK("https://zfin.org/ZDB-GENE-080723-23")</f>
        <v>https://zfin.org/ZDB-GENE-080723-23</v>
      </c>
      <c r="J3788" t="s">
        <v>2282</v>
      </c>
    </row>
    <row r="3789" spans="1:10" x14ac:dyDescent="0.2">
      <c r="A3789">
        <v>2.08501117074555E-8</v>
      </c>
      <c r="B3789">
        <v>0.39337067299247103</v>
      </c>
      <c r="C3789">
        <v>0.37</v>
      </c>
      <c r="D3789">
        <v>0.26200000000000001</v>
      </c>
      <c r="E3789">
        <v>2.8977485251021598E-4</v>
      </c>
      <c r="F3789">
        <v>8</v>
      </c>
      <c r="G3789" t="s">
        <v>3177</v>
      </c>
      <c r="H3789" t="s">
        <v>3178</v>
      </c>
      <c r="I3789" t="str">
        <f>HYPERLINK("https://zfin.org/ZDB-GENE-050522-310")</f>
        <v>https://zfin.org/ZDB-GENE-050522-310</v>
      </c>
      <c r="J3789" t="s">
        <v>3179</v>
      </c>
    </row>
    <row r="3790" spans="1:10" x14ac:dyDescent="0.2">
      <c r="A3790">
        <v>2.1426035069269601E-8</v>
      </c>
      <c r="B3790">
        <v>-0.33632147681029201</v>
      </c>
      <c r="C3790">
        <v>0.161</v>
      </c>
      <c r="D3790">
        <v>0.311</v>
      </c>
      <c r="E3790">
        <v>2.9777903539270902E-4</v>
      </c>
      <c r="F3790">
        <v>8</v>
      </c>
      <c r="G3790" t="s">
        <v>790</v>
      </c>
      <c r="H3790" t="s">
        <v>791</v>
      </c>
      <c r="I3790" t="str">
        <f>HYPERLINK("https://zfin.org/ZDB-GENE-060331-97")</f>
        <v>https://zfin.org/ZDB-GENE-060331-97</v>
      </c>
      <c r="J3790" t="s">
        <v>792</v>
      </c>
    </row>
    <row r="3791" spans="1:10" x14ac:dyDescent="0.2">
      <c r="A3791">
        <v>2.4438579722354101E-8</v>
      </c>
      <c r="B3791">
        <v>-0.43314228196676602</v>
      </c>
      <c r="C3791">
        <v>5.0999999999999997E-2</v>
      </c>
      <c r="D3791">
        <v>0.161</v>
      </c>
      <c r="E3791">
        <v>3.3964738098127799E-4</v>
      </c>
      <c r="F3791">
        <v>8</v>
      </c>
      <c r="G3791" t="s">
        <v>2661</v>
      </c>
      <c r="H3791" t="s">
        <v>2662</v>
      </c>
      <c r="I3791" t="str">
        <f>HYPERLINK("https://zfin.org/ZDB-GENE-040319-2")</f>
        <v>https://zfin.org/ZDB-GENE-040319-2</v>
      </c>
      <c r="J3791" t="s">
        <v>2663</v>
      </c>
    </row>
    <row r="3792" spans="1:10" x14ac:dyDescent="0.2">
      <c r="A3792">
        <v>2.5410155136708901E-8</v>
      </c>
      <c r="B3792">
        <v>-0.33535359665901299</v>
      </c>
      <c r="C3792">
        <v>0.155</v>
      </c>
      <c r="D3792">
        <v>0.30099999999999999</v>
      </c>
      <c r="E3792">
        <v>3.5315033608998E-4</v>
      </c>
      <c r="F3792">
        <v>8</v>
      </c>
      <c r="G3792" t="s">
        <v>5441</v>
      </c>
      <c r="H3792" t="s">
        <v>5442</v>
      </c>
      <c r="I3792" t="str">
        <f>HYPERLINK("https://zfin.org/ZDB-GENE-030131-6657")</f>
        <v>https://zfin.org/ZDB-GENE-030131-6657</v>
      </c>
      <c r="J3792" t="s">
        <v>5443</v>
      </c>
    </row>
    <row r="3793" spans="1:10" x14ac:dyDescent="0.2">
      <c r="A3793">
        <v>3.1985105735353898E-8</v>
      </c>
      <c r="B3793">
        <v>-0.73288547761581602</v>
      </c>
      <c r="C3793">
        <v>0.34899999999999998</v>
      </c>
      <c r="D3793">
        <v>0.5</v>
      </c>
      <c r="E3793">
        <v>4.4452899950994798E-4</v>
      </c>
      <c r="F3793">
        <v>8</v>
      </c>
      <c r="G3793" t="s">
        <v>900</v>
      </c>
      <c r="H3793" t="s">
        <v>901</v>
      </c>
      <c r="I3793" t="str">
        <f>HYPERLINK("https://zfin.org/ZDB-GENE-040426-2879")</f>
        <v>https://zfin.org/ZDB-GENE-040426-2879</v>
      </c>
      <c r="J3793" t="s">
        <v>902</v>
      </c>
    </row>
    <row r="3794" spans="1:10" x14ac:dyDescent="0.2">
      <c r="A3794">
        <v>3.8387531988642601E-8</v>
      </c>
      <c r="B3794">
        <v>-0.42817330753115601</v>
      </c>
      <c r="C3794">
        <v>0.188</v>
      </c>
      <c r="D3794">
        <v>0.33</v>
      </c>
      <c r="E3794">
        <v>5.3350991957815401E-4</v>
      </c>
      <c r="F3794">
        <v>8</v>
      </c>
      <c r="G3794" t="s">
        <v>2652</v>
      </c>
      <c r="H3794" t="s">
        <v>2653</v>
      </c>
      <c r="I3794" t="str">
        <f>HYPERLINK("https://zfin.org/ZDB-GENE-040426-1937")</f>
        <v>https://zfin.org/ZDB-GENE-040426-1937</v>
      </c>
      <c r="J3794" t="s">
        <v>2654</v>
      </c>
    </row>
    <row r="3795" spans="1:10" x14ac:dyDescent="0.2">
      <c r="A3795">
        <v>4.0919361193753E-8</v>
      </c>
      <c r="B3795">
        <v>-0.61076650542157496</v>
      </c>
      <c r="C3795">
        <v>8.3000000000000004E-2</v>
      </c>
      <c r="D3795">
        <v>0.19800000000000001</v>
      </c>
      <c r="E3795">
        <v>5.6869728187078003E-4</v>
      </c>
      <c r="F3795">
        <v>8</v>
      </c>
      <c r="G3795" t="s">
        <v>3255</v>
      </c>
      <c r="H3795" t="s">
        <v>3256</v>
      </c>
      <c r="I3795" t="str">
        <f>HYPERLINK("https://zfin.org/ZDB-GENE-000210-8")</f>
        <v>https://zfin.org/ZDB-GENE-000210-8</v>
      </c>
      <c r="J3795" t="s">
        <v>3257</v>
      </c>
    </row>
    <row r="3796" spans="1:10" x14ac:dyDescent="0.2">
      <c r="A3796">
        <v>4.6029805346998498E-8</v>
      </c>
      <c r="B3796">
        <v>0.335853165500894</v>
      </c>
      <c r="C3796">
        <v>0.27600000000000002</v>
      </c>
      <c r="D3796">
        <v>0.17100000000000001</v>
      </c>
      <c r="E3796">
        <v>6.3972223471258402E-4</v>
      </c>
      <c r="F3796">
        <v>8</v>
      </c>
      <c r="G3796" t="s">
        <v>6680</v>
      </c>
      <c r="H3796" t="s">
        <v>6681</v>
      </c>
      <c r="I3796" t="str">
        <f>HYPERLINK("https://zfin.org/ZDB-GENE-041010-152")</f>
        <v>https://zfin.org/ZDB-GENE-041010-152</v>
      </c>
      <c r="J3796" t="s">
        <v>6682</v>
      </c>
    </row>
    <row r="3797" spans="1:10" x14ac:dyDescent="0.2">
      <c r="A3797">
        <v>5.7479975534952503E-8</v>
      </c>
      <c r="B3797">
        <v>-0.26833774382996101</v>
      </c>
      <c r="C3797">
        <v>0.39700000000000002</v>
      </c>
      <c r="D3797">
        <v>0.57099999999999995</v>
      </c>
      <c r="E3797">
        <v>7.9885669998477004E-4</v>
      </c>
      <c r="F3797">
        <v>8</v>
      </c>
      <c r="G3797" t="s">
        <v>3712</v>
      </c>
      <c r="H3797" t="s">
        <v>3713</v>
      </c>
      <c r="I3797" t="str">
        <f>HYPERLINK("https://zfin.org/ZDB-GENE-071005-2")</f>
        <v>https://zfin.org/ZDB-GENE-071005-2</v>
      </c>
      <c r="J3797" t="s">
        <v>3714</v>
      </c>
    </row>
    <row r="3798" spans="1:10" x14ac:dyDescent="0.2">
      <c r="A3798">
        <v>1.19432953179009E-23</v>
      </c>
      <c r="B3798">
        <v>0.29457596903565397</v>
      </c>
      <c r="C3798">
        <v>0.434</v>
      </c>
      <c r="D3798">
        <v>0.11799999999999999</v>
      </c>
      <c r="E3798">
        <v>1.65987918328187E-19</v>
      </c>
      <c r="F3798">
        <v>9</v>
      </c>
      <c r="G3798" t="s">
        <v>6683</v>
      </c>
      <c r="H3798" t="s">
        <v>6684</v>
      </c>
      <c r="I3798" t="str">
        <f>HYPERLINK("https://zfin.org/ZDB-GENE-011128-4")</f>
        <v>https://zfin.org/ZDB-GENE-011128-4</v>
      </c>
      <c r="J3798" t="s">
        <v>6685</v>
      </c>
    </row>
    <row r="3799" spans="1:10" x14ac:dyDescent="0.2">
      <c r="A3799">
        <v>7.2276956239930302E-22</v>
      </c>
      <c r="B3799">
        <v>0.32504281562210602</v>
      </c>
      <c r="C3799">
        <v>0.66400000000000003</v>
      </c>
      <c r="D3799">
        <v>0.23100000000000001</v>
      </c>
      <c r="E3799">
        <v>1.0045051378225501E-17</v>
      </c>
      <c r="F3799">
        <v>9</v>
      </c>
      <c r="G3799" t="s">
        <v>6686</v>
      </c>
      <c r="H3799" t="s">
        <v>6687</v>
      </c>
      <c r="I3799" t="str">
        <f>HYPERLINK("https://zfin.org/ZDB-GENE-050306-36")</f>
        <v>https://zfin.org/ZDB-GENE-050306-36</v>
      </c>
      <c r="J3799" t="s">
        <v>6688</v>
      </c>
    </row>
    <row r="3800" spans="1:10" x14ac:dyDescent="0.2">
      <c r="A3800">
        <v>1.1135535125507701E-21</v>
      </c>
      <c r="B3800">
        <v>0.30597722372164998</v>
      </c>
      <c r="C3800">
        <v>0.441</v>
      </c>
      <c r="D3800">
        <v>0.13200000000000001</v>
      </c>
      <c r="E3800">
        <v>1.54761667174306E-17</v>
      </c>
      <c r="F3800">
        <v>9</v>
      </c>
      <c r="G3800" t="s">
        <v>2661</v>
      </c>
      <c r="H3800" t="s">
        <v>2662</v>
      </c>
      <c r="I3800" t="str">
        <f>HYPERLINK("https://zfin.org/ZDB-GENE-040319-2")</f>
        <v>https://zfin.org/ZDB-GENE-040319-2</v>
      </c>
      <c r="J3800" t="s">
        <v>2663</v>
      </c>
    </row>
    <row r="3801" spans="1:10" x14ac:dyDescent="0.2">
      <c r="A3801">
        <v>5.7167033928239803E-21</v>
      </c>
      <c r="B3801">
        <v>0.29295142402776603</v>
      </c>
      <c r="C3801">
        <v>0.48</v>
      </c>
      <c r="D3801">
        <v>0.14799999999999999</v>
      </c>
      <c r="E3801">
        <v>7.94507437534677E-17</v>
      </c>
      <c r="F3801">
        <v>9</v>
      </c>
      <c r="G3801" t="s">
        <v>6689</v>
      </c>
      <c r="H3801" t="s">
        <v>6690</v>
      </c>
      <c r="I3801" t="str">
        <f>HYPERLINK("https://zfin.org/ZDB-GENE-040309-1")</f>
        <v>https://zfin.org/ZDB-GENE-040309-1</v>
      </c>
      <c r="J3801" t="s">
        <v>6691</v>
      </c>
    </row>
    <row r="3802" spans="1:10" x14ac:dyDescent="0.2">
      <c r="A3802">
        <v>9.3570774443006396E-21</v>
      </c>
      <c r="B3802">
        <v>0.29339286957264998</v>
      </c>
      <c r="C3802">
        <v>1</v>
      </c>
      <c r="D3802">
        <v>1</v>
      </c>
      <c r="E3802">
        <v>1.3004466232089001E-16</v>
      </c>
      <c r="F3802">
        <v>9</v>
      </c>
      <c r="G3802" t="s">
        <v>975</v>
      </c>
      <c r="H3802" t="s">
        <v>976</v>
      </c>
      <c r="I3802" t="str">
        <f>HYPERLINK("https://zfin.org/ZDB-GENE-141216-248")</f>
        <v>https://zfin.org/ZDB-GENE-141216-248</v>
      </c>
      <c r="J3802" t="s">
        <v>977</v>
      </c>
    </row>
    <row r="3803" spans="1:10" x14ac:dyDescent="0.2">
      <c r="A3803">
        <v>2.7134739718107698E-20</v>
      </c>
      <c r="B3803">
        <v>0.26930222710223001</v>
      </c>
      <c r="C3803">
        <v>0.32900000000000001</v>
      </c>
      <c r="D3803">
        <v>8.5000000000000006E-2</v>
      </c>
      <c r="E3803">
        <v>3.7711861260226098E-16</v>
      </c>
      <c r="F3803">
        <v>9</v>
      </c>
      <c r="G3803" t="s">
        <v>6692</v>
      </c>
      <c r="H3803" t="s">
        <v>6693</v>
      </c>
      <c r="I3803" t="str">
        <f>HYPERLINK("https://zfin.org/ZDB-GENE-030131-5767")</f>
        <v>https://zfin.org/ZDB-GENE-030131-5767</v>
      </c>
      <c r="J3803" t="s">
        <v>6694</v>
      </c>
    </row>
    <row r="3804" spans="1:10" x14ac:dyDescent="0.2">
      <c r="A3804">
        <v>5.39903926136652E-20</v>
      </c>
      <c r="B3804">
        <v>0.27576682307773298</v>
      </c>
      <c r="C3804">
        <v>0.63800000000000001</v>
      </c>
      <c r="D3804">
        <v>0.22800000000000001</v>
      </c>
      <c r="E3804">
        <v>7.5035847654471903E-16</v>
      </c>
      <c r="F3804">
        <v>9</v>
      </c>
      <c r="G3804" t="s">
        <v>6627</v>
      </c>
      <c r="H3804" t="s">
        <v>6628</v>
      </c>
      <c r="I3804" t="str">
        <f>HYPERLINK("https://zfin.org/ZDB-GENE-040426-1064")</f>
        <v>https://zfin.org/ZDB-GENE-040426-1064</v>
      </c>
      <c r="J3804" t="s">
        <v>6629</v>
      </c>
    </row>
    <row r="3805" spans="1:10" x14ac:dyDescent="0.2">
      <c r="A3805">
        <v>2.5980603160459399E-19</v>
      </c>
      <c r="B3805">
        <v>0.36700866208188898</v>
      </c>
      <c r="C3805">
        <v>0.81599999999999995</v>
      </c>
      <c r="D3805">
        <v>0.373</v>
      </c>
      <c r="E3805">
        <v>3.6107842272406497E-15</v>
      </c>
      <c r="F3805">
        <v>9</v>
      </c>
      <c r="G3805" t="s">
        <v>6695</v>
      </c>
      <c r="H3805" t="s">
        <v>6696</v>
      </c>
      <c r="I3805" t="str">
        <f>HYPERLINK("https://zfin.org/ZDB-GENE-000616-13")</f>
        <v>https://zfin.org/ZDB-GENE-000616-13</v>
      </c>
      <c r="J3805" t="s">
        <v>6697</v>
      </c>
    </row>
    <row r="3806" spans="1:10" x14ac:dyDescent="0.2">
      <c r="A3806">
        <v>5.4527612471399796E-19</v>
      </c>
      <c r="B3806">
        <v>0.28048926960061399</v>
      </c>
      <c r="C3806">
        <v>0.36199999999999999</v>
      </c>
      <c r="D3806">
        <v>0.10299999999999999</v>
      </c>
      <c r="E3806">
        <v>7.5782475812751393E-15</v>
      </c>
      <c r="F3806">
        <v>9</v>
      </c>
      <c r="G3806" t="s">
        <v>6592</v>
      </c>
      <c r="H3806" t="s">
        <v>6593</v>
      </c>
      <c r="I3806" t="str">
        <f>HYPERLINK("https://zfin.org/")</f>
        <v>https://zfin.org/</v>
      </c>
    </row>
    <row r="3807" spans="1:10" x14ac:dyDescent="0.2">
      <c r="A3807">
        <v>9.0681257143845098E-19</v>
      </c>
      <c r="B3807">
        <v>0.27241399423011498</v>
      </c>
      <c r="C3807">
        <v>0.55900000000000005</v>
      </c>
      <c r="D3807">
        <v>0.19900000000000001</v>
      </c>
      <c r="E3807">
        <v>1.26028811178516E-14</v>
      </c>
      <c r="F3807">
        <v>9</v>
      </c>
      <c r="G3807" t="s">
        <v>2807</v>
      </c>
      <c r="H3807" t="s">
        <v>2808</v>
      </c>
      <c r="I3807" t="str">
        <f>HYPERLINK("https://zfin.org/ZDB-GENE-070112-292")</f>
        <v>https://zfin.org/ZDB-GENE-070112-292</v>
      </c>
      <c r="J3807" t="s">
        <v>2809</v>
      </c>
    </row>
    <row r="3808" spans="1:10" x14ac:dyDescent="0.2">
      <c r="A3808">
        <v>2.01679045090189E-18</v>
      </c>
      <c r="B3808">
        <v>0.40824393003924597</v>
      </c>
      <c r="C3808">
        <v>0.97399999999999998</v>
      </c>
      <c r="D3808">
        <v>0.88700000000000001</v>
      </c>
      <c r="E3808">
        <v>2.8029353686634501E-14</v>
      </c>
      <c r="F3808">
        <v>9</v>
      </c>
      <c r="G3808" t="s">
        <v>2259</v>
      </c>
      <c r="H3808" t="s">
        <v>2260</v>
      </c>
      <c r="I3808" t="str">
        <f>HYPERLINK("https://zfin.org/ZDB-GENE-121214-193")</f>
        <v>https://zfin.org/ZDB-GENE-121214-193</v>
      </c>
      <c r="J3808" t="s">
        <v>2261</v>
      </c>
    </row>
    <row r="3809" spans="1:10" x14ac:dyDescent="0.2">
      <c r="A3809">
        <v>4.6140480612705198E-18</v>
      </c>
      <c r="B3809">
        <v>0.36346423164317299</v>
      </c>
      <c r="C3809">
        <v>0.24299999999999999</v>
      </c>
      <c r="D3809">
        <v>5.7000000000000002E-2</v>
      </c>
      <c r="E3809">
        <v>6.4126039955537597E-14</v>
      </c>
      <c r="F3809">
        <v>9</v>
      </c>
      <c r="G3809" t="s">
        <v>6494</v>
      </c>
      <c r="H3809" t="s">
        <v>6495</v>
      </c>
      <c r="I3809" t="str">
        <f>HYPERLINK("https://zfin.org/ZDB-GENE-040426-1909")</f>
        <v>https://zfin.org/ZDB-GENE-040426-1909</v>
      </c>
      <c r="J3809" t="s">
        <v>6496</v>
      </c>
    </row>
    <row r="3810" spans="1:10" x14ac:dyDescent="0.2">
      <c r="A3810">
        <v>8.1902411101490994E-18</v>
      </c>
      <c r="B3810">
        <v>0.51194266754696005</v>
      </c>
      <c r="C3810">
        <v>0.75700000000000001</v>
      </c>
      <c r="D3810">
        <v>0.36499999999999999</v>
      </c>
      <c r="E3810">
        <v>1.13827970948852E-13</v>
      </c>
      <c r="F3810">
        <v>9</v>
      </c>
      <c r="G3810" t="s">
        <v>2748</v>
      </c>
      <c r="H3810" t="s">
        <v>2749</v>
      </c>
      <c r="I3810" t="str">
        <f>HYPERLINK("https://zfin.org/ZDB-GENE-040426-1430")</f>
        <v>https://zfin.org/ZDB-GENE-040426-1430</v>
      </c>
      <c r="J3810" t="s">
        <v>2750</v>
      </c>
    </row>
    <row r="3811" spans="1:10" x14ac:dyDescent="0.2">
      <c r="A3811">
        <v>1.7441630989536E-17</v>
      </c>
      <c r="B3811">
        <v>0.35992078358865998</v>
      </c>
      <c r="C3811">
        <v>0.151</v>
      </c>
      <c r="D3811">
        <v>2.5999999999999999E-2</v>
      </c>
      <c r="E3811">
        <v>2.4240378749257201E-13</v>
      </c>
      <c r="F3811">
        <v>9</v>
      </c>
      <c r="G3811" t="s">
        <v>6698</v>
      </c>
      <c r="H3811" t="s">
        <v>6699</v>
      </c>
      <c r="I3811" t="str">
        <f>HYPERLINK("https://zfin.org/ZDB-GENE-070717-5")</f>
        <v>https://zfin.org/ZDB-GENE-070717-5</v>
      </c>
      <c r="J3811" t="s">
        <v>6700</v>
      </c>
    </row>
    <row r="3812" spans="1:10" x14ac:dyDescent="0.2">
      <c r="A3812">
        <v>3.0808705665385402E-17</v>
      </c>
      <c r="B3812">
        <v>0.25594137699686698</v>
      </c>
      <c r="C3812">
        <v>0.54600000000000004</v>
      </c>
      <c r="D3812">
        <v>0.19900000000000001</v>
      </c>
      <c r="E3812">
        <v>4.2817939133752598E-13</v>
      </c>
      <c r="F3812">
        <v>9</v>
      </c>
      <c r="G3812" t="s">
        <v>2918</v>
      </c>
      <c r="H3812" t="s">
        <v>2919</v>
      </c>
      <c r="I3812" t="str">
        <f>HYPERLINK("https://zfin.org/ZDB-GENE-040718-440")</f>
        <v>https://zfin.org/ZDB-GENE-040718-440</v>
      </c>
      <c r="J3812" t="s">
        <v>2920</v>
      </c>
    </row>
    <row r="3813" spans="1:10" x14ac:dyDescent="0.2">
      <c r="A3813">
        <v>5.8226832882692895E-17</v>
      </c>
      <c r="B3813">
        <v>0.28852780561495101</v>
      </c>
      <c r="C3813">
        <v>0.56599999999999995</v>
      </c>
      <c r="D3813">
        <v>0.222</v>
      </c>
      <c r="E3813">
        <v>8.0923652340366603E-13</v>
      </c>
      <c r="F3813">
        <v>9</v>
      </c>
      <c r="G3813" t="s">
        <v>2801</v>
      </c>
      <c r="H3813" t="s">
        <v>2802</v>
      </c>
      <c r="I3813" t="str">
        <f>HYPERLINK("https://zfin.org/ZDB-GENE-980526-112")</f>
        <v>https://zfin.org/ZDB-GENE-980526-112</v>
      </c>
      <c r="J3813" t="s">
        <v>2803</v>
      </c>
    </row>
    <row r="3814" spans="1:10" x14ac:dyDescent="0.2">
      <c r="A3814">
        <v>1.4855657876132101E-16</v>
      </c>
      <c r="B3814">
        <v>0.26599918643114701</v>
      </c>
      <c r="C3814">
        <v>0.50700000000000001</v>
      </c>
      <c r="D3814">
        <v>0.19500000000000001</v>
      </c>
      <c r="E3814">
        <v>2.0646393316248301E-12</v>
      </c>
      <c r="F3814">
        <v>9</v>
      </c>
      <c r="G3814" t="s">
        <v>3047</v>
      </c>
      <c r="H3814" t="s">
        <v>3048</v>
      </c>
      <c r="I3814" t="str">
        <f>HYPERLINK("https://zfin.org/ZDB-GENE-030131-688")</f>
        <v>https://zfin.org/ZDB-GENE-030131-688</v>
      </c>
      <c r="J3814" t="s">
        <v>3049</v>
      </c>
    </row>
    <row r="3815" spans="1:10" x14ac:dyDescent="0.2">
      <c r="A3815">
        <v>1.35429456969328E-15</v>
      </c>
      <c r="B3815">
        <v>0.31710972807719801</v>
      </c>
      <c r="C3815">
        <v>0.99299999999999999</v>
      </c>
      <c r="D3815">
        <v>0.91100000000000003</v>
      </c>
      <c r="E3815">
        <v>1.88219859295972E-11</v>
      </c>
      <c r="F3815">
        <v>9</v>
      </c>
      <c r="G3815" t="s">
        <v>6701</v>
      </c>
      <c r="H3815" t="s">
        <v>6702</v>
      </c>
      <c r="I3815" t="str">
        <f>HYPERLINK("https://zfin.org/ZDB-GENE-011205-14")</f>
        <v>https://zfin.org/ZDB-GENE-011205-14</v>
      </c>
      <c r="J3815" t="s">
        <v>6703</v>
      </c>
    </row>
    <row r="3816" spans="1:10" x14ac:dyDescent="0.2">
      <c r="A3816">
        <v>2.4825722281664601E-15</v>
      </c>
      <c r="B3816">
        <v>0.45922981541035002</v>
      </c>
      <c r="C3816">
        <v>0.97399999999999998</v>
      </c>
      <c r="D3816">
        <v>0.84</v>
      </c>
      <c r="E3816">
        <v>3.4502788827057502E-11</v>
      </c>
      <c r="F3816">
        <v>9</v>
      </c>
      <c r="G3816" t="s">
        <v>1967</v>
      </c>
      <c r="H3816" t="s">
        <v>1968</v>
      </c>
      <c r="I3816" t="str">
        <f>HYPERLINK("https://zfin.org/ZDB-GENE-070705-532")</f>
        <v>https://zfin.org/ZDB-GENE-070705-532</v>
      </c>
      <c r="J3816" t="s">
        <v>1969</v>
      </c>
    </row>
    <row r="3817" spans="1:10" x14ac:dyDescent="0.2">
      <c r="A3817">
        <v>9.0313710674783301E-15</v>
      </c>
      <c r="B3817">
        <v>0.30071609863047499</v>
      </c>
      <c r="C3817">
        <v>0.53900000000000003</v>
      </c>
      <c r="D3817">
        <v>0.216</v>
      </c>
      <c r="E3817">
        <v>1.2551799509581399E-10</v>
      </c>
      <c r="F3817">
        <v>9</v>
      </c>
      <c r="G3817" t="s">
        <v>3121</v>
      </c>
      <c r="H3817" t="s">
        <v>3122</v>
      </c>
      <c r="I3817" t="str">
        <f>HYPERLINK("https://zfin.org/ZDB-GENE-081105-74")</f>
        <v>https://zfin.org/ZDB-GENE-081105-74</v>
      </c>
      <c r="J3817" t="s">
        <v>3123</v>
      </c>
    </row>
    <row r="3818" spans="1:10" x14ac:dyDescent="0.2">
      <c r="A3818">
        <v>9.3386296517027305E-14</v>
      </c>
      <c r="B3818">
        <v>0.27825730746213301</v>
      </c>
      <c r="C3818">
        <v>0.77600000000000002</v>
      </c>
      <c r="D3818">
        <v>0.39100000000000001</v>
      </c>
      <c r="E3818">
        <v>1.29788274899364E-9</v>
      </c>
      <c r="F3818">
        <v>9</v>
      </c>
      <c r="G3818" t="s">
        <v>2697</v>
      </c>
      <c r="H3818" t="s">
        <v>2698</v>
      </c>
      <c r="I3818" t="str">
        <f>HYPERLINK("https://zfin.org/ZDB-GENE-141215-49")</f>
        <v>https://zfin.org/ZDB-GENE-141215-49</v>
      </c>
      <c r="J3818" t="s">
        <v>2699</v>
      </c>
    </row>
    <row r="3819" spans="1:10" x14ac:dyDescent="0.2">
      <c r="A3819">
        <v>1.7246266245452799E-13</v>
      </c>
      <c r="B3819">
        <v>0.256189371661524</v>
      </c>
      <c r="C3819">
        <v>0.96099999999999997</v>
      </c>
      <c r="D3819">
        <v>0.65700000000000003</v>
      </c>
      <c r="E3819">
        <v>2.3968860827930199E-9</v>
      </c>
      <c r="F3819">
        <v>9</v>
      </c>
      <c r="G3819" t="s">
        <v>4701</v>
      </c>
      <c r="H3819" t="s">
        <v>4702</v>
      </c>
      <c r="I3819" t="str">
        <f>HYPERLINK("https://zfin.org/ZDB-GENE-030411-5")</f>
        <v>https://zfin.org/ZDB-GENE-030411-5</v>
      </c>
      <c r="J3819" t="s">
        <v>4703</v>
      </c>
    </row>
    <row r="3820" spans="1:10" x14ac:dyDescent="0.2">
      <c r="A3820">
        <v>1.1223016966737801E-12</v>
      </c>
      <c r="B3820">
        <v>0.40442074736723199</v>
      </c>
      <c r="C3820">
        <v>0.96699999999999997</v>
      </c>
      <c r="D3820">
        <v>0.73899999999999999</v>
      </c>
      <c r="E3820">
        <v>1.55977489803722E-8</v>
      </c>
      <c r="F3820">
        <v>9</v>
      </c>
      <c r="G3820" t="s">
        <v>1701</v>
      </c>
      <c r="H3820" t="s">
        <v>1702</v>
      </c>
      <c r="I3820" t="str">
        <f>HYPERLINK("https://zfin.org/ZDB-GENE-111109-2")</f>
        <v>https://zfin.org/ZDB-GENE-111109-2</v>
      </c>
      <c r="J3820" t="s">
        <v>1703</v>
      </c>
    </row>
    <row r="3821" spans="1:10" x14ac:dyDescent="0.2">
      <c r="A3821">
        <v>1.3644336573009701E-12</v>
      </c>
      <c r="B3821">
        <v>0.26067334180267698</v>
      </c>
      <c r="C3821">
        <v>0.78900000000000003</v>
      </c>
      <c r="D3821">
        <v>0.41199999999999998</v>
      </c>
      <c r="E3821">
        <v>1.8962898969168801E-8</v>
      </c>
      <c r="F3821">
        <v>9</v>
      </c>
      <c r="G3821" t="s">
        <v>2709</v>
      </c>
      <c r="H3821" t="s">
        <v>2710</v>
      </c>
      <c r="I3821" t="str">
        <f>HYPERLINK("https://zfin.org/ZDB-GENE-060503-288")</f>
        <v>https://zfin.org/ZDB-GENE-060503-288</v>
      </c>
      <c r="J3821" t="s">
        <v>2711</v>
      </c>
    </row>
    <row r="3822" spans="1:10" x14ac:dyDescent="0.2">
      <c r="A3822">
        <v>2.30404957585988E-11</v>
      </c>
      <c r="B3822">
        <v>0.30870968131611898</v>
      </c>
      <c r="C3822">
        <v>0.94699999999999995</v>
      </c>
      <c r="D3822">
        <v>0.71199999999999997</v>
      </c>
      <c r="E3822">
        <v>3.2021681005300601E-7</v>
      </c>
      <c r="F3822">
        <v>9</v>
      </c>
      <c r="G3822" t="s">
        <v>6704</v>
      </c>
      <c r="H3822" t="s">
        <v>6705</v>
      </c>
      <c r="I3822" t="str">
        <f>HYPERLINK("https://zfin.org/ZDB-GENE-011205-10")</f>
        <v>https://zfin.org/ZDB-GENE-011205-10</v>
      </c>
      <c r="J3822" t="s">
        <v>6706</v>
      </c>
    </row>
    <row r="3823" spans="1:10" x14ac:dyDescent="0.2">
      <c r="A3823">
        <v>3.8069686835986199E-11</v>
      </c>
      <c r="B3823">
        <v>0.262586907183607</v>
      </c>
      <c r="C3823">
        <v>0.67800000000000005</v>
      </c>
      <c r="D3823">
        <v>0.34699999999999998</v>
      </c>
      <c r="E3823">
        <v>5.2909250764653598E-7</v>
      </c>
      <c r="F3823">
        <v>9</v>
      </c>
      <c r="G3823" t="s">
        <v>3360</v>
      </c>
      <c r="H3823" t="s">
        <v>3361</v>
      </c>
      <c r="I3823" t="str">
        <f>HYPERLINK("https://zfin.org/ZDB-GENE-030411-6")</f>
        <v>https://zfin.org/ZDB-GENE-030411-6</v>
      </c>
      <c r="J3823" t="s">
        <v>3362</v>
      </c>
    </row>
    <row r="3824" spans="1:10" x14ac:dyDescent="0.2">
      <c r="A3824">
        <v>1.59655213962915E-9</v>
      </c>
      <c r="B3824">
        <v>0.29981315057462099</v>
      </c>
      <c r="C3824">
        <v>0.875</v>
      </c>
      <c r="D3824">
        <v>0.55300000000000005</v>
      </c>
      <c r="E3824">
        <v>2.2188881636565899E-5</v>
      </c>
      <c r="F3824">
        <v>9</v>
      </c>
      <c r="G3824" t="s">
        <v>2777</v>
      </c>
      <c r="H3824" t="s">
        <v>2778</v>
      </c>
      <c r="I3824" t="str">
        <f>HYPERLINK("https://zfin.org/ZDB-GENE-030428-2")</f>
        <v>https://zfin.org/ZDB-GENE-030428-2</v>
      </c>
      <c r="J3824" t="s">
        <v>2779</v>
      </c>
    </row>
    <row r="3825" spans="1:10" x14ac:dyDescent="0.2">
      <c r="A3825">
        <v>8.9447328745524395E-9</v>
      </c>
      <c r="B3825">
        <v>0.25029746054746199</v>
      </c>
      <c r="C3825">
        <v>0.68400000000000005</v>
      </c>
      <c r="D3825">
        <v>0.36399999999999999</v>
      </c>
      <c r="E3825">
        <v>1.2431389749053E-4</v>
      </c>
      <c r="F3825">
        <v>9</v>
      </c>
      <c r="G3825" t="s">
        <v>6707</v>
      </c>
      <c r="H3825" t="s">
        <v>6708</v>
      </c>
      <c r="I3825" t="str">
        <f>HYPERLINK("https://zfin.org/ZDB-GENE-080610-1")</f>
        <v>https://zfin.org/ZDB-GENE-080610-1</v>
      </c>
      <c r="J3825" t="s">
        <v>6709</v>
      </c>
    </row>
    <row r="3826" spans="1:10" x14ac:dyDescent="0.2">
      <c r="A3826">
        <v>1.5130111170683499E-57</v>
      </c>
      <c r="B3826">
        <v>0.98802483861962598</v>
      </c>
      <c r="C3826">
        <v>0.32400000000000001</v>
      </c>
      <c r="D3826">
        <v>1.0999999999999999E-2</v>
      </c>
      <c r="E3826">
        <v>2.10278285050159E-53</v>
      </c>
      <c r="F3826">
        <v>10</v>
      </c>
      <c r="G3826" t="s">
        <v>6710</v>
      </c>
      <c r="H3826" t="s">
        <v>6711</v>
      </c>
      <c r="I3826" t="str">
        <f>HYPERLINK("https://zfin.org/ZDB-GENE-040426-1501")</f>
        <v>https://zfin.org/ZDB-GENE-040426-1501</v>
      </c>
      <c r="J3826" t="s">
        <v>6712</v>
      </c>
    </row>
    <row r="3827" spans="1:10" x14ac:dyDescent="0.2">
      <c r="A3827">
        <v>1.9809470773577499E-57</v>
      </c>
      <c r="B3827">
        <v>0.71456722178715404</v>
      </c>
      <c r="C3827">
        <v>0.216</v>
      </c>
      <c r="D3827">
        <v>4.0000000000000001E-3</v>
      </c>
      <c r="E3827">
        <v>2.7531202481117999E-53</v>
      </c>
      <c r="F3827">
        <v>10</v>
      </c>
      <c r="G3827" t="s">
        <v>6713</v>
      </c>
      <c r="H3827" t="s">
        <v>6714</v>
      </c>
      <c r="I3827" t="str">
        <f>HYPERLINK("https://zfin.org/ZDB-GENE-051030-75")</f>
        <v>https://zfin.org/ZDB-GENE-051030-75</v>
      </c>
      <c r="J3827" t="s">
        <v>6715</v>
      </c>
    </row>
    <row r="3828" spans="1:10" x14ac:dyDescent="0.2">
      <c r="A3828">
        <v>1.35572950519833E-51</v>
      </c>
      <c r="B3828">
        <v>1.4552192822763199</v>
      </c>
      <c r="C3828">
        <v>0.48599999999999999</v>
      </c>
      <c r="D3828">
        <v>0.03</v>
      </c>
      <c r="E3828">
        <v>1.88419286632465E-47</v>
      </c>
      <c r="F3828">
        <v>10</v>
      </c>
      <c r="G3828" t="s">
        <v>6716</v>
      </c>
      <c r="H3828" t="s">
        <v>6717</v>
      </c>
      <c r="I3828" t="str">
        <f>HYPERLINK("https://zfin.org/ZDB-GENE-141216-408")</f>
        <v>https://zfin.org/ZDB-GENE-141216-408</v>
      </c>
      <c r="J3828" t="s">
        <v>6718</v>
      </c>
    </row>
    <row r="3829" spans="1:10" x14ac:dyDescent="0.2">
      <c r="A3829">
        <v>6.0507829084292295E-42</v>
      </c>
      <c r="B3829">
        <v>1.5962081856377901</v>
      </c>
      <c r="C3829">
        <v>0.622</v>
      </c>
      <c r="D3829">
        <v>6.4000000000000001E-2</v>
      </c>
      <c r="E3829">
        <v>8.4093780861349401E-38</v>
      </c>
      <c r="F3829">
        <v>10</v>
      </c>
      <c r="G3829" t="s">
        <v>6719</v>
      </c>
      <c r="H3829" t="s">
        <v>6720</v>
      </c>
      <c r="I3829" t="str">
        <f>HYPERLINK("https://zfin.org/ZDB-GENE-070822-16")</f>
        <v>https://zfin.org/ZDB-GENE-070822-16</v>
      </c>
      <c r="J3829" t="s">
        <v>6721</v>
      </c>
    </row>
    <row r="3830" spans="1:10" x14ac:dyDescent="0.2">
      <c r="A3830">
        <v>9.7592852066116402E-42</v>
      </c>
      <c r="B3830">
        <v>2.4016120005990098</v>
      </c>
      <c r="C3830">
        <v>0.83799999999999997</v>
      </c>
      <c r="D3830">
        <v>0.13700000000000001</v>
      </c>
      <c r="E3830">
        <v>1.35634545801489E-37</v>
      </c>
      <c r="F3830">
        <v>10</v>
      </c>
      <c r="G3830" t="s">
        <v>6722</v>
      </c>
      <c r="H3830" t="s">
        <v>6723</v>
      </c>
      <c r="I3830" t="str">
        <f>HYPERLINK("https://zfin.org/ZDB-GENE-050417-400")</f>
        <v>https://zfin.org/ZDB-GENE-050417-400</v>
      </c>
      <c r="J3830" t="s">
        <v>6724</v>
      </c>
    </row>
    <row r="3831" spans="1:10" x14ac:dyDescent="0.2">
      <c r="A3831">
        <v>4.2826882915016001E-35</v>
      </c>
      <c r="B3831">
        <v>1.8038532685505599</v>
      </c>
      <c r="C3831">
        <v>0.75700000000000001</v>
      </c>
      <c r="D3831">
        <v>0.11799999999999999</v>
      </c>
      <c r="E3831">
        <v>5.9520801875289301E-31</v>
      </c>
      <c r="F3831">
        <v>10</v>
      </c>
      <c r="G3831" t="s">
        <v>6650</v>
      </c>
      <c r="H3831" t="s">
        <v>6651</v>
      </c>
      <c r="I3831" t="str">
        <f>HYPERLINK("https://zfin.org/ZDB-GENE-080829-3")</f>
        <v>https://zfin.org/ZDB-GENE-080829-3</v>
      </c>
      <c r="J3831" t="s">
        <v>6652</v>
      </c>
    </row>
    <row r="3832" spans="1:10" x14ac:dyDescent="0.2">
      <c r="A3832">
        <v>7.2753927698455207E-30</v>
      </c>
      <c r="B3832">
        <v>2.74959423909436</v>
      </c>
      <c r="C3832">
        <v>0.40500000000000003</v>
      </c>
      <c r="D3832">
        <v>3.7999999999999999E-2</v>
      </c>
      <c r="E3832">
        <v>1.0111340871531301E-25</v>
      </c>
      <c r="F3832">
        <v>10</v>
      </c>
      <c r="G3832" t="s">
        <v>6725</v>
      </c>
      <c r="H3832" t="s">
        <v>6726</v>
      </c>
      <c r="I3832" t="str">
        <f>HYPERLINK("https://zfin.org/ZDB-GENE-070928-42")</f>
        <v>https://zfin.org/ZDB-GENE-070928-42</v>
      </c>
      <c r="J3832" t="s">
        <v>6727</v>
      </c>
    </row>
    <row r="3833" spans="1:10" x14ac:dyDescent="0.2">
      <c r="A3833">
        <v>2.45482332110611E-27</v>
      </c>
      <c r="B3833">
        <v>2.5731612942545699</v>
      </c>
      <c r="C3833">
        <v>0.89200000000000002</v>
      </c>
      <c r="D3833">
        <v>0.27600000000000002</v>
      </c>
      <c r="E3833">
        <v>3.4117134516732702E-23</v>
      </c>
      <c r="F3833">
        <v>10</v>
      </c>
      <c r="G3833" t="s">
        <v>6526</v>
      </c>
      <c r="H3833" t="s">
        <v>6527</v>
      </c>
      <c r="I3833" t="str">
        <f>HYPERLINK("https://zfin.org/ZDB-GENE-061103-301")</f>
        <v>https://zfin.org/ZDB-GENE-061103-301</v>
      </c>
      <c r="J3833" t="s">
        <v>6528</v>
      </c>
    </row>
    <row r="3834" spans="1:10" x14ac:dyDescent="0.2">
      <c r="A3834">
        <v>1.15111107843487E-26</v>
      </c>
      <c r="B3834">
        <v>1.5998813019520399</v>
      </c>
      <c r="C3834">
        <v>0.59499999999999997</v>
      </c>
      <c r="D3834">
        <v>9.1999999999999998E-2</v>
      </c>
      <c r="E3834">
        <v>1.59981417680878E-22</v>
      </c>
      <c r="F3834">
        <v>10</v>
      </c>
      <c r="G3834" t="s">
        <v>6728</v>
      </c>
      <c r="H3834" t="s">
        <v>6729</v>
      </c>
      <c r="I3834" t="str">
        <f>HYPERLINK("https://zfin.org/ZDB-GENE-070705-367")</f>
        <v>https://zfin.org/ZDB-GENE-070705-367</v>
      </c>
      <c r="J3834" t="s">
        <v>6730</v>
      </c>
    </row>
    <row r="3835" spans="1:10" x14ac:dyDescent="0.2">
      <c r="A3835">
        <v>8.0252233630819097E-26</v>
      </c>
      <c r="B3835">
        <v>1.5476333892562399</v>
      </c>
      <c r="C3835">
        <v>0.83799999999999997</v>
      </c>
      <c r="D3835">
        <v>0.20899999999999999</v>
      </c>
      <c r="E3835">
        <v>1.11534554300112E-21</v>
      </c>
      <c r="F3835">
        <v>10</v>
      </c>
      <c r="G3835" t="s">
        <v>6624</v>
      </c>
      <c r="H3835" t="s">
        <v>6625</v>
      </c>
      <c r="I3835" t="str">
        <f>HYPERLINK("https://zfin.org/ZDB-GENE-050417-307")</f>
        <v>https://zfin.org/ZDB-GENE-050417-307</v>
      </c>
      <c r="J3835" t="s">
        <v>6626</v>
      </c>
    </row>
    <row r="3836" spans="1:10" x14ac:dyDescent="0.2">
      <c r="A3836">
        <v>5.8430476815217598E-25</v>
      </c>
      <c r="B3836">
        <v>1.49918485363263</v>
      </c>
      <c r="C3836">
        <v>0.81100000000000005</v>
      </c>
      <c r="D3836">
        <v>0.185</v>
      </c>
      <c r="E3836">
        <v>8.1206676677789404E-21</v>
      </c>
      <c r="F3836">
        <v>10</v>
      </c>
      <c r="G3836" t="s">
        <v>6618</v>
      </c>
      <c r="H3836" t="s">
        <v>6619</v>
      </c>
      <c r="I3836" t="str">
        <f>HYPERLINK("https://zfin.org/ZDB-GENE-040426-2528")</f>
        <v>https://zfin.org/ZDB-GENE-040426-2528</v>
      </c>
      <c r="J3836" t="s">
        <v>6620</v>
      </c>
    </row>
    <row r="3837" spans="1:10" x14ac:dyDescent="0.2">
      <c r="A3837">
        <v>1.31853221218099E-24</v>
      </c>
      <c r="B3837">
        <v>0.38374472563202</v>
      </c>
      <c r="C3837">
        <v>0.108</v>
      </c>
      <c r="D3837">
        <v>3.0000000000000001E-3</v>
      </c>
      <c r="E3837">
        <v>1.8324960684891401E-20</v>
      </c>
      <c r="F3837">
        <v>10</v>
      </c>
      <c r="G3837" t="s">
        <v>6731</v>
      </c>
      <c r="H3837" t="s">
        <v>6732</v>
      </c>
      <c r="I3837" t="str">
        <f>HYPERLINK("https://zfin.org/ZDB-GENE-030131-9700")</f>
        <v>https://zfin.org/ZDB-GENE-030131-9700</v>
      </c>
      <c r="J3837" t="s">
        <v>6733</v>
      </c>
    </row>
    <row r="3838" spans="1:10" x14ac:dyDescent="0.2">
      <c r="A3838">
        <v>2.86175440218399E-24</v>
      </c>
      <c r="B3838">
        <v>0.69196065324049205</v>
      </c>
      <c r="C3838">
        <v>0.27</v>
      </c>
      <c r="D3838">
        <v>0.02</v>
      </c>
      <c r="E3838">
        <v>3.9772662681552997E-20</v>
      </c>
      <c r="F3838">
        <v>10</v>
      </c>
      <c r="G3838" t="s">
        <v>6734</v>
      </c>
      <c r="H3838" t="s">
        <v>6735</v>
      </c>
      <c r="I3838" t="str">
        <f>HYPERLINK("https://zfin.org/ZDB-GENE-060503-103")</f>
        <v>https://zfin.org/ZDB-GENE-060503-103</v>
      </c>
      <c r="J3838" t="s">
        <v>6736</v>
      </c>
    </row>
    <row r="3839" spans="1:10" x14ac:dyDescent="0.2">
      <c r="A3839">
        <v>1.7733421337122302E-21</v>
      </c>
      <c r="B3839">
        <v>0.95030420623757395</v>
      </c>
      <c r="C3839">
        <v>0.45900000000000002</v>
      </c>
      <c r="D3839">
        <v>6.4000000000000001E-2</v>
      </c>
      <c r="E3839">
        <v>2.4645908974332601E-17</v>
      </c>
      <c r="F3839">
        <v>10</v>
      </c>
      <c r="G3839" t="s">
        <v>6737</v>
      </c>
      <c r="H3839" t="s">
        <v>6738</v>
      </c>
      <c r="I3839" t="str">
        <f>HYPERLINK("https://zfin.org/ZDB-GENE-040426-2252")</f>
        <v>https://zfin.org/ZDB-GENE-040426-2252</v>
      </c>
      <c r="J3839" t="s">
        <v>6739</v>
      </c>
    </row>
    <row r="3840" spans="1:10" x14ac:dyDescent="0.2">
      <c r="A3840">
        <v>3.8455975572366797E-21</v>
      </c>
      <c r="B3840">
        <v>0.53374970205624195</v>
      </c>
      <c r="C3840">
        <v>0.108</v>
      </c>
      <c r="D3840">
        <v>3.0000000000000001E-3</v>
      </c>
      <c r="E3840">
        <v>5.3446114850475398E-17</v>
      </c>
      <c r="F3840">
        <v>10</v>
      </c>
      <c r="G3840" t="s">
        <v>6740</v>
      </c>
      <c r="H3840" t="s">
        <v>6741</v>
      </c>
      <c r="I3840" t="str">
        <f>HYPERLINK("https://zfin.org/ZDB-GENE-160728-52")</f>
        <v>https://zfin.org/ZDB-GENE-160728-52</v>
      </c>
      <c r="J3840" t="s">
        <v>6742</v>
      </c>
    </row>
    <row r="3841" spans="1:10" x14ac:dyDescent="0.2">
      <c r="A3841">
        <v>2.5238702678729599E-20</v>
      </c>
      <c r="B3841">
        <v>1.25631187117118</v>
      </c>
      <c r="C3841">
        <v>0.45900000000000002</v>
      </c>
      <c r="D3841">
        <v>6.9000000000000006E-2</v>
      </c>
      <c r="E3841">
        <v>3.50767489828985E-16</v>
      </c>
      <c r="F3841">
        <v>10</v>
      </c>
      <c r="G3841" t="s">
        <v>6743</v>
      </c>
      <c r="H3841" t="s">
        <v>6744</v>
      </c>
      <c r="I3841" t="str">
        <f>HYPERLINK("https://zfin.org/ZDB-GENE-080829-4")</f>
        <v>https://zfin.org/ZDB-GENE-080829-4</v>
      </c>
      <c r="J3841" t="s">
        <v>6745</v>
      </c>
    </row>
    <row r="3842" spans="1:10" x14ac:dyDescent="0.2">
      <c r="A3842">
        <v>8.7887927765458592E-19</v>
      </c>
      <c r="B3842">
        <v>1.9587454437374601</v>
      </c>
      <c r="C3842">
        <v>0.59499999999999997</v>
      </c>
      <c r="D3842">
        <v>0.127</v>
      </c>
      <c r="E3842">
        <v>1.22146642008434E-14</v>
      </c>
      <c r="F3842">
        <v>10</v>
      </c>
      <c r="G3842" t="s">
        <v>6450</v>
      </c>
      <c r="H3842" t="s">
        <v>6451</v>
      </c>
      <c r="I3842" t="str">
        <f>HYPERLINK("https://zfin.org/ZDB-GENE-020111-4")</f>
        <v>https://zfin.org/ZDB-GENE-020111-4</v>
      </c>
      <c r="J3842" t="s">
        <v>6452</v>
      </c>
    </row>
    <row r="3843" spans="1:10" x14ac:dyDescent="0.2">
      <c r="A3843">
        <v>1.88183063275536E-17</v>
      </c>
      <c r="B3843">
        <v>0.67444204905532701</v>
      </c>
      <c r="C3843">
        <v>0.13500000000000001</v>
      </c>
      <c r="D3843">
        <v>7.0000000000000001E-3</v>
      </c>
      <c r="E3843">
        <v>2.6153682134034001E-13</v>
      </c>
      <c r="F3843">
        <v>10</v>
      </c>
      <c r="G3843" t="s">
        <v>6746</v>
      </c>
      <c r="H3843" t="s">
        <v>6747</v>
      </c>
      <c r="I3843" t="str">
        <f>HYPERLINK("https://zfin.org/ZDB-GENE-080723-68")</f>
        <v>https://zfin.org/ZDB-GENE-080723-68</v>
      </c>
      <c r="J3843" t="s">
        <v>6748</v>
      </c>
    </row>
    <row r="3844" spans="1:10" x14ac:dyDescent="0.2">
      <c r="A3844">
        <v>2.27744230647978E-17</v>
      </c>
      <c r="B3844">
        <v>0.33163253500128997</v>
      </c>
      <c r="C3844">
        <v>0.108</v>
      </c>
      <c r="D3844">
        <v>4.0000000000000001E-3</v>
      </c>
      <c r="E3844">
        <v>3.1651893175456002E-13</v>
      </c>
      <c r="F3844">
        <v>10</v>
      </c>
      <c r="G3844" t="s">
        <v>6749</v>
      </c>
      <c r="H3844" t="s">
        <v>6750</v>
      </c>
      <c r="I3844" t="str">
        <f>HYPERLINK("https://zfin.org/")</f>
        <v>https://zfin.org/</v>
      </c>
    </row>
    <row r="3845" spans="1:10" x14ac:dyDescent="0.2">
      <c r="A3845">
        <v>3.2561911231630197E-17</v>
      </c>
      <c r="B3845">
        <v>1.2235500692247401</v>
      </c>
      <c r="C3845">
        <v>0.35099999999999998</v>
      </c>
      <c r="D3845">
        <v>4.8000000000000001E-2</v>
      </c>
      <c r="E3845">
        <v>4.5254544229719601E-13</v>
      </c>
      <c r="F3845">
        <v>10</v>
      </c>
      <c r="G3845" t="s">
        <v>2667</v>
      </c>
      <c r="H3845" t="s">
        <v>2668</v>
      </c>
      <c r="I3845" t="str">
        <f>HYPERLINK("https://zfin.org/ZDB-GENE-081104-210")</f>
        <v>https://zfin.org/ZDB-GENE-081104-210</v>
      </c>
      <c r="J3845" t="s">
        <v>2669</v>
      </c>
    </row>
    <row r="3846" spans="1:10" x14ac:dyDescent="0.2">
      <c r="A3846">
        <v>5.3972617134568501E-17</v>
      </c>
      <c r="B3846">
        <v>1.41679781406376</v>
      </c>
      <c r="C3846">
        <v>1</v>
      </c>
      <c r="D3846">
        <v>0.95799999999999996</v>
      </c>
      <c r="E3846">
        <v>7.5011143293623195E-13</v>
      </c>
      <c r="F3846">
        <v>10</v>
      </c>
      <c r="G3846" t="s">
        <v>1293</v>
      </c>
      <c r="H3846" t="s">
        <v>1294</v>
      </c>
      <c r="I3846" t="str">
        <f>HYPERLINK("https://zfin.org/ZDB-GENE-030131-9744")</f>
        <v>https://zfin.org/ZDB-GENE-030131-9744</v>
      </c>
      <c r="J3846" t="s">
        <v>1295</v>
      </c>
    </row>
    <row r="3847" spans="1:10" x14ac:dyDescent="0.2">
      <c r="A3847">
        <v>1.5769038178959799E-15</v>
      </c>
      <c r="B3847">
        <v>0.41632022823766002</v>
      </c>
      <c r="C3847">
        <v>0.13500000000000001</v>
      </c>
      <c r="D3847">
        <v>8.0000000000000002E-3</v>
      </c>
      <c r="E3847">
        <v>2.1915809261118399E-11</v>
      </c>
      <c r="F3847">
        <v>10</v>
      </c>
      <c r="G3847" t="s">
        <v>6751</v>
      </c>
      <c r="H3847" t="s">
        <v>6752</v>
      </c>
      <c r="I3847" t="str">
        <f>HYPERLINK("https://zfin.org/ZDB-GENE-001205-4")</f>
        <v>https://zfin.org/ZDB-GENE-001205-4</v>
      </c>
      <c r="J3847" t="s">
        <v>6753</v>
      </c>
    </row>
    <row r="3848" spans="1:10" x14ac:dyDescent="0.2">
      <c r="A3848">
        <v>7.8301488837783501E-15</v>
      </c>
      <c r="B3848">
        <v>2.0834719854028201</v>
      </c>
      <c r="C3848">
        <v>0.29699999999999999</v>
      </c>
      <c r="D3848">
        <v>0.04</v>
      </c>
      <c r="E3848">
        <v>1.08823409186752E-10</v>
      </c>
      <c r="F3848">
        <v>10</v>
      </c>
      <c r="G3848" t="s">
        <v>6754</v>
      </c>
      <c r="H3848" t="s">
        <v>6755</v>
      </c>
      <c r="I3848" t="str">
        <f>HYPERLINK("https://zfin.org/ZDB-GENE-020111-3")</f>
        <v>https://zfin.org/ZDB-GENE-020111-3</v>
      </c>
      <c r="J3848" t="s">
        <v>6756</v>
      </c>
    </row>
    <row r="3849" spans="1:10" x14ac:dyDescent="0.2">
      <c r="A3849">
        <v>1.01664231579337E-14</v>
      </c>
      <c r="B3849">
        <v>1.41174082012094</v>
      </c>
      <c r="C3849">
        <v>0.78400000000000003</v>
      </c>
      <c r="D3849">
        <v>0.31</v>
      </c>
      <c r="E3849">
        <v>1.4129294904896201E-10</v>
      </c>
      <c r="F3849">
        <v>10</v>
      </c>
      <c r="G3849" t="s">
        <v>5000</v>
      </c>
      <c r="H3849" t="s">
        <v>5001</v>
      </c>
      <c r="I3849" t="str">
        <f>HYPERLINK("https://zfin.org/ZDB-GENE-040912-55")</f>
        <v>https://zfin.org/ZDB-GENE-040912-55</v>
      </c>
      <c r="J3849" t="s">
        <v>5002</v>
      </c>
    </row>
    <row r="3850" spans="1:10" x14ac:dyDescent="0.2">
      <c r="A3850">
        <v>5.41906070137848E-14</v>
      </c>
      <c r="B3850">
        <v>0.45396205441523702</v>
      </c>
      <c r="C3850">
        <v>0.16200000000000001</v>
      </c>
      <c r="D3850">
        <v>1.2999999999999999E-2</v>
      </c>
      <c r="E3850">
        <v>7.53141056277582E-10</v>
      </c>
      <c r="F3850">
        <v>10</v>
      </c>
      <c r="G3850" t="s">
        <v>6757</v>
      </c>
      <c r="H3850" t="s">
        <v>6758</v>
      </c>
      <c r="I3850" t="str">
        <f>HYPERLINK("https://zfin.org/ZDB-GENE-041001-132")</f>
        <v>https://zfin.org/ZDB-GENE-041001-132</v>
      </c>
      <c r="J3850" t="s">
        <v>6759</v>
      </c>
    </row>
    <row r="3851" spans="1:10" x14ac:dyDescent="0.2">
      <c r="A3851">
        <v>9.6462338596965096E-14</v>
      </c>
      <c r="B3851">
        <v>0.96486349795356696</v>
      </c>
      <c r="C3851">
        <v>0.13500000000000001</v>
      </c>
      <c r="D3851">
        <v>8.9999999999999993E-3</v>
      </c>
      <c r="E3851">
        <v>1.34063358182062E-9</v>
      </c>
      <c r="F3851">
        <v>10</v>
      </c>
      <c r="G3851" t="s">
        <v>6760</v>
      </c>
      <c r="H3851" t="s">
        <v>6761</v>
      </c>
      <c r="I3851" t="str">
        <f>HYPERLINK("https://zfin.org/ZDB-GENE-050506-102")</f>
        <v>https://zfin.org/ZDB-GENE-050506-102</v>
      </c>
      <c r="J3851" t="s">
        <v>6762</v>
      </c>
    </row>
    <row r="3852" spans="1:10" x14ac:dyDescent="0.2">
      <c r="A3852">
        <v>1.15855812409455E-13</v>
      </c>
      <c r="B3852">
        <v>0.85966375402629003</v>
      </c>
      <c r="C3852">
        <v>0.40500000000000003</v>
      </c>
      <c r="D3852">
        <v>7.4999999999999997E-2</v>
      </c>
      <c r="E3852">
        <v>1.61016408086661E-9</v>
      </c>
      <c r="F3852">
        <v>10</v>
      </c>
      <c r="G3852" t="s">
        <v>6763</v>
      </c>
      <c r="H3852" t="s">
        <v>6764</v>
      </c>
      <c r="I3852" t="str">
        <f>HYPERLINK("https://zfin.org/ZDB-GENE-080829-3")</f>
        <v>https://zfin.org/ZDB-GENE-080829-3</v>
      </c>
      <c r="J3852" t="s">
        <v>6652</v>
      </c>
    </row>
    <row r="3853" spans="1:10" x14ac:dyDescent="0.2">
      <c r="A3853">
        <v>2.4413559935960599E-13</v>
      </c>
      <c r="B3853">
        <v>0.30282749559338001</v>
      </c>
      <c r="C3853">
        <v>0.108</v>
      </c>
      <c r="D3853">
        <v>6.0000000000000001E-3</v>
      </c>
      <c r="E3853">
        <v>3.3929965598998E-9</v>
      </c>
      <c r="F3853">
        <v>10</v>
      </c>
      <c r="G3853" t="s">
        <v>6765</v>
      </c>
      <c r="H3853" t="s">
        <v>6766</v>
      </c>
      <c r="I3853" t="str">
        <f>HYPERLINK("https://zfin.org/ZDB-GENE-131127-429")</f>
        <v>https://zfin.org/ZDB-GENE-131127-429</v>
      </c>
      <c r="J3853" t="s">
        <v>6767</v>
      </c>
    </row>
    <row r="3854" spans="1:10" x14ac:dyDescent="0.2">
      <c r="A3854">
        <v>5.7353342997659497E-13</v>
      </c>
      <c r="B3854">
        <v>1.5268283145955699</v>
      </c>
      <c r="C3854">
        <v>0.81100000000000005</v>
      </c>
      <c r="D3854">
        <v>0.36799999999999999</v>
      </c>
      <c r="E3854">
        <v>7.97096760981471E-9</v>
      </c>
      <c r="F3854">
        <v>10</v>
      </c>
      <c r="G3854" t="s">
        <v>2526</v>
      </c>
      <c r="H3854" t="s">
        <v>2527</v>
      </c>
      <c r="I3854" t="str">
        <f>HYPERLINK("https://zfin.org/ZDB-GENE-030131-8760")</f>
        <v>https://zfin.org/ZDB-GENE-030131-8760</v>
      </c>
      <c r="J3854" t="s">
        <v>2528</v>
      </c>
    </row>
    <row r="3855" spans="1:10" x14ac:dyDescent="0.2">
      <c r="A3855">
        <v>8.9991106411094197E-13</v>
      </c>
      <c r="B3855">
        <v>1.60195386012343</v>
      </c>
      <c r="C3855">
        <v>0.83799999999999997</v>
      </c>
      <c r="D3855">
        <v>0.434</v>
      </c>
      <c r="E3855">
        <v>1.2506963969013899E-8</v>
      </c>
      <c r="F3855">
        <v>10</v>
      </c>
      <c r="G3855" t="s">
        <v>2706</v>
      </c>
      <c r="H3855" t="s">
        <v>2707</v>
      </c>
      <c r="I3855" t="str">
        <f>HYPERLINK("https://zfin.org/ZDB-GENE-080829-12")</f>
        <v>https://zfin.org/ZDB-GENE-080829-12</v>
      </c>
      <c r="J3855" t="s">
        <v>2708</v>
      </c>
    </row>
    <row r="3856" spans="1:10" x14ac:dyDescent="0.2">
      <c r="A3856">
        <v>1.0045885886197201E-12</v>
      </c>
      <c r="B3856">
        <v>1.01059866516457</v>
      </c>
      <c r="C3856">
        <v>1</v>
      </c>
      <c r="D3856">
        <v>0.93</v>
      </c>
      <c r="E3856">
        <v>1.39617722046369E-8</v>
      </c>
      <c r="F3856">
        <v>10</v>
      </c>
      <c r="G3856" t="s">
        <v>1065</v>
      </c>
      <c r="H3856" t="s">
        <v>1066</v>
      </c>
      <c r="I3856" t="str">
        <f>HYPERLINK("https://zfin.org/ZDB-GENE-030131-3532")</f>
        <v>https://zfin.org/ZDB-GENE-030131-3532</v>
      </c>
      <c r="J3856" t="s">
        <v>1067</v>
      </c>
    </row>
    <row r="3857" spans="1:10" x14ac:dyDescent="0.2">
      <c r="A3857">
        <v>1.68449544181737E-12</v>
      </c>
      <c r="B3857">
        <v>1.9819008516818</v>
      </c>
      <c r="C3857">
        <v>0.91900000000000004</v>
      </c>
      <c r="D3857">
        <v>0.73599999999999999</v>
      </c>
      <c r="E3857">
        <v>2.3411117650377901E-8</v>
      </c>
      <c r="F3857">
        <v>10</v>
      </c>
      <c r="G3857" t="s">
        <v>2015</v>
      </c>
      <c r="H3857" t="s">
        <v>2016</v>
      </c>
      <c r="I3857" t="str">
        <f>HYPERLINK("https://zfin.org/ZDB-GENE-030131-12")</f>
        <v>https://zfin.org/ZDB-GENE-030131-12</v>
      </c>
      <c r="J3857" t="s">
        <v>2017</v>
      </c>
    </row>
    <row r="3858" spans="1:10" x14ac:dyDescent="0.2">
      <c r="A3858">
        <v>1.6868814631099801E-12</v>
      </c>
      <c r="B3858">
        <v>1.2050872619225901</v>
      </c>
      <c r="C3858">
        <v>0.378</v>
      </c>
      <c r="D3858">
        <v>7.0999999999999994E-2</v>
      </c>
      <c r="E3858">
        <v>2.34442785743025E-8</v>
      </c>
      <c r="F3858">
        <v>10</v>
      </c>
      <c r="G3858" t="s">
        <v>3160</v>
      </c>
      <c r="H3858" t="s">
        <v>3161</v>
      </c>
      <c r="I3858" t="str">
        <f>HYPERLINK("https://zfin.org/ZDB-GENE-031118-45")</f>
        <v>https://zfin.org/ZDB-GENE-031118-45</v>
      </c>
      <c r="J3858" t="s">
        <v>3162</v>
      </c>
    </row>
    <row r="3859" spans="1:10" x14ac:dyDescent="0.2">
      <c r="A3859">
        <v>1.73742387943676E-12</v>
      </c>
      <c r="B3859">
        <v>0.36349321711428301</v>
      </c>
      <c r="C3859">
        <v>0.189</v>
      </c>
      <c r="D3859">
        <v>1.9E-2</v>
      </c>
      <c r="E3859">
        <v>2.41467170764121E-8</v>
      </c>
      <c r="F3859">
        <v>10</v>
      </c>
      <c r="G3859" t="s">
        <v>6768</v>
      </c>
      <c r="H3859" t="s">
        <v>6769</v>
      </c>
      <c r="I3859" t="str">
        <f>HYPERLINK("https://zfin.org/ZDB-GENE-061013-607")</f>
        <v>https://zfin.org/ZDB-GENE-061013-607</v>
      </c>
      <c r="J3859" t="s">
        <v>6770</v>
      </c>
    </row>
    <row r="3860" spans="1:10" x14ac:dyDescent="0.2">
      <c r="A3860">
        <v>1.98682235353132E-12</v>
      </c>
      <c r="B3860">
        <v>0.965934978873214</v>
      </c>
      <c r="C3860">
        <v>0.70299999999999996</v>
      </c>
      <c r="D3860">
        <v>0.246</v>
      </c>
      <c r="E3860">
        <v>2.7612857069378299E-8</v>
      </c>
      <c r="F3860">
        <v>10</v>
      </c>
      <c r="G3860" t="s">
        <v>6771</v>
      </c>
      <c r="H3860" t="s">
        <v>6772</v>
      </c>
      <c r="I3860" t="str">
        <f>HYPERLINK("https://zfin.org/ZDB-GENE-050522-450")</f>
        <v>https://zfin.org/ZDB-GENE-050522-450</v>
      </c>
      <c r="J3860" t="s">
        <v>6773</v>
      </c>
    </row>
    <row r="3861" spans="1:10" x14ac:dyDescent="0.2">
      <c r="A3861">
        <v>5.7153389061988502E-12</v>
      </c>
      <c r="B3861">
        <v>2.2449166182323701</v>
      </c>
      <c r="C3861">
        <v>0.24299999999999999</v>
      </c>
      <c r="D3861">
        <v>3.4000000000000002E-2</v>
      </c>
      <c r="E3861">
        <v>7.9431780118351601E-8</v>
      </c>
      <c r="F3861">
        <v>10</v>
      </c>
      <c r="G3861" t="s">
        <v>6774</v>
      </c>
      <c r="H3861" t="s">
        <v>6775</v>
      </c>
      <c r="I3861" t="str">
        <f>HYPERLINK("https://zfin.org/ZDB-GENE-021231-1")</f>
        <v>https://zfin.org/ZDB-GENE-021231-1</v>
      </c>
      <c r="J3861" t="s">
        <v>6776</v>
      </c>
    </row>
    <row r="3862" spans="1:10" x14ac:dyDescent="0.2">
      <c r="A3862">
        <v>8.0351359988191905E-12</v>
      </c>
      <c r="B3862">
        <v>1.06403519672177</v>
      </c>
      <c r="C3862">
        <v>0.70299999999999996</v>
      </c>
      <c r="D3862">
        <v>0.26700000000000002</v>
      </c>
      <c r="E3862">
        <v>1.11672320111589E-7</v>
      </c>
      <c r="F3862">
        <v>10</v>
      </c>
      <c r="G3862" t="s">
        <v>3426</v>
      </c>
      <c r="H3862" t="s">
        <v>3427</v>
      </c>
      <c r="I3862" t="str">
        <f>HYPERLINK("https://zfin.org/ZDB-GENE-030131-7332")</f>
        <v>https://zfin.org/ZDB-GENE-030131-7332</v>
      </c>
      <c r="J3862" t="s">
        <v>3428</v>
      </c>
    </row>
    <row r="3863" spans="1:10" x14ac:dyDescent="0.2">
      <c r="A3863">
        <v>7.9050692824676504E-11</v>
      </c>
      <c r="B3863">
        <v>0.75974677917824796</v>
      </c>
      <c r="C3863">
        <v>0.32400000000000001</v>
      </c>
      <c r="D3863">
        <v>6.2E-2</v>
      </c>
      <c r="E3863">
        <v>1.0986465288773499E-6</v>
      </c>
      <c r="F3863">
        <v>10</v>
      </c>
      <c r="G3863" t="s">
        <v>6777</v>
      </c>
      <c r="H3863" t="s">
        <v>6778</v>
      </c>
      <c r="I3863" t="str">
        <f>HYPERLINK("https://zfin.org/ZDB-GENE-091204-431")</f>
        <v>https://zfin.org/ZDB-GENE-091204-431</v>
      </c>
      <c r="J3863" t="s">
        <v>6779</v>
      </c>
    </row>
    <row r="3864" spans="1:10" x14ac:dyDescent="0.2">
      <c r="A3864">
        <v>1.19345434527023E-10</v>
      </c>
      <c r="B3864">
        <v>0.83954628817070698</v>
      </c>
      <c r="C3864">
        <v>0.32400000000000001</v>
      </c>
      <c r="D3864">
        <v>6.4000000000000001E-2</v>
      </c>
      <c r="E3864">
        <v>1.6586628490565701E-6</v>
      </c>
      <c r="F3864">
        <v>10</v>
      </c>
      <c r="G3864" t="s">
        <v>6402</v>
      </c>
      <c r="H3864" t="s">
        <v>6403</v>
      </c>
      <c r="I3864" t="str">
        <f>HYPERLINK("https://zfin.org/ZDB-GENE-040704-4")</f>
        <v>https://zfin.org/ZDB-GENE-040704-4</v>
      </c>
      <c r="J3864" t="s">
        <v>6404</v>
      </c>
    </row>
    <row r="3865" spans="1:10" x14ac:dyDescent="0.2">
      <c r="A3865">
        <v>1.1956215039721501E-10</v>
      </c>
      <c r="B3865">
        <v>1.14496561275566</v>
      </c>
      <c r="C3865">
        <v>0.86499999999999999</v>
      </c>
      <c r="D3865">
        <v>0.49399999999999999</v>
      </c>
      <c r="E3865">
        <v>1.6616747662204899E-6</v>
      </c>
      <c r="F3865">
        <v>10</v>
      </c>
      <c r="G3865" t="s">
        <v>4955</v>
      </c>
      <c r="H3865" t="s">
        <v>4956</v>
      </c>
      <c r="I3865" t="str">
        <f>HYPERLINK("https://zfin.org/ZDB-GENE-030826-15")</f>
        <v>https://zfin.org/ZDB-GENE-030826-15</v>
      </c>
      <c r="J3865" t="s">
        <v>4957</v>
      </c>
    </row>
    <row r="3866" spans="1:10" x14ac:dyDescent="0.2">
      <c r="A3866">
        <v>2.91932812329342E-10</v>
      </c>
      <c r="B3866">
        <v>0.43362008116975698</v>
      </c>
      <c r="C3866">
        <v>0.189</v>
      </c>
      <c r="D3866">
        <v>2.4E-2</v>
      </c>
      <c r="E3866">
        <v>4.0572822257531998E-6</v>
      </c>
      <c r="F3866">
        <v>10</v>
      </c>
      <c r="G3866" t="s">
        <v>6780</v>
      </c>
      <c r="H3866" t="s">
        <v>6781</v>
      </c>
      <c r="I3866" t="str">
        <f>HYPERLINK("https://zfin.org/ZDB-GENE-030131-7349")</f>
        <v>https://zfin.org/ZDB-GENE-030131-7349</v>
      </c>
      <c r="J3866" t="s">
        <v>6782</v>
      </c>
    </row>
    <row r="3867" spans="1:10" x14ac:dyDescent="0.2">
      <c r="A3867">
        <v>3.2410838751012199E-10</v>
      </c>
      <c r="B3867">
        <v>1.5266917513704401</v>
      </c>
      <c r="C3867">
        <v>0.16200000000000001</v>
      </c>
      <c r="D3867">
        <v>1.7999999999999999E-2</v>
      </c>
      <c r="E3867">
        <v>4.50445836961567E-6</v>
      </c>
      <c r="F3867">
        <v>10</v>
      </c>
      <c r="G3867" t="s">
        <v>6783</v>
      </c>
      <c r="H3867" t="s">
        <v>6784</v>
      </c>
      <c r="I3867" t="str">
        <f>HYPERLINK("https://zfin.org/ZDB-GENE-081022-193")</f>
        <v>https://zfin.org/ZDB-GENE-081022-193</v>
      </c>
      <c r="J3867" t="s">
        <v>6785</v>
      </c>
    </row>
    <row r="3868" spans="1:10" x14ac:dyDescent="0.2">
      <c r="A3868">
        <v>4.3430282949455297E-10</v>
      </c>
      <c r="B3868">
        <v>0.86887939504979605</v>
      </c>
      <c r="C3868">
        <v>0.81100000000000005</v>
      </c>
      <c r="D3868">
        <v>0.41</v>
      </c>
      <c r="E3868">
        <v>6.0359407243152902E-6</v>
      </c>
      <c r="F3868">
        <v>10</v>
      </c>
      <c r="G3868" t="s">
        <v>2463</v>
      </c>
      <c r="H3868" t="s">
        <v>2464</v>
      </c>
      <c r="I3868" t="str">
        <f>HYPERLINK("https://zfin.org/ZDB-GENE-030131-8466")</f>
        <v>https://zfin.org/ZDB-GENE-030131-8466</v>
      </c>
      <c r="J3868" t="s">
        <v>2465</v>
      </c>
    </row>
    <row r="3869" spans="1:10" x14ac:dyDescent="0.2">
      <c r="A3869">
        <v>5.1656948709850798E-10</v>
      </c>
      <c r="B3869">
        <v>0.44846720496152598</v>
      </c>
      <c r="C3869">
        <v>0.189</v>
      </c>
      <c r="D3869">
        <v>2.4E-2</v>
      </c>
      <c r="E3869">
        <v>7.1792827316950602E-6</v>
      </c>
      <c r="F3869">
        <v>10</v>
      </c>
      <c r="G3869" t="s">
        <v>6786</v>
      </c>
      <c r="H3869" t="s">
        <v>6787</v>
      </c>
      <c r="I3869" t="str">
        <f>HYPERLINK("https://zfin.org/ZDB-GENE-050223-1")</f>
        <v>https://zfin.org/ZDB-GENE-050223-1</v>
      </c>
      <c r="J3869" t="s">
        <v>6788</v>
      </c>
    </row>
    <row r="3870" spans="1:10" x14ac:dyDescent="0.2">
      <c r="A3870">
        <v>1.1014154353547101E-9</v>
      </c>
      <c r="B3870">
        <v>0.71175108530932196</v>
      </c>
      <c r="C3870">
        <v>0.24299999999999999</v>
      </c>
      <c r="D3870">
        <v>0.04</v>
      </c>
      <c r="E3870">
        <v>1.5307471720559801E-5</v>
      </c>
      <c r="F3870">
        <v>10</v>
      </c>
      <c r="G3870" t="s">
        <v>6405</v>
      </c>
      <c r="H3870" t="s">
        <v>6406</v>
      </c>
      <c r="I3870" t="str">
        <f>HYPERLINK("https://zfin.org/ZDB-GENE-980526-320")</f>
        <v>https://zfin.org/ZDB-GENE-980526-320</v>
      </c>
      <c r="J3870" t="s">
        <v>6407</v>
      </c>
    </row>
    <row r="3871" spans="1:10" x14ac:dyDescent="0.2">
      <c r="A3871">
        <v>3.8503860771820801E-9</v>
      </c>
      <c r="B3871">
        <v>0.84928585187771799</v>
      </c>
      <c r="C3871">
        <v>0.27</v>
      </c>
      <c r="D3871">
        <v>5.1999999999999998E-2</v>
      </c>
      <c r="E3871">
        <v>5.3512665700676602E-5</v>
      </c>
      <c r="F3871">
        <v>10</v>
      </c>
      <c r="G3871" t="s">
        <v>6789</v>
      </c>
      <c r="H3871" t="s">
        <v>6790</v>
      </c>
      <c r="I3871" t="str">
        <f>HYPERLINK("https://zfin.org/ZDB-GENE-041210-182")</f>
        <v>https://zfin.org/ZDB-GENE-041210-182</v>
      </c>
      <c r="J3871" t="s">
        <v>6791</v>
      </c>
    </row>
    <row r="3872" spans="1:10" x14ac:dyDescent="0.2">
      <c r="A3872">
        <v>4.1437138415726396E-9</v>
      </c>
      <c r="B3872">
        <v>0.60410751022534004</v>
      </c>
      <c r="C3872">
        <v>0.35099999999999998</v>
      </c>
      <c r="D3872">
        <v>8.1000000000000003E-2</v>
      </c>
      <c r="E3872">
        <v>5.7589334970176597E-5</v>
      </c>
      <c r="F3872">
        <v>10</v>
      </c>
      <c r="G3872" t="s">
        <v>6792</v>
      </c>
      <c r="H3872" t="s">
        <v>6793</v>
      </c>
      <c r="I3872" t="str">
        <f>HYPERLINK("https://zfin.org/ZDB-GENE-030826-33")</f>
        <v>https://zfin.org/ZDB-GENE-030826-33</v>
      </c>
      <c r="J3872" t="s">
        <v>6794</v>
      </c>
    </row>
    <row r="3873" spans="1:10" x14ac:dyDescent="0.2">
      <c r="A3873">
        <v>6.9161446366546099E-9</v>
      </c>
      <c r="B3873">
        <v>0.88960951095988305</v>
      </c>
      <c r="C3873">
        <v>0.91900000000000004</v>
      </c>
      <c r="D3873">
        <v>0.60299999999999998</v>
      </c>
      <c r="E3873">
        <v>9.6120578160225798E-5</v>
      </c>
      <c r="F3873">
        <v>10</v>
      </c>
      <c r="G3873" t="s">
        <v>1895</v>
      </c>
      <c r="H3873" t="s">
        <v>1896</v>
      </c>
      <c r="I3873" t="str">
        <f>HYPERLINK("https://zfin.org/ZDB-GENE-030131-2391")</f>
        <v>https://zfin.org/ZDB-GENE-030131-2391</v>
      </c>
      <c r="J3873" t="s">
        <v>1897</v>
      </c>
    </row>
    <row r="3874" spans="1:10" x14ac:dyDescent="0.2">
      <c r="A3874">
        <v>7.1248592593596602E-9</v>
      </c>
      <c r="B3874">
        <v>0.490268679112906</v>
      </c>
      <c r="C3874">
        <v>0.16200000000000001</v>
      </c>
      <c r="D3874">
        <v>2.1000000000000001E-2</v>
      </c>
      <c r="E3874">
        <v>9.9021293986580603E-5</v>
      </c>
      <c r="F3874">
        <v>10</v>
      </c>
      <c r="G3874" t="s">
        <v>6795</v>
      </c>
      <c r="H3874" t="s">
        <v>6796</v>
      </c>
      <c r="I3874" t="str">
        <f>HYPERLINK("https://zfin.org/ZDB-GENE-110418-1")</f>
        <v>https://zfin.org/ZDB-GENE-110418-1</v>
      </c>
      <c r="J3874" t="s">
        <v>6797</v>
      </c>
    </row>
    <row r="3875" spans="1:10" x14ac:dyDescent="0.2">
      <c r="A3875">
        <v>1.5588856514356799E-8</v>
      </c>
      <c r="B3875">
        <v>0.28962166288463798</v>
      </c>
      <c r="C3875">
        <v>0.13500000000000001</v>
      </c>
      <c r="D3875">
        <v>1.4999999999999999E-2</v>
      </c>
      <c r="E3875">
        <v>2.1665392783652999E-4</v>
      </c>
      <c r="F3875">
        <v>10</v>
      </c>
      <c r="G3875" t="s">
        <v>6798</v>
      </c>
      <c r="H3875" t="s">
        <v>6799</v>
      </c>
      <c r="I3875" t="str">
        <f>HYPERLINK("https://zfin.org/ZDB-GENE-050227-5")</f>
        <v>https://zfin.org/ZDB-GENE-050227-5</v>
      </c>
      <c r="J3875" t="s">
        <v>6800</v>
      </c>
    </row>
    <row r="3876" spans="1:10" x14ac:dyDescent="0.2">
      <c r="A3876">
        <v>1.6094625479386501E-8</v>
      </c>
      <c r="B3876">
        <v>0.49522551718270302</v>
      </c>
      <c r="C3876">
        <v>0.189</v>
      </c>
      <c r="D3876">
        <v>2.9000000000000001E-2</v>
      </c>
      <c r="E3876">
        <v>2.23683104912513E-4</v>
      </c>
      <c r="F3876">
        <v>10</v>
      </c>
      <c r="G3876" t="s">
        <v>6801</v>
      </c>
      <c r="H3876" t="s">
        <v>6802</v>
      </c>
      <c r="I3876" t="str">
        <f>HYPERLINK("https://zfin.org/ZDB-GENE-001120-1")</f>
        <v>https://zfin.org/ZDB-GENE-001120-1</v>
      </c>
      <c r="J3876" t="s">
        <v>6803</v>
      </c>
    </row>
    <row r="3877" spans="1:10" x14ac:dyDescent="0.2">
      <c r="A3877">
        <v>3.4738719008324803E-8</v>
      </c>
      <c r="B3877">
        <v>0.31891367280743199</v>
      </c>
      <c r="C3877">
        <v>0.16200000000000001</v>
      </c>
      <c r="D3877">
        <v>2.1999999999999999E-2</v>
      </c>
      <c r="E3877">
        <v>4.8279871677769698E-4</v>
      </c>
      <c r="F3877">
        <v>10</v>
      </c>
      <c r="G3877" t="s">
        <v>6804</v>
      </c>
      <c r="H3877" t="s">
        <v>6805</v>
      </c>
      <c r="I3877" t="str">
        <f>HYPERLINK("https://zfin.org/ZDB-GENE-030131-8516")</f>
        <v>https://zfin.org/ZDB-GENE-030131-8516</v>
      </c>
      <c r="J3877" t="s">
        <v>6806</v>
      </c>
    </row>
    <row r="3878" spans="1:10" x14ac:dyDescent="0.2">
      <c r="A3878">
        <v>3.8471872937413799E-8</v>
      </c>
      <c r="B3878">
        <v>0.55396007134092995</v>
      </c>
      <c r="C3878">
        <v>0.27</v>
      </c>
      <c r="D3878">
        <v>5.6000000000000001E-2</v>
      </c>
      <c r="E3878">
        <v>5.3468209008417696E-4</v>
      </c>
      <c r="F3878">
        <v>10</v>
      </c>
      <c r="G3878" t="s">
        <v>6807</v>
      </c>
      <c r="H3878" t="s">
        <v>6808</v>
      </c>
      <c r="I3878" t="str">
        <f>HYPERLINK("https://zfin.org/ZDB-GENE-040808-37")</f>
        <v>https://zfin.org/ZDB-GENE-040808-37</v>
      </c>
      <c r="J3878" t="s">
        <v>6809</v>
      </c>
    </row>
    <row r="3879" spans="1:10" x14ac:dyDescent="0.2">
      <c r="A3879">
        <v>5.8284369821910998E-8</v>
      </c>
      <c r="B3879">
        <v>0.39474283956773998</v>
      </c>
      <c r="C3879">
        <v>0.16200000000000001</v>
      </c>
      <c r="D3879">
        <v>2.3E-2</v>
      </c>
      <c r="E3879">
        <v>8.1003617178491798E-4</v>
      </c>
      <c r="F3879">
        <v>10</v>
      </c>
      <c r="G3879" t="s">
        <v>6810</v>
      </c>
      <c r="H3879" t="s">
        <v>6811</v>
      </c>
      <c r="I3879" t="str">
        <f>HYPERLINK("https://zfin.org/ZDB-GENE-060531-108")</f>
        <v>https://zfin.org/ZDB-GENE-060531-108</v>
      </c>
      <c r="J3879" t="s">
        <v>6812</v>
      </c>
    </row>
    <row r="3880" spans="1:10" x14ac:dyDescent="0.2">
      <c r="A3880">
        <v>6.2961676041033804E-8</v>
      </c>
      <c r="B3880">
        <v>0.45768245470128099</v>
      </c>
      <c r="C3880">
        <v>0.16200000000000001</v>
      </c>
      <c r="D3880">
        <v>2.3E-2</v>
      </c>
      <c r="E3880">
        <v>8.7504137361828704E-4</v>
      </c>
      <c r="F3880">
        <v>10</v>
      </c>
      <c r="G3880" t="s">
        <v>6813</v>
      </c>
      <c r="H3880" t="s">
        <v>6814</v>
      </c>
      <c r="I3880" t="str">
        <f>HYPERLINK("https://zfin.org/ZDB-GENE-040704-21")</f>
        <v>https://zfin.org/ZDB-GENE-040704-21</v>
      </c>
      <c r="J3880" t="s">
        <v>6815</v>
      </c>
    </row>
    <row r="3881" spans="1:10" x14ac:dyDescent="0.2">
      <c r="A3881">
        <v>1.2091695991684799E-94</v>
      </c>
      <c r="B3881">
        <v>1.0362702433401501</v>
      </c>
      <c r="C3881">
        <v>0.627</v>
      </c>
      <c r="D3881">
        <v>0.20799999999999999</v>
      </c>
      <c r="E3881">
        <v>1.68050390892435E-90</v>
      </c>
      <c r="F3881">
        <v>11</v>
      </c>
      <c r="G3881" t="s">
        <v>2864</v>
      </c>
      <c r="H3881" t="s">
        <v>2865</v>
      </c>
      <c r="I3881" t="str">
        <f>HYPERLINK("https://zfin.org/ZDB-GENE-110411-139")</f>
        <v>https://zfin.org/ZDB-GENE-110411-139</v>
      </c>
      <c r="J3881" t="s">
        <v>2866</v>
      </c>
    </row>
    <row r="3882" spans="1:10" x14ac:dyDescent="0.2">
      <c r="A3882">
        <v>1.1954071262145001E-68</v>
      </c>
      <c r="B3882">
        <v>0.71095541856467503</v>
      </c>
      <c r="C3882">
        <v>0.23300000000000001</v>
      </c>
      <c r="D3882">
        <v>2.9000000000000001E-2</v>
      </c>
      <c r="E3882">
        <v>1.66137682401291E-64</v>
      </c>
      <c r="F3882">
        <v>11</v>
      </c>
      <c r="G3882" t="s">
        <v>6155</v>
      </c>
      <c r="H3882" t="s">
        <v>6156</v>
      </c>
      <c r="I3882" t="str">
        <f>HYPERLINK("https://zfin.org/ZDB-GENE-050417-29")</f>
        <v>https://zfin.org/ZDB-GENE-050417-29</v>
      </c>
      <c r="J3882" t="s">
        <v>6157</v>
      </c>
    </row>
    <row r="3883" spans="1:10" x14ac:dyDescent="0.2">
      <c r="A3883">
        <v>6.6997332044784405E-66</v>
      </c>
      <c r="B3883">
        <v>0.94479744879727801</v>
      </c>
      <c r="C3883">
        <v>0.35499999999999998</v>
      </c>
      <c r="D3883">
        <v>8.5000000000000006E-2</v>
      </c>
      <c r="E3883">
        <v>9.3112892075841301E-62</v>
      </c>
      <c r="F3883">
        <v>11</v>
      </c>
      <c r="G3883" t="s">
        <v>3189</v>
      </c>
      <c r="H3883" t="s">
        <v>3190</v>
      </c>
      <c r="I3883" t="str">
        <f>HYPERLINK("https://zfin.org/ZDB-GENE-030131-9923")</f>
        <v>https://zfin.org/ZDB-GENE-030131-9923</v>
      </c>
      <c r="J3883" t="s">
        <v>3191</v>
      </c>
    </row>
    <row r="3884" spans="1:10" x14ac:dyDescent="0.2">
      <c r="A3884">
        <v>7.4721202604700102E-61</v>
      </c>
      <c r="B3884">
        <v>0.73469489266565602</v>
      </c>
      <c r="C3884">
        <v>0.77500000000000002</v>
      </c>
      <c r="D3884">
        <v>0.48499999999999999</v>
      </c>
      <c r="E3884">
        <v>1.0384752738001201E-56</v>
      </c>
      <c r="F3884">
        <v>11</v>
      </c>
      <c r="G3884" t="s">
        <v>2280</v>
      </c>
      <c r="H3884" t="s">
        <v>2281</v>
      </c>
      <c r="I3884" t="str">
        <f>HYPERLINK("https://zfin.org/ZDB-GENE-080723-23")</f>
        <v>https://zfin.org/ZDB-GENE-080723-23</v>
      </c>
      <c r="J3884" t="s">
        <v>2282</v>
      </c>
    </row>
    <row r="3885" spans="1:10" x14ac:dyDescent="0.2">
      <c r="A3885">
        <v>1.21155410865553E-59</v>
      </c>
      <c r="B3885">
        <v>0.63983011909071397</v>
      </c>
      <c r="C3885">
        <v>0.224</v>
      </c>
      <c r="D3885">
        <v>3.2000000000000001E-2</v>
      </c>
      <c r="E3885">
        <v>1.6838179002094598E-55</v>
      </c>
      <c r="F3885">
        <v>11</v>
      </c>
      <c r="G3885" t="s">
        <v>6021</v>
      </c>
      <c r="H3885" t="s">
        <v>6022</v>
      </c>
      <c r="I3885" t="str">
        <f>HYPERLINK("https://zfin.org/ZDB-GENE-021209-1")</f>
        <v>https://zfin.org/ZDB-GENE-021209-1</v>
      </c>
      <c r="J3885" t="s">
        <v>6023</v>
      </c>
    </row>
    <row r="3886" spans="1:10" x14ac:dyDescent="0.2">
      <c r="A3886">
        <v>1.3435456881466001E-53</v>
      </c>
      <c r="B3886">
        <v>-1.0174762908679</v>
      </c>
      <c r="C3886">
        <v>0.42699999999999999</v>
      </c>
      <c r="D3886">
        <v>0.72</v>
      </c>
      <c r="E3886">
        <v>1.8672597973861501E-49</v>
      </c>
      <c r="F3886">
        <v>11</v>
      </c>
      <c r="G3886" t="s">
        <v>4701</v>
      </c>
      <c r="H3886" t="s">
        <v>4702</v>
      </c>
      <c r="I3886" t="str">
        <f>HYPERLINK("https://zfin.org/ZDB-GENE-030411-5")</f>
        <v>https://zfin.org/ZDB-GENE-030411-5</v>
      </c>
      <c r="J3886" t="s">
        <v>4703</v>
      </c>
    </row>
    <row r="3887" spans="1:10" x14ac:dyDescent="0.2">
      <c r="A3887">
        <v>1.06987695099244E-51</v>
      </c>
      <c r="B3887">
        <v>0.59874922433901201</v>
      </c>
      <c r="C3887">
        <v>0.21</v>
      </c>
      <c r="D3887">
        <v>3.4000000000000002E-2</v>
      </c>
      <c r="E3887">
        <v>1.4869149864892901E-47</v>
      </c>
      <c r="F3887">
        <v>11</v>
      </c>
      <c r="G3887" t="s">
        <v>5949</v>
      </c>
      <c r="H3887" t="s">
        <v>5950</v>
      </c>
      <c r="I3887" t="str">
        <f>HYPERLINK("https://zfin.org/ZDB-GENE-020419-4")</f>
        <v>https://zfin.org/ZDB-GENE-020419-4</v>
      </c>
      <c r="J3887" t="s">
        <v>5951</v>
      </c>
    </row>
    <row r="3888" spans="1:10" x14ac:dyDescent="0.2">
      <c r="A3888">
        <v>3.39362138227609E-50</v>
      </c>
      <c r="B3888">
        <v>0.75622089835042605</v>
      </c>
      <c r="C3888">
        <v>0.68</v>
      </c>
      <c r="D3888">
        <v>0.39</v>
      </c>
      <c r="E3888">
        <v>4.7164549970873202E-46</v>
      </c>
      <c r="F3888">
        <v>11</v>
      </c>
      <c r="G3888" t="s">
        <v>2415</v>
      </c>
      <c r="H3888" t="s">
        <v>2416</v>
      </c>
      <c r="I3888" t="str">
        <f>HYPERLINK("https://zfin.org/ZDB-GENE-980526-416")</f>
        <v>https://zfin.org/ZDB-GENE-980526-416</v>
      </c>
      <c r="J3888" t="s">
        <v>2417</v>
      </c>
    </row>
    <row r="3889" spans="1:10" x14ac:dyDescent="0.2">
      <c r="A3889">
        <v>4.6520663122524E-48</v>
      </c>
      <c r="B3889">
        <v>0.27343467740414101</v>
      </c>
      <c r="C3889">
        <v>1</v>
      </c>
      <c r="D3889">
        <v>0.999</v>
      </c>
      <c r="E3889">
        <v>6.4654417607683896E-44</v>
      </c>
      <c r="F3889">
        <v>11</v>
      </c>
      <c r="G3889" t="s">
        <v>1284</v>
      </c>
      <c r="H3889" t="s">
        <v>1285</v>
      </c>
      <c r="I3889" t="str">
        <f>HYPERLINK("https://zfin.org/ZDB-GENE-030131-8663")</f>
        <v>https://zfin.org/ZDB-GENE-030131-8663</v>
      </c>
      <c r="J3889" t="s">
        <v>1286</v>
      </c>
    </row>
    <row r="3890" spans="1:10" x14ac:dyDescent="0.2">
      <c r="A3890">
        <v>1.04232632105711E-47</v>
      </c>
      <c r="B3890">
        <v>0.31306769465727702</v>
      </c>
      <c r="C3890">
        <v>0.99</v>
      </c>
      <c r="D3890">
        <v>0.98799999999999999</v>
      </c>
      <c r="E3890">
        <v>1.4486251210051699E-43</v>
      </c>
      <c r="F3890">
        <v>11</v>
      </c>
      <c r="G3890" t="s">
        <v>1898</v>
      </c>
      <c r="H3890" t="s">
        <v>1899</v>
      </c>
      <c r="I3890" t="str">
        <f>HYPERLINK("https://zfin.org/ZDB-GENE-031001-9")</f>
        <v>https://zfin.org/ZDB-GENE-031001-9</v>
      </c>
      <c r="J3890" t="s">
        <v>1900</v>
      </c>
    </row>
    <row r="3891" spans="1:10" x14ac:dyDescent="0.2">
      <c r="A3891">
        <v>1.35740608528567E-47</v>
      </c>
      <c r="B3891">
        <v>-0.89663018210288703</v>
      </c>
      <c r="C3891">
        <v>0.92500000000000004</v>
      </c>
      <c r="D3891">
        <v>0.94499999999999995</v>
      </c>
      <c r="E3891">
        <v>1.8865229773300202E-43</v>
      </c>
      <c r="F3891">
        <v>11</v>
      </c>
      <c r="G3891" t="s">
        <v>1221</v>
      </c>
      <c r="H3891" t="s">
        <v>1222</v>
      </c>
      <c r="I3891" t="str">
        <f>HYPERLINK("https://zfin.org/ZDB-GENE-040426-1508")</f>
        <v>https://zfin.org/ZDB-GENE-040426-1508</v>
      </c>
      <c r="J3891" t="s">
        <v>1223</v>
      </c>
    </row>
    <row r="3892" spans="1:10" x14ac:dyDescent="0.2">
      <c r="A3892">
        <v>3.9058751969991899E-47</v>
      </c>
      <c r="B3892">
        <v>0.76652279838382598</v>
      </c>
      <c r="C3892">
        <v>0.52700000000000002</v>
      </c>
      <c r="D3892">
        <v>0.23499999999999999</v>
      </c>
      <c r="E3892">
        <v>5.4283853487894701E-43</v>
      </c>
      <c r="F3892">
        <v>11</v>
      </c>
      <c r="G3892" t="s">
        <v>6562</v>
      </c>
      <c r="H3892" t="s">
        <v>6563</v>
      </c>
      <c r="I3892" t="str">
        <f>HYPERLINK("https://zfin.org/ZDB-GENE-030521-10")</f>
        <v>https://zfin.org/ZDB-GENE-030521-10</v>
      </c>
      <c r="J3892" t="s">
        <v>6564</v>
      </c>
    </row>
    <row r="3893" spans="1:10" x14ac:dyDescent="0.2">
      <c r="A3893">
        <v>5.1186231051619099E-47</v>
      </c>
      <c r="B3893">
        <v>0.33853111906078798</v>
      </c>
      <c r="C3893">
        <v>0.998</v>
      </c>
      <c r="D3893">
        <v>0.97299999999999998</v>
      </c>
      <c r="E3893">
        <v>7.11386239155403E-43</v>
      </c>
      <c r="F3893">
        <v>11</v>
      </c>
      <c r="G3893" t="s">
        <v>2250</v>
      </c>
      <c r="H3893" t="s">
        <v>2251</v>
      </c>
      <c r="I3893" t="str">
        <f>HYPERLINK("https://zfin.org/ZDB-GENE-030131-8654")</f>
        <v>https://zfin.org/ZDB-GENE-030131-8654</v>
      </c>
      <c r="J3893" t="s">
        <v>2252</v>
      </c>
    </row>
    <row r="3894" spans="1:10" x14ac:dyDescent="0.2">
      <c r="A3894">
        <v>1.6735755886287101E-46</v>
      </c>
      <c r="B3894">
        <v>0.592470143763143</v>
      </c>
      <c r="C3894">
        <v>0.222</v>
      </c>
      <c r="D3894">
        <v>4.3999999999999997E-2</v>
      </c>
      <c r="E3894">
        <v>2.3259353530761801E-42</v>
      </c>
      <c r="F3894">
        <v>11</v>
      </c>
      <c r="G3894" t="s">
        <v>5883</v>
      </c>
      <c r="H3894" t="s">
        <v>5884</v>
      </c>
      <c r="I3894" t="str">
        <f>HYPERLINK("https://zfin.org/ZDB-GENE-030909-6")</f>
        <v>https://zfin.org/ZDB-GENE-030909-6</v>
      </c>
      <c r="J3894" t="s">
        <v>5885</v>
      </c>
    </row>
    <row r="3895" spans="1:10" x14ac:dyDescent="0.2">
      <c r="A3895">
        <v>1.7038019583528501E-45</v>
      </c>
      <c r="B3895">
        <v>-1.0604584663355501</v>
      </c>
      <c r="C3895">
        <v>0.224</v>
      </c>
      <c r="D3895">
        <v>0.54400000000000004</v>
      </c>
      <c r="E3895">
        <v>2.3679439617187801E-41</v>
      </c>
      <c r="F3895">
        <v>11</v>
      </c>
      <c r="G3895" t="s">
        <v>2262</v>
      </c>
      <c r="H3895" t="s">
        <v>2263</v>
      </c>
      <c r="I3895" t="str">
        <f>HYPERLINK("https://zfin.org/ZDB-GENE-030131-2159")</f>
        <v>https://zfin.org/ZDB-GENE-030131-2159</v>
      </c>
      <c r="J3895" t="s">
        <v>2264</v>
      </c>
    </row>
    <row r="3896" spans="1:10" x14ac:dyDescent="0.2">
      <c r="A3896">
        <v>2.3383436375198901E-45</v>
      </c>
      <c r="B3896">
        <v>0.28739642095650503</v>
      </c>
      <c r="C3896">
        <v>0.998</v>
      </c>
      <c r="D3896">
        <v>0.997</v>
      </c>
      <c r="E3896">
        <v>3.2498299874251499E-41</v>
      </c>
      <c r="F3896">
        <v>11</v>
      </c>
      <c r="G3896" t="s">
        <v>1653</v>
      </c>
      <c r="H3896" t="s">
        <v>1654</v>
      </c>
      <c r="I3896" t="str">
        <f>HYPERLINK("https://zfin.org/ZDB-GENE-040426-2284")</f>
        <v>https://zfin.org/ZDB-GENE-040426-2284</v>
      </c>
      <c r="J3896" t="s">
        <v>1655</v>
      </c>
    </row>
    <row r="3897" spans="1:10" x14ac:dyDescent="0.2">
      <c r="A3897">
        <v>2.3373338817134E-42</v>
      </c>
      <c r="B3897">
        <v>-1.5505682841730299</v>
      </c>
      <c r="C3897">
        <v>0.81</v>
      </c>
      <c r="D3897">
        <v>0.90700000000000003</v>
      </c>
      <c r="E3897">
        <v>3.2484266288052798E-38</v>
      </c>
      <c r="F3897">
        <v>11</v>
      </c>
      <c r="G3897" t="s">
        <v>2259</v>
      </c>
      <c r="H3897" t="s">
        <v>2260</v>
      </c>
      <c r="I3897" t="str">
        <f>HYPERLINK("https://zfin.org/ZDB-GENE-121214-193")</f>
        <v>https://zfin.org/ZDB-GENE-121214-193</v>
      </c>
      <c r="J3897" t="s">
        <v>2261</v>
      </c>
    </row>
    <row r="3898" spans="1:10" x14ac:dyDescent="0.2">
      <c r="A3898">
        <v>9.6782074626819206E-42</v>
      </c>
      <c r="B3898">
        <v>0.65702667254182101</v>
      </c>
      <c r="C3898">
        <v>0.23100000000000001</v>
      </c>
      <c r="D3898">
        <v>5.3999999999999999E-2</v>
      </c>
      <c r="E3898">
        <v>1.3450772731635299E-37</v>
      </c>
      <c r="F3898">
        <v>11</v>
      </c>
      <c r="G3898" t="s">
        <v>5823</v>
      </c>
      <c r="H3898" t="s">
        <v>5824</v>
      </c>
      <c r="I3898" t="str">
        <f>HYPERLINK("https://zfin.org/ZDB-GENE-020419-24")</f>
        <v>https://zfin.org/ZDB-GENE-020419-24</v>
      </c>
      <c r="J3898" t="s">
        <v>5825</v>
      </c>
    </row>
    <row r="3899" spans="1:10" x14ac:dyDescent="0.2">
      <c r="A3899">
        <v>3.9053790706408898E-41</v>
      </c>
      <c r="B3899">
        <v>0.274118667852838</v>
      </c>
      <c r="C3899">
        <v>0.998</v>
      </c>
      <c r="D3899">
        <v>0.99299999999999999</v>
      </c>
      <c r="E3899">
        <v>5.4276958323767099E-37</v>
      </c>
      <c r="F3899">
        <v>11</v>
      </c>
      <c r="G3899" t="s">
        <v>1665</v>
      </c>
      <c r="H3899" t="s">
        <v>1666</v>
      </c>
      <c r="I3899" t="str">
        <f>HYPERLINK("https://zfin.org/ZDB-GENE-030131-8708")</f>
        <v>https://zfin.org/ZDB-GENE-030131-8708</v>
      </c>
      <c r="J3899" t="s">
        <v>1667</v>
      </c>
    </row>
    <row r="3900" spans="1:10" x14ac:dyDescent="0.2">
      <c r="A3900">
        <v>4.2597693570672902E-41</v>
      </c>
      <c r="B3900">
        <v>-0.60960893585300402</v>
      </c>
      <c r="C3900">
        <v>0.64500000000000002</v>
      </c>
      <c r="D3900">
        <v>0.81899999999999995</v>
      </c>
      <c r="E3900">
        <v>5.9202274524521196E-37</v>
      </c>
      <c r="F3900">
        <v>11</v>
      </c>
      <c r="G3900" t="s">
        <v>5649</v>
      </c>
      <c r="H3900" t="s">
        <v>5650</v>
      </c>
      <c r="I3900" t="str">
        <f>HYPERLINK("https://zfin.org/ZDB-GENE-000607-83")</f>
        <v>https://zfin.org/ZDB-GENE-000607-83</v>
      </c>
      <c r="J3900" t="s">
        <v>5651</v>
      </c>
    </row>
    <row r="3901" spans="1:10" x14ac:dyDescent="0.2">
      <c r="A3901">
        <v>7.8714127117891406E-39</v>
      </c>
      <c r="B3901">
        <v>0.59747771573547803</v>
      </c>
      <c r="C3901">
        <v>0.77500000000000002</v>
      </c>
      <c r="D3901">
        <v>0.56399999999999995</v>
      </c>
      <c r="E3901">
        <v>1.09396893868445E-34</v>
      </c>
      <c r="F3901">
        <v>11</v>
      </c>
      <c r="G3901" t="s">
        <v>2123</v>
      </c>
      <c r="H3901" t="s">
        <v>2124</v>
      </c>
      <c r="I3901" t="str">
        <f>HYPERLINK("https://zfin.org/ZDB-GENE-040426-2720")</f>
        <v>https://zfin.org/ZDB-GENE-040426-2720</v>
      </c>
      <c r="J3901" t="s">
        <v>2125</v>
      </c>
    </row>
    <row r="3902" spans="1:10" x14ac:dyDescent="0.2">
      <c r="A3902">
        <v>2.1328152792548801E-38</v>
      </c>
      <c r="B3902">
        <v>0.28798085338773999</v>
      </c>
      <c r="C3902">
        <v>1</v>
      </c>
      <c r="D3902">
        <v>0.98399999999999999</v>
      </c>
      <c r="E3902">
        <v>2.9641866751084398E-34</v>
      </c>
      <c r="F3902">
        <v>11</v>
      </c>
      <c r="G3902" t="s">
        <v>1910</v>
      </c>
      <c r="H3902" t="s">
        <v>1911</v>
      </c>
      <c r="I3902" t="str">
        <f>HYPERLINK("https://zfin.org/ZDB-GENE-030131-8951")</f>
        <v>https://zfin.org/ZDB-GENE-030131-8951</v>
      </c>
      <c r="J3902" t="s">
        <v>1912</v>
      </c>
    </row>
    <row r="3903" spans="1:10" x14ac:dyDescent="0.2">
      <c r="A3903">
        <v>2.6396448959621202E-37</v>
      </c>
      <c r="B3903">
        <v>0.25961918829291197</v>
      </c>
      <c r="C3903">
        <v>0.998</v>
      </c>
      <c r="D3903">
        <v>0.99299999999999999</v>
      </c>
      <c r="E3903">
        <v>3.66857847640816E-33</v>
      </c>
      <c r="F3903">
        <v>11</v>
      </c>
      <c r="G3903" t="s">
        <v>1617</v>
      </c>
      <c r="H3903" t="s">
        <v>1618</v>
      </c>
      <c r="I3903" t="str">
        <f>HYPERLINK("https://zfin.org/ZDB-GENE-040426-2117")</f>
        <v>https://zfin.org/ZDB-GENE-040426-2117</v>
      </c>
      <c r="J3903" t="s">
        <v>1619</v>
      </c>
    </row>
    <row r="3904" spans="1:10" x14ac:dyDescent="0.2">
      <c r="A3904">
        <v>4.5329548134225201E-36</v>
      </c>
      <c r="B3904">
        <v>0.27548919592318999</v>
      </c>
      <c r="C3904">
        <v>0.99199999999999999</v>
      </c>
      <c r="D3904">
        <v>0.98499999999999999</v>
      </c>
      <c r="E3904">
        <v>6.2999005996946099E-32</v>
      </c>
      <c r="F3904">
        <v>11</v>
      </c>
      <c r="G3904" t="s">
        <v>1991</v>
      </c>
      <c r="H3904" t="s">
        <v>1992</v>
      </c>
      <c r="I3904" t="str">
        <f>HYPERLINK("https://zfin.org/ZDB-GENE-040426-811")</f>
        <v>https://zfin.org/ZDB-GENE-040426-811</v>
      </c>
      <c r="J3904" t="s">
        <v>1993</v>
      </c>
    </row>
    <row r="3905" spans="1:10" x14ac:dyDescent="0.2">
      <c r="A3905">
        <v>2.4292947488309498E-35</v>
      </c>
      <c r="B3905">
        <v>0.41527858713138899</v>
      </c>
      <c r="C3905">
        <v>0.161</v>
      </c>
      <c r="D3905">
        <v>0.03</v>
      </c>
      <c r="E3905">
        <v>3.3762338419252599E-31</v>
      </c>
      <c r="F3905">
        <v>11</v>
      </c>
      <c r="G3905" t="s">
        <v>6816</v>
      </c>
      <c r="H3905" t="s">
        <v>6817</v>
      </c>
      <c r="I3905" t="str">
        <f>HYPERLINK("https://zfin.org/ZDB-GENE-030131-607")</f>
        <v>https://zfin.org/ZDB-GENE-030131-607</v>
      </c>
      <c r="J3905" t="s">
        <v>6818</v>
      </c>
    </row>
    <row r="3906" spans="1:10" x14ac:dyDescent="0.2">
      <c r="A3906">
        <v>2.3303750822598802E-34</v>
      </c>
      <c r="B3906">
        <v>-1.32641226538269</v>
      </c>
      <c r="C3906">
        <v>0.16300000000000001</v>
      </c>
      <c r="D3906">
        <v>0.42899999999999999</v>
      </c>
      <c r="E3906">
        <v>3.2387552893247801E-30</v>
      </c>
      <c r="F3906">
        <v>11</v>
      </c>
      <c r="G3906" t="s">
        <v>2748</v>
      </c>
      <c r="H3906" t="s">
        <v>2749</v>
      </c>
      <c r="I3906" t="str">
        <f>HYPERLINK("https://zfin.org/ZDB-GENE-040426-1430")</f>
        <v>https://zfin.org/ZDB-GENE-040426-1430</v>
      </c>
      <c r="J3906" t="s">
        <v>2750</v>
      </c>
    </row>
    <row r="3907" spans="1:10" x14ac:dyDescent="0.2">
      <c r="A3907">
        <v>4.01770209384541E-34</v>
      </c>
      <c r="B3907">
        <v>0.26398626833579802</v>
      </c>
      <c r="C3907">
        <v>0.996</v>
      </c>
      <c r="D3907">
        <v>0.98399999999999999</v>
      </c>
      <c r="E3907">
        <v>5.5838023700263497E-30</v>
      </c>
      <c r="F3907">
        <v>11</v>
      </c>
      <c r="G3907" t="s">
        <v>2193</v>
      </c>
      <c r="H3907" t="s">
        <v>2194</v>
      </c>
      <c r="I3907" t="str">
        <f>HYPERLINK("https://zfin.org/ZDB-GENE-040426-1718")</f>
        <v>https://zfin.org/ZDB-GENE-040426-1718</v>
      </c>
      <c r="J3907" t="s">
        <v>2195</v>
      </c>
    </row>
    <row r="3908" spans="1:10" x14ac:dyDescent="0.2">
      <c r="A3908">
        <v>1.2987622293993601E-33</v>
      </c>
      <c r="B3908">
        <v>0.30838135400428401</v>
      </c>
      <c r="C3908">
        <v>0.96699999999999997</v>
      </c>
      <c r="D3908">
        <v>0.91900000000000004</v>
      </c>
      <c r="E3908">
        <v>1.8050197464192401E-29</v>
      </c>
      <c r="F3908">
        <v>11</v>
      </c>
      <c r="G3908" t="s">
        <v>2529</v>
      </c>
      <c r="H3908" t="s">
        <v>2530</v>
      </c>
      <c r="I3908" t="str">
        <f>HYPERLINK("https://zfin.org/ZDB-GENE-020419-12")</f>
        <v>https://zfin.org/ZDB-GENE-020419-12</v>
      </c>
      <c r="J3908" t="s">
        <v>2531</v>
      </c>
    </row>
    <row r="3909" spans="1:10" x14ac:dyDescent="0.2">
      <c r="A3909">
        <v>1.50762023897638E-33</v>
      </c>
      <c r="B3909">
        <v>0.78300609481181804</v>
      </c>
      <c r="C3909">
        <v>0.36099999999999999</v>
      </c>
      <c r="D3909">
        <v>0.14899999999999999</v>
      </c>
      <c r="E3909">
        <v>2.0952906081293699E-29</v>
      </c>
      <c r="F3909">
        <v>11</v>
      </c>
      <c r="G3909" t="s">
        <v>3255</v>
      </c>
      <c r="H3909" t="s">
        <v>3256</v>
      </c>
      <c r="I3909" t="str">
        <f>HYPERLINK("https://zfin.org/ZDB-GENE-000210-8")</f>
        <v>https://zfin.org/ZDB-GENE-000210-8</v>
      </c>
      <c r="J3909" t="s">
        <v>3257</v>
      </c>
    </row>
    <row r="3910" spans="1:10" x14ac:dyDescent="0.2">
      <c r="A3910">
        <v>1.8406650316887299E-33</v>
      </c>
      <c r="B3910">
        <v>0.66277011540309205</v>
      </c>
      <c r="C3910">
        <v>0.36299999999999999</v>
      </c>
      <c r="D3910">
        <v>0.15</v>
      </c>
      <c r="E3910">
        <v>2.5581562610409902E-29</v>
      </c>
      <c r="F3910">
        <v>11</v>
      </c>
      <c r="G3910" t="s">
        <v>2957</v>
      </c>
      <c r="H3910" t="s">
        <v>2958</v>
      </c>
      <c r="I3910" t="str">
        <f>HYPERLINK("https://zfin.org/ZDB-GENE-141212-376")</f>
        <v>https://zfin.org/ZDB-GENE-141212-376</v>
      </c>
      <c r="J3910" t="s">
        <v>2959</v>
      </c>
    </row>
    <row r="3911" spans="1:10" x14ac:dyDescent="0.2">
      <c r="A3911">
        <v>1.9397401177812101E-33</v>
      </c>
      <c r="B3911">
        <v>0.70969028667628997</v>
      </c>
      <c r="C3911">
        <v>0.51</v>
      </c>
      <c r="D3911">
        <v>0.28399999999999997</v>
      </c>
      <c r="E3911">
        <v>2.6958508156923298E-29</v>
      </c>
      <c r="F3911">
        <v>11</v>
      </c>
      <c r="G3911" t="s">
        <v>5712</v>
      </c>
      <c r="H3911" t="s">
        <v>5713</v>
      </c>
      <c r="I3911" t="str">
        <f>HYPERLINK("https://zfin.org/ZDB-GENE-030411-2")</f>
        <v>https://zfin.org/ZDB-GENE-030411-2</v>
      </c>
      <c r="J3911" t="s">
        <v>5714</v>
      </c>
    </row>
    <row r="3912" spans="1:10" x14ac:dyDescent="0.2">
      <c r="A3912">
        <v>5.3714990589498603E-33</v>
      </c>
      <c r="B3912">
        <v>-1.0565903174642699</v>
      </c>
      <c r="C3912">
        <v>0.14299999999999999</v>
      </c>
      <c r="D3912">
        <v>0.40699999999999997</v>
      </c>
      <c r="E3912">
        <v>7.4653093921285197E-29</v>
      </c>
      <c r="F3912">
        <v>11</v>
      </c>
      <c r="G3912" t="s">
        <v>3360</v>
      </c>
      <c r="H3912" t="s">
        <v>3361</v>
      </c>
      <c r="I3912" t="str">
        <f>HYPERLINK("https://zfin.org/ZDB-GENE-030411-6")</f>
        <v>https://zfin.org/ZDB-GENE-030411-6</v>
      </c>
      <c r="J3912" t="s">
        <v>3362</v>
      </c>
    </row>
    <row r="3913" spans="1:10" x14ac:dyDescent="0.2">
      <c r="A3913">
        <v>1.4774551268545001E-32</v>
      </c>
      <c r="B3913">
        <v>0.74594396475355096</v>
      </c>
      <c r="C3913">
        <v>0.42899999999999999</v>
      </c>
      <c r="D3913">
        <v>0.19800000000000001</v>
      </c>
      <c r="E3913">
        <v>2.0533671353023898E-28</v>
      </c>
      <c r="F3913">
        <v>11</v>
      </c>
      <c r="G3913" t="s">
        <v>3032</v>
      </c>
      <c r="H3913" t="s">
        <v>3033</v>
      </c>
      <c r="I3913" t="str">
        <f>HYPERLINK("https://zfin.org/ZDB-GENE-041010-89")</f>
        <v>https://zfin.org/ZDB-GENE-041010-89</v>
      </c>
      <c r="J3913" t="s">
        <v>3034</v>
      </c>
    </row>
    <row r="3914" spans="1:10" x14ac:dyDescent="0.2">
      <c r="A3914">
        <v>4.4947163598794598E-32</v>
      </c>
      <c r="B3914">
        <v>-1.6286569703352101</v>
      </c>
      <c r="C3914">
        <v>0.78400000000000003</v>
      </c>
      <c r="D3914">
        <v>0.85899999999999999</v>
      </c>
      <c r="E3914">
        <v>6.2467567969604702E-28</v>
      </c>
      <c r="F3914">
        <v>11</v>
      </c>
      <c r="G3914" t="s">
        <v>1967</v>
      </c>
      <c r="H3914" t="s">
        <v>1968</v>
      </c>
      <c r="I3914" t="str">
        <f>HYPERLINK("https://zfin.org/ZDB-GENE-070705-532")</f>
        <v>https://zfin.org/ZDB-GENE-070705-532</v>
      </c>
      <c r="J3914" t="s">
        <v>1969</v>
      </c>
    </row>
    <row r="3915" spans="1:10" x14ac:dyDescent="0.2">
      <c r="A3915">
        <v>4.7936633503095499E-32</v>
      </c>
      <c r="B3915">
        <v>0.586133535909382</v>
      </c>
      <c r="C3915">
        <v>0.46300000000000002</v>
      </c>
      <c r="D3915">
        <v>0.224</v>
      </c>
      <c r="E3915">
        <v>6.6622333242602203E-28</v>
      </c>
      <c r="F3915">
        <v>11</v>
      </c>
      <c r="G3915" t="s">
        <v>2948</v>
      </c>
      <c r="H3915" t="s">
        <v>2949</v>
      </c>
      <c r="I3915" t="str">
        <f>HYPERLINK("https://zfin.org/ZDB-GENE-031006-14")</f>
        <v>https://zfin.org/ZDB-GENE-031006-14</v>
      </c>
      <c r="J3915" t="s">
        <v>2950</v>
      </c>
    </row>
    <row r="3916" spans="1:10" x14ac:dyDescent="0.2">
      <c r="A3916">
        <v>8.8594645913724604E-32</v>
      </c>
      <c r="B3916">
        <v>0.27484224881494601</v>
      </c>
      <c r="C3916">
        <v>0.998</v>
      </c>
      <c r="D3916">
        <v>0.97199999999999998</v>
      </c>
      <c r="E3916">
        <v>1.2312883889089401E-27</v>
      </c>
      <c r="F3916">
        <v>11</v>
      </c>
      <c r="G3916" t="s">
        <v>2400</v>
      </c>
      <c r="H3916" t="s">
        <v>2401</v>
      </c>
      <c r="I3916" t="str">
        <f>HYPERLINK("https://zfin.org/ZDB-GENE-040426-1670")</f>
        <v>https://zfin.org/ZDB-GENE-040426-1670</v>
      </c>
      <c r="J3916" t="s">
        <v>2402</v>
      </c>
    </row>
    <row r="3917" spans="1:10" x14ac:dyDescent="0.2">
      <c r="A3917">
        <v>4.7830799917995102E-31</v>
      </c>
      <c r="B3917">
        <v>0.28186621749384699</v>
      </c>
      <c r="C3917">
        <v>0.99199999999999999</v>
      </c>
      <c r="D3917">
        <v>0.97199999999999998</v>
      </c>
      <c r="E3917">
        <v>6.64752457260297E-27</v>
      </c>
      <c r="F3917">
        <v>11</v>
      </c>
      <c r="G3917" t="s">
        <v>2361</v>
      </c>
      <c r="H3917" t="s">
        <v>2362</v>
      </c>
      <c r="I3917" t="str">
        <f>HYPERLINK("https://zfin.org/ZDB-GENE-040801-183")</f>
        <v>https://zfin.org/ZDB-GENE-040801-183</v>
      </c>
      <c r="J3917" t="s">
        <v>2363</v>
      </c>
    </row>
    <row r="3918" spans="1:10" x14ac:dyDescent="0.2">
      <c r="A3918">
        <v>1.1020272637798399E-30</v>
      </c>
      <c r="B3918">
        <v>-0.85643763083382696</v>
      </c>
      <c r="C3918">
        <v>3.3000000000000002E-2</v>
      </c>
      <c r="D3918">
        <v>0.26500000000000001</v>
      </c>
      <c r="E3918">
        <v>1.53159749120121E-26</v>
      </c>
      <c r="F3918">
        <v>11</v>
      </c>
      <c r="G3918" t="s">
        <v>2789</v>
      </c>
      <c r="H3918" t="s">
        <v>2790</v>
      </c>
      <c r="I3918" t="str">
        <f>HYPERLINK("https://zfin.org/ZDB-GENE-070705-193")</f>
        <v>https://zfin.org/ZDB-GENE-070705-193</v>
      </c>
      <c r="J3918" t="s">
        <v>2791</v>
      </c>
    </row>
    <row r="3919" spans="1:10" x14ac:dyDescent="0.2">
      <c r="A3919">
        <v>1.2026758318979101E-30</v>
      </c>
      <c r="B3919">
        <v>0.25128956571265498</v>
      </c>
      <c r="C3919">
        <v>0.99399999999999999</v>
      </c>
      <c r="D3919">
        <v>0.97099999999999997</v>
      </c>
      <c r="E3919">
        <v>1.67147887117172E-26</v>
      </c>
      <c r="F3919">
        <v>11</v>
      </c>
      <c r="G3919" t="s">
        <v>1692</v>
      </c>
      <c r="H3919" t="s">
        <v>1693</v>
      </c>
      <c r="I3919" t="str">
        <f>HYPERLINK("https://zfin.org/ZDB-GENE-020419-2")</f>
        <v>https://zfin.org/ZDB-GENE-020419-2</v>
      </c>
      <c r="J3919" t="s">
        <v>1694</v>
      </c>
    </row>
    <row r="3920" spans="1:10" x14ac:dyDescent="0.2">
      <c r="A3920">
        <v>5.3799641691849896E-29</v>
      </c>
      <c r="B3920">
        <v>-0.71075625938087394</v>
      </c>
      <c r="C3920">
        <v>0.32900000000000001</v>
      </c>
      <c r="D3920">
        <v>0.56699999999999995</v>
      </c>
      <c r="E3920">
        <v>7.4770742023332996E-25</v>
      </c>
      <c r="F3920">
        <v>11</v>
      </c>
      <c r="G3920" t="s">
        <v>2090</v>
      </c>
      <c r="H3920" t="s">
        <v>2091</v>
      </c>
      <c r="I3920" t="str">
        <f>HYPERLINK("https://zfin.org/ZDB-GENE-141212-380")</f>
        <v>https://zfin.org/ZDB-GENE-141212-380</v>
      </c>
      <c r="J3920" t="s">
        <v>2092</v>
      </c>
    </row>
    <row r="3921" spans="1:10" x14ac:dyDescent="0.2">
      <c r="A3921">
        <v>1.47519675221719E-28</v>
      </c>
      <c r="B3921">
        <v>-0.99285427329220899</v>
      </c>
      <c r="C3921">
        <v>8.5999999999999993E-2</v>
      </c>
      <c r="D3921">
        <v>0.32</v>
      </c>
      <c r="E3921">
        <v>2.0502284462314601E-24</v>
      </c>
      <c r="F3921">
        <v>11</v>
      </c>
      <c r="G3921" t="s">
        <v>2783</v>
      </c>
      <c r="H3921" t="s">
        <v>2784</v>
      </c>
      <c r="I3921" t="str">
        <f>HYPERLINK("https://zfin.org/ZDB-GENE-070720-11")</f>
        <v>https://zfin.org/ZDB-GENE-070720-11</v>
      </c>
      <c r="J3921" t="s">
        <v>2785</v>
      </c>
    </row>
    <row r="3922" spans="1:10" x14ac:dyDescent="0.2">
      <c r="A3922">
        <v>1.88343504652941E-28</v>
      </c>
      <c r="B3922">
        <v>-1.1426677652680599</v>
      </c>
      <c r="C3922">
        <v>0.30199999999999999</v>
      </c>
      <c r="D3922">
        <v>0.51800000000000002</v>
      </c>
      <c r="E3922">
        <v>2.6175980276665701E-24</v>
      </c>
      <c r="F3922">
        <v>11</v>
      </c>
      <c r="G3922" t="s">
        <v>900</v>
      </c>
      <c r="H3922" t="s">
        <v>901</v>
      </c>
      <c r="I3922" t="str">
        <f>HYPERLINK("https://zfin.org/ZDB-GENE-040426-2879")</f>
        <v>https://zfin.org/ZDB-GENE-040426-2879</v>
      </c>
      <c r="J3922" t="s">
        <v>902</v>
      </c>
    </row>
    <row r="3923" spans="1:10" x14ac:dyDescent="0.2">
      <c r="A3923">
        <v>3.0184444359197101E-28</v>
      </c>
      <c r="B3923">
        <v>0.25536345775765301</v>
      </c>
      <c r="C3923">
        <v>0.99399999999999999</v>
      </c>
      <c r="D3923">
        <v>0.98699999999999999</v>
      </c>
      <c r="E3923">
        <v>4.1950340770412101E-24</v>
      </c>
      <c r="F3923">
        <v>11</v>
      </c>
      <c r="G3923" t="s">
        <v>2126</v>
      </c>
      <c r="H3923" t="s">
        <v>2127</v>
      </c>
      <c r="I3923" t="str">
        <f>HYPERLINK("https://zfin.org/ZDB-GENE-040426-2454")</f>
        <v>https://zfin.org/ZDB-GENE-040426-2454</v>
      </c>
      <c r="J3923" t="s">
        <v>2128</v>
      </c>
    </row>
    <row r="3924" spans="1:10" x14ac:dyDescent="0.2">
      <c r="A3924">
        <v>7.6625093170299696E-28</v>
      </c>
      <c r="B3924">
        <v>0.38891136804828402</v>
      </c>
      <c r="C3924">
        <v>0.92500000000000004</v>
      </c>
      <c r="D3924">
        <v>0.84299999999999997</v>
      </c>
      <c r="E3924">
        <v>1.0649355448808199E-23</v>
      </c>
      <c r="F3924">
        <v>11</v>
      </c>
      <c r="G3924" t="s">
        <v>1269</v>
      </c>
      <c r="H3924" t="s">
        <v>1270</v>
      </c>
      <c r="I3924" t="str">
        <f>HYPERLINK("https://zfin.org/ZDB-GENE-061111-1")</f>
        <v>https://zfin.org/ZDB-GENE-061111-1</v>
      </c>
      <c r="J3924" t="s">
        <v>1271</v>
      </c>
    </row>
    <row r="3925" spans="1:10" x14ac:dyDescent="0.2">
      <c r="A3925">
        <v>8.1325650689198405E-28</v>
      </c>
      <c r="B3925">
        <v>0.53830187672304997</v>
      </c>
      <c r="C3925">
        <v>0.41199999999999998</v>
      </c>
      <c r="D3925">
        <v>0.20200000000000001</v>
      </c>
      <c r="E3925">
        <v>1.13026389327848E-23</v>
      </c>
      <c r="F3925">
        <v>11</v>
      </c>
      <c r="G3925" t="s">
        <v>3056</v>
      </c>
      <c r="H3925" t="s">
        <v>3057</v>
      </c>
      <c r="I3925" t="str">
        <f>HYPERLINK("https://zfin.org/ZDB-GENE-021028-1")</f>
        <v>https://zfin.org/ZDB-GENE-021028-1</v>
      </c>
      <c r="J3925" t="s">
        <v>3058</v>
      </c>
    </row>
    <row r="3926" spans="1:10" x14ac:dyDescent="0.2">
      <c r="A3926">
        <v>8.6364071525668307E-28</v>
      </c>
      <c r="B3926">
        <v>0.48195290479039099</v>
      </c>
      <c r="C3926">
        <v>0.17100000000000001</v>
      </c>
      <c r="D3926">
        <v>4.2999999999999997E-2</v>
      </c>
      <c r="E3926">
        <v>1.2002878660637399E-23</v>
      </c>
      <c r="F3926">
        <v>11</v>
      </c>
      <c r="G3926" t="s">
        <v>5820</v>
      </c>
      <c r="H3926" t="s">
        <v>5821</v>
      </c>
      <c r="I3926" t="str">
        <f>HYPERLINK("https://zfin.org/ZDB-GENE-030131-9544")</f>
        <v>https://zfin.org/ZDB-GENE-030131-9544</v>
      </c>
      <c r="J3926" t="s">
        <v>5822</v>
      </c>
    </row>
    <row r="3927" spans="1:10" x14ac:dyDescent="0.2">
      <c r="A3927">
        <v>1.6009149684942099E-27</v>
      </c>
      <c r="B3927">
        <v>-0.85348261798981195</v>
      </c>
      <c r="C3927">
        <v>0.108</v>
      </c>
      <c r="D3927">
        <v>0.34200000000000003</v>
      </c>
      <c r="E3927">
        <v>2.2249516232132501E-23</v>
      </c>
      <c r="F3927">
        <v>11</v>
      </c>
      <c r="G3927" t="s">
        <v>942</v>
      </c>
      <c r="H3927" t="s">
        <v>943</v>
      </c>
      <c r="I3927" t="str">
        <f>HYPERLINK("https://zfin.org/ZDB-GENE-040801-218")</f>
        <v>https://zfin.org/ZDB-GENE-040801-218</v>
      </c>
      <c r="J3927" t="s">
        <v>944</v>
      </c>
    </row>
    <row r="3928" spans="1:10" x14ac:dyDescent="0.2">
      <c r="A3928">
        <v>4.5052609005299503E-27</v>
      </c>
      <c r="B3928">
        <v>0.65088939787079503</v>
      </c>
      <c r="C3928">
        <v>0.42199999999999999</v>
      </c>
      <c r="D3928">
        <v>0.21199999999999999</v>
      </c>
      <c r="E3928">
        <v>6.2614115995565201E-23</v>
      </c>
      <c r="F3928">
        <v>11</v>
      </c>
      <c r="G3928" t="s">
        <v>5141</v>
      </c>
      <c r="H3928" t="s">
        <v>5142</v>
      </c>
      <c r="I3928" t="str">
        <f>HYPERLINK("https://zfin.org/ZDB-GENE-031112-4")</f>
        <v>https://zfin.org/ZDB-GENE-031112-4</v>
      </c>
      <c r="J3928" t="s">
        <v>5143</v>
      </c>
    </row>
    <row r="3929" spans="1:10" x14ac:dyDescent="0.2">
      <c r="A3929">
        <v>1.98353220945735E-26</v>
      </c>
      <c r="B3929">
        <v>0.25647269377566101</v>
      </c>
      <c r="C3929">
        <v>0.98399999999999999</v>
      </c>
      <c r="D3929">
        <v>0.96</v>
      </c>
      <c r="E3929">
        <v>2.7567130647038201E-22</v>
      </c>
      <c r="F3929">
        <v>11</v>
      </c>
      <c r="G3929" t="s">
        <v>2885</v>
      </c>
      <c r="H3929" t="s">
        <v>2886</v>
      </c>
      <c r="I3929" t="str">
        <f>HYPERLINK("https://zfin.org/ZDB-GENE-000629-1")</f>
        <v>https://zfin.org/ZDB-GENE-000629-1</v>
      </c>
      <c r="J3929" t="s">
        <v>2887</v>
      </c>
    </row>
    <row r="3930" spans="1:10" x14ac:dyDescent="0.2">
      <c r="A3930">
        <v>1.9941126527039499E-26</v>
      </c>
      <c r="B3930">
        <v>0.73569447534293397</v>
      </c>
      <c r="C3930">
        <v>0.9</v>
      </c>
      <c r="D3930">
        <v>0.82399999999999995</v>
      </c>
      <c r="E3930">
        <v>2.77141776472794E-22</v>
      </c>
      <c r="F3930">
        <v>11</v>
      </c>
      <c r="G3930" t="s">
        <v>2622</v>
      </c>
      <c r="H3930" t="s">
        <v>2623</v>
      </c>
      <c r="I3930" t="str">
        <f>HYPERLINK("https://zfin.org/ZDB-GENE-051030-81")</f>
        <v>https://zfin.org/ZDB-GENE-051030-81</v>
      </c>
      <c r="J3930" t="s">
        <v>2624</v>
      </c>
    </row>
    <row r="3931" spans="1:10" x14ac:dyDescent="0.2">
      <c r="A3931">
        <v>3.8207803222195398E-26</v>
      </c>
      <c r="B3931">
        <v>0.27750532138332201</v>
      </c>
      <c r="C3931">
        <v>0.98</v>
      </c>
      <c r="D3931">
        <v>0.93300000000000005</v>
      </c>
      <c r="E3931">
        <v>5.3101204918207097E-22</v>
      </c>
      <c r="F3931">
        <v>11</v>
      </c>
      <c r="G3931" t="s">
        <v>1863</v>
      </c>
      <c r="H3931" t="s">
        <v>1864</v>
      </c>
      <c r="I3931" t="str">
        <f>HYPERLINK("https://zfin.org/ZDB-GENE-030131-9184")</f>
        <v>https://zfin.org/ZDB-GENE-030131-9184</v>
      </c>
      <c r="J3931" t="s">
        <v>1865</v>
      </c>
    </row>
    <row r="3932" spans="1:10" x14ac:dyDescent="0.2">
      <c r="A3932">
        <v>2.6116671957613502E-25</v>
      </c>
      <c r="B3932">
        <v>0.45780274641111901</v>
      </c>
      <c r="C3932">
        <v>0.17299999999999999</v>
      </c>
      <c r="D3932">
        <v>4.8000000000000001E-2</v>
      </c>
      <c r="E3932">
        <v>3.62969506866912E-21</v>
      </c>
      <c r="F3932">
        <v>11</v>
      </c>
      <c r="G3932" t="s">
        <v>5751</v>
      </c>
      <c r="H3932" t="s">
        <v>5752</v>
      </c>
      <c r="I3932" t="str">
        <f>HYPERLINK("https://zfin.org/ZDB-GENE-031112-11")</f>
        <v>https://zfin.org/ZDB-GENE-031112-11</v>
      </c>
      <c r="J3932" t="s">
        <v>5753</v>
      </c>
    </row>
    <row r="3933" spans="1:10" x14ac:dyDescent="0.2">
      <c r="A3933">
        <v>5.4308552987477801E-25</v>
      </c>
      <c r="B3933">
        <v>-0.36246710070243399</v>
      </c>
      <c r="C3933">
        <v>0.94499999999999995</v>
      </c>
      <c r="D3933">
        <v>0.97</v>
      </c>
      <c r="E3933">
        <v>7.5478026941996703E-21</v>
      </c>
      <c r="F3933">
        <v>11</v>
      </c>
      <c r="G3933" t="s">
        <v>1125</v>
      </c>
      <c r="H3933" t="s">
        <v>1126</v>
      </c>
      <c r="I3933" t="str">
        <f>HYPERLINK("https://zfin.org/ZDB-GENE-040718-72")</f>
        <v>https://zfin.org/ZDB-GENE-040718-72</v>
      </c>
      <c r="J3933" t="s">
        <v>1127</v>
      </c>
    </row>
    <row r="3934" spans="1:10" x14ac:dyDescent="0.2">
      <c r="A3934">
        <v>7.8230729429734401E-25</v>
      </c>
      <c r="B3934">
        <v>-0.89002746004354505</v>
      </c>
      <c r="C3934">
        <v>6.7000000000000004E-2</v>
      </c>
      <c r="D3934">
        <v>0.27300000000000002</v>
      </c>
      <c r="E3934">
        <v>1.0872506776144499E-20</v>
      </c>
      <c r="F3934">
        <v>11</v>
      </c>
      <c r="G3934" t="s">
        <v>2801</v>
      </c>
      <c r="H3934" t="s">
        <v>2802</v>
      </c>
      <c r="I3934" t="str">
        <f>HYPERLINK("https://zfin.org/ZDB-GENE-980526-112")</f>
        <v>https://zfin.org/ZDB-GENE-980526-112</v>
      </c>
      <c r="J3934" t="s">
        <v>2803</v>
      </c>
    </row>
    <row r="3935" spans="1:10" x14ac:dyDescent="0.2">
      <c r="A3935">
        <v>9.1385127425812108E-25</v>
      </c>
      <c r="B3935">
        <v>0.36295392068292598</v>
      </c>
      <c r="C3935">
        <v>0.94699999999999995</v>
      </c>
      <c r="D3935">
        <v>0.90800000000000003</v>
      </c>
      <c r="E3935">
        <v>1.27007050096394E-20</v>
      </c>
      <c r="F3935">
        <v>11</v>
      </c>
      <c r="G3935" t="s">
        <v>3631</v>
      </c>
      <c r="H3935" t="s">
        <v>3632</v>
      </c>
      <c r="I3935" t="str">
        <f>HYPERLINK("https://zfin.org/ZDB-GENE-051120-126")</f>
        <v>https://zfin.org/ZDB-GENE-051120-126</v>
      </c>
      <c r="J3935" t="s">
        <v>3633</v>
      </c>
    </row>
    <row r="3936" spans="1:10" x14ac:dyDescent="0.2">
      <c r="A3936">
        <v>9.9203753457036502E-25</v>
      </c>
      <c r="B3936">
        <v>-1.01262767361074</v>
      </c>
      <c r="C3936">
        <v>0.26100000000000001</v>
      </c>
      <c r="D3936">
        <v>0.47399999999999998</v>
      </c>
      <c r="E3936">
        <v>1.3787337655458901E-20</v>
      </c>
      <c r="F3936">
        <v>11</v>
      </c>
      <c r="G3936" t="s">
        <v>2706</v>
      </c>
      <c r="H3936" t="s">
        <v>2707</v>
      </c>
      <c r="I3936" t="str">
        <f>HYPERLINK("https://zfin.org/ZDB-GENE-080829-12")</f>
        <v>https://zfin.org/ZDB-GENE-080829-12</v>
      </c>
      <c r="J3936" t="s">
        <v>2708</v>
      </c>
    </row>
    <row r="3937" spans="1:10" x14ac:dyDescent="0.2">
      <c r="A3937">
        <v>1.5891831759387699E-24</v>
      </c>
      <c r="B3937">
        <v>0.488456501882781</v>
      </c>
      <c r="C3937">
        <v>0.82899999999999996</v>
      </c>
      <c r="D3937">
        <v>0.74099999999999999</v>
      </c>
      <c r="E3937">
        <v>2.2086467779197001E-20</v>
      </c>
      <c r="F3937">
        <v>11</v>
      </c>
      <c r="G3937" t="s">
        <v>2565</v>
      </c>
      <c r="H3937" t="s">
        <v>2566</v>
      </c>
      <c r="I3937" t="str">
        <f>HYPERLINK("https://zfin.org/ZDB-GENE-040912-122")</f>
        <v>https://zfin.org/ZDB-GENE-040912-122</v>
      </c>
      <c r="J3937" t="s">
        <v>2567</v>
      </c>
    </row>
    <row r="3938" spans="1:10" x14ac:dyDescent="0.2">
      <c r="A3938">
        <v>3.4941213118453398E-24</v>
      </c>
      <c r="B3938">
        <v>0.512010006900943</v>
      </c>
      <c r="C3938">
        <v>0.21199999999999999</v>
      </c>
      <c r="D3938">
        <v>7.0999999999999994E-2</v>
      </c>
      <c r="E3938">
        <v>4.8561297992026503E-20</v>
      </c>
      <c r="F3938">
        <v>11</v>
      </c>
      <c r="G3938" t="s">
        <v>5805</v>
      </c>
      <c r="H3938" t="s">
        <v>5806</v>
      </c>
      <c r="I3938" t="str">
        <f>HYPERLINK("https://zfin.org/ZDB-GENE-010131-3")</f>
        <v>https://zfin.org/ZDB-GENE-010131-3</v>
      </c>
      <c r="J3938" t="s">
        <v>5807</v>
      </c>
    </row>
    <row r="3939" spans="1:10" x14ac:dyDescent="0.2">
      <c r="A3939">
        <v>5.3957384533493E-24</v>
      </c>
      <c r="B3939">
        <v>-0.67850817846671796</v>
      </c>
      <c r="C3939">
        <v>0.13900000000000001</v>
      </c>
      <c r="D3939">
        <v>0.35699999999999998</v>
      </c>
      <c r="E3939">
        <v>7.4989973024648597E-20</v>
      </c>
      <c r="F3939">
        <v>11</v>
      </c>
      <c r="G3939" t="s">
        <v>3163</v>
      </c>
      <c r="H3939" t="s">
        <v>3164</v>
      </c>
      <c r="I3939" t="str">
        <f>HYPERLINK("https://zfin.org/ZDB-GENE-030131-8455")</f>
        <v>https://zfin.org/ZDB-GENE-030131-8455</v>
      </c>
      <c r="J3939" t="s">
        <v>3165</v>
      </c>
    </row>
    <row r="3940" spans="1:10" x14ac:dyDescent="0.2">
      <c r="A3940">
        <v>1.7263072208017899E-23</v>
      </c>
      <c r="B3940">
        <v>0.58556883976374297</v>
      </c>
      <c r="C3940">
        <v>0.32700000000000001</v>
      </c>
      <c r="D3940">
        <v>0.155</v>
      </c>
      <c r="E3940">
        <v>2.3992217754703202E-19</v>
      </c>
      <c r="F3940">
        <v>11</v>
      </c>
      <c r="G3940" t="s">
        <v>3345</v>
      </c>
      <c r="H3940" t="s">
        <v>3346</v>
      </c>
      <c r="I3940" t="str">
        <f>HYPERLINK("https://zfin.org/ZDB-GENE-040426-977")</f>
        <v>https://zfin.org/ZDB-GENE-040426-977</v>
      </c>
      <c r="J3940" t="s">
        <v>3347</v>
      </c>
    </row>
    <row r="3941" spans="1:10" x14ac:dyDescent="0.2">
      <c r="A3941">
        <v>2.5183632045750601E-23</v>
      </c>
      <c r="B3941">
        <v>0.64282731135038196</v>
      </c>
      <c r="C3941">
        <v>0.86699999999999999</v>
      </c>
      <c r="D3941">
        <v>0.80100000000000005</v>
      </c>
      <c r="E3941">
        <v>3.5000211817184201E-19</v>
      </c>
      <c r="F3941">
        <v>11</v>
      </c>
      <c r="G3941" t="s">
        <v>4002</v>
      </c>
      <c r="H3941" t="s">
        <v>4003</v>
      </c>
      <c r="I3941" t="str">
        <f>HYPERLINK("https://zfin.org/ZDB-GENE-131120-172")</f>
        <v>https://zfin.org/ZDB-GENE-131120-172</v>
      </c>
      <c r="J3941" t="s">
        <v>4004</v>
      </c>
    </row>
    <row r="3942" spans="1:10" x14ac:dyDescent="0.2">
      <c r="A3942">
        <v>2.8074585049722003E-23</v>
      </c>
      <c r="B3942">
        <v>0.27907588359742702</v>
      </c>
      <c r="C3942">
        <v>0.95299999999999996</v>
      </c>
      <c r="D3942">
        <v>0.85599999999999998</v>
      </c>
      <c r="E3942">
        <v>3.90180583021036E-19</v>
      </c>
      <c r="F3942">
        <v>11</v>
      </c>
      <c r="G3942" t="s">
        <v>1116</v>
      </c>
      <c r="H3942" t="s">
        <v>1117</v>
      </c>
      <c r="I3942" t="str">
        <f>HYPERLINK("https://zfin.org/ZDB-GENE-110411-160")</f>
        <v>https://zfin.org/ZDB-GENE-110411-160</v>
      </c>
      <c r="J3942" t="s">
        <v>1118</v>
      </c>
    </row>
    <row r="3943" spans="1:10" x14ac:dyDescent="0.2">
      <c r="A3943">
        <v>4.6297813001756398E-23</v>
      </c>
      <c r="B3943">
        <v>0.35305931842381899</v>
      </c>
      <c r="C3943">
        <v>0.79</v>
      </c>
      <c r="D3943">
        <v>0.56399999999999995</v>
      </c>
      <c r="E3943">
        <v>6.4344700509841001E-19</v>
      </c>
      <c r="F3943">
        <v>11</v>
      </c>
      <c r="G3943" t="s">
        <v>2039</v>
      </c>
      <c r="H3943" t="s">
        <v>2040</v>
      </c>
      <c r="I3943" t="str">
        <f>HYPERLINK("https://zfin.org/ZDB-GENE-050308-1")</f>
        <v>https://zfin.org/ZDB-GENE-050308-1</v>
      </c>
      <c r="J3943" t="s">
        <v>2041</v>
      </c>
    </row>
    <row r="3944" spans="1:10" x14ac:dyDescent="0.2">
      <c r="A3944">
        <v>1.68328383606852E-22</v>
      </c>
      <c r="B3944">
        <v>0.250538496366284</v>
      </c>
      <c r="C3944">
        <v>0.97799999999999998</v>
      </c>
      <c r="D3944">
        <v>0.94799999999999995</v>
      </c>
      <c r="E3944">
        <v>2.3394278753680299E-18</v>
      </c>
      <c r="F3944">
        <v>11</v>
      </c>
      <c r="G3944" t="s">
        <v>1821</v>
      </c>
      <c r="H3944" t="s">
        <v>1822</v>
      </c>
      <c r="I3944" t="str">
        <f>HYPERLINK("https://zfin.org/ZDB-GENE-031007-1")</f>
        <v>https://zfin.org/ZDB-GENE-031007-1</v>
      </c>
      <c r="J3944" t="s">
        <v>1823</v>
      </c>
    </row>
    <row r="3945" spans="1:10" x14ac:dyDescent="0.2">
      <c r="A3945">
        <v>1.7962912897945799E-22</v>
      </c>
      <c r="B3945">
        <v>-0.80898390446272095</v>
      </c>
      <c r="C3945">
        <v>0.153</v>
      </c>
      <c r="D3945">
        <v>0.36599999999999999</v>
      </c>
      <c r="E3945">
        <v>2.4964856345564999E-18</v>
      </c>
      <c r="F3945">
        <v>11</v>
      </c>
      <c r="G3945" t="s">
        <v>5123</v>
      </c>
      <c r="H3945" t="s">
        <v>5124</v>
      </c>
      <c r="I3945" t="str">
        <f>HYPERLINK("https://zfin.org/ZDB-GENE-070424-74")</f>
        <v>https://zfin.org/ZDB-GENE-070424-74</v>
      </c>
      <c r="J3945" t="s">
        <v>5125</v>
      </c>
    </row>
    <row r="3946" spans="1:10" x14ac:dyDescent="0.2">
      <c r="A3946">
        <v>4.6490957980014301E-22</v>
      </c>
      <c r="B3946">
        <v>-0.60401090685961401</v>
      </c>
      <c r="C3946">
        <v>6.0999999999999999E-2</v>
      </c>
      <c r="D3946">
        <v>0.25600000000000001</v>
      </c>
      <c r="E3946">
        <v>6.4613133400623904E-18</v>
      </c>
      <c r="F3946">
        <v>11</v>
      </c>
      <c r="G3946" t="s">
        <v>3169</v>
      </c>
      <c r="H3946" t="s">
        <v>3170</v>
      </c>
      <c r="I3946" t="str">
        <f>HYPERLINK("https://zfin.org/ZDB-GENE-030715-1")</f>
        <v>https://zfin.org/ZDB-GENE-030715-1</v>
      </c>
      <c r="J3946" t="s">
        <v>3171</v>
      </c>
    </row>
    <row r="3947" spans="1:10" x14ac:dyDescent="0.2">
      <c r="A3947">
        <v>1.1071691508847399E-21</v>
      </c>
      <c r="B3947">
        <v>-0.72875450151670595</v>
      </c>
      <c r="C3947">
        <v>0.26500000000000001</v>
      </c>
      <c r="D3947">
        <v>0.48299999999999998</v>
      </c>
      <c r="E3947">
        <v>1.53874368589961E-17</v>
      </c>
      <c r="F3947">
        <v>11</v>
      </c>
      <c r="G3947" t="s">
        <v>2328</v>
      </c>
      <c r="H3947" t="s">
        <v>2329</v>
      </c>
      <c r="I3947" t="str">
        <f>HYPERLINK("https://zfin.org/ZDB-GENE-030707-2")</f>
        <v>https://zfin.org/ZDB-GENE-030707-2</v>
      </c>
      <c r="J3947" t="s">
        <v>2330</v>
      </c>
    </row>
    <row r="3948" spans="1:10" x14ac:dyDescent="0.2">
      <c r="A3948">
        <v>1.29807072406193E-21</v>
      </c>
      <c r="B3948">
        <v>-0.682348189661659</v>
      </c>
      <c r="C3948">
        <v>0.46899999999999997</v>
      </c>
      <c r="D3948">
        <v>0.625</v>
      </c>
      <c r="E3948">
        <v>1.80405869230128E-17</v>
      </c>
      <c r="F3948">
        <v>11</v>
      </c>
      <c r="G3948" t="s">
        <v>2170</v>
      </c>
      <c r="H3948" t="s">
        <v>2171</v>
      </c>
      <c r="I3948" t="str">
        <f>HYPERLINK("https://zfin.org/ZDB-GENE-040426-2826")</f>
        <v>https://zfin.org/ZDB-GENE-040426-2826</v>
      </c>
      <c r="J3948" t="s">
        <v>2172</v>
      </c>
    </row>
    <row r="3949" spans="1:10" x14ac:dyDescent="0.2">
      <c r="A3949">
        <v>1.728940011858E-21</v>
      </c>
      <c r="B3949">
        <v>0.41633452456872899</v>
      </c>
      <c r="C3949">
        <v>0.153</v>
      </c>
      <c r="D3949">
        <v>4.3999999999999997E-2</v>
      </c>
      <c r="E3949">
        <v>2.4028808284802501E-17</v>
      </c>
      <c r="F3949">
        <v>11</v>
      </c>
      <c r="G3949" t="s">
        <v>5796</v>
      </c>
      <c r="H3949" t="s">
        <v>5797</v>
      </c>
      <c r="I3949" t="str">
        <f>HYPERLINK("https://zfin.org/ZDB-GENE-050419-19")</f>
        <v>https://zfin.org/ZDB-GENE-050419-19</v>
      </c>
      <c r="J3949" t="s">
        <v>5798</v>
      </c>
    </row>
    <row r="3950" spans="1:10" x14ac:dyDescent="0.2">
      <c r="A3950">
        <v>4.3355492190213197E-21</v>
      </c>
      <c r="B3950">
        <v>-0.66183175376870895</v>
      </c>
      <c r="C3950">
        <v>6.9000000000000006E-2</v>
      </c>
      <c r="D3950">
        <v>0.25900000000000001</v>
      </c>
      <c r="E3950">
        <v>6.0255463045958302E-17</v>
      </c>
      <c r="F3950">
        <v>11</v>
      </c>
      <c r="G3950" t="s">
        <v>2981</v>
      </c>
      <c r="H3950" t="s">
        <v>2982</v>
      </c>
      <c r="I3950" t="str">
        <f>HYPERLINK("https://zfin.org/ZDB-GENE-131121-141")</f>
        <v>https://zfin.org/ZDB-GENE-131121-141</v>
      </c>
      <c r="J3950" t="s">
        <v>2983</v>
      </c>
    </row>
    <row r="3951" spans="1:10" x14ac:dyDescent="0.2">
      <c r="A3951">
        <v>5.5013840692130798E-21</v>
      </c>
      <c r="B3951">
        <v>0.46459909170292402</v>
      </c>
      <c r="C3951">
        <v>0.49399999999999999</v>
      </c>
      <c r="D3951">
        <v>0.31</v>
      </c>
      <c r="E3951">
        <v>7.6458235793923394E-17</v>
      </c>
      <c r="F3951">
        <v>11</v>
      </c>
      <c r="G3951" t="s">
        <v>3336</v>
      </c>
      <c r="H3951" t="s">
        <v>3337</v>
      </c>
      <c r="I3951" t="str">
        <f>HYPERLINK("https://zfin.org/ZDB-GENE-040426-1976")</f>
        <v>https://zfin.org/ZDB-GENE-040426-1976</v>
      </c>
      <c r="J3951" t="s">
        <v>3338</v>
      </c>
    </row>
    <row r="3952" spans="1:10" x14ac:dyDescent="0.2">
      <c r="A3952">
        <v>6.6420046040120199E-21</v>
      </c>
      <c r="B3952">
        <v>-0.70954476662144506</v>
      </c>
      <c r="C3952">
        <v>0.44500000000000001</v>
      </c>
      <c r="D3952">
        <v>0.61599999999999999</v>
      </c>
      <c r="E3952">
        <v>9.2310579986559101E-17</v>
      </c>
      <c r="F3952">
        <v>11</v>
      </c>
      <c r="G3952" t="s">
        <v>861</v>
      </c>
      <c r="H3952" t="s">
        <v>862</v>
      </c>
      <c r="I3952" t="str">
        <f>HYPERLINK("https://zfin.org/ZDB-GENE-030131-1226")</f>
        <v>https://zfin.org/ZDB-GENE-030131-1226</v>
      </c>
      <c r="J3952" t="s">
        <v>863</v>
      </c>
    </row>
    <row r="3953" spans="1:10" x14ac:dyDescent="0.2">
      <c r="A3953">
        <v>7.20625867920479E-21</v>
      </c>
      <c r="B3953">
        <v>0.45249685306904702</v>
      </c>
      <c r="C3953">
        <v>0.22500000000000001</v>
      </c>
      <c r="D3953">
        <v>8.6999999999999994E-2</v>
      </c>
      <c r="E3953">
        <v>1.00152583123588E-16</v>
      </c>
      <c r="F3953">
        <v>11</v>
      </c>
      <c r="G3953" t="s">
        <v>5327</v>
      </c>
      <c r="H3953" t="s">
        <v>5328</v>
      </c>
      <c r="I3953" t="str">
        <f>HYPERLINK("https://zfin.org/ZDB-GENE-110404-2")</f>
        <v>https://zfin.org/ZDB-GENE-110404-2</v>
      </c>
      <c r="J3953" t="s">
        <v>5329</v>
      </c>
    </row>
    <row r="3954" spans="1:10" x14ac:dyDescent="0.2">
      <c r="A3954">
        <v>1.14625916134831E-20</v>
      </c>
      <c r="B3954">
        <v>0.31178135113960698</v>
      </c>
      <c r="C3954">
        <v>0.12</v>
      </c>
      <c r="D3954">
        <v>2.8000000000000001E-2</v>
      </c>
      <c r="E3954">
        <v>1.5930709824418801E-16</v>
      </c>
      <c r="F3954">
        <v>11</v>
      </c>
      <c r="G3954" t="s">
        <v>6819</v>
      </c>
      <c r="H3954" t="s">
        <v>6820</v>
      </c>
      <c r="I3954" t="str">
        <f>HYPERLINK("https://zfin.org/ZDB-GENE-040426-2932")</f>
        <v>https://zfin.org/ZDB-GENE-040426-2932</v>
      </c>
      <c r="J3954" t="s">
        <v>6821</v>
      </c>
    </row>
    <row r="3955" spans="1:10" x14ac:dyDescent="0.2">
      <c r="A3955">
        <v>2.4668029153101901E-20</v>
      </c>
      <c r="B3955">
        <v>-0.61622205379056005</v>
      </c>
      <c r="C3955">
        <v>0.186</v>
      </c>
      <c r="D3955">
        <v>0.39400000000000002</v>
      </c>
      <c r="E3955">
        <v>3.4283626916980998E-16</v>
      </c>
      <c r="F3955">
        <v>11</v>
      </c>
      <c r="G3955" t="s">
        <v>2553</v>
      </c>
      <c r="H3955" t="s">
        <v>2554</v>
      </c>
      <c r="I3955" t="str">
        <f>HYPERLINK("https://zfin.org/ZDB-GENE-090915-6")</f>
        <v>https://zfin.org/ZDB-GENE-090915-6</v>
      </c>
      <c r="J3955" t="s">
        <v>2555</v>
      </c>
    </row>
    <row r="3956" spans="1:10" x14ac:dyDescent="0.2">
      <c r="A3956">
        <v>7.8982118856556103E-20</v>
      </c>
      <c r="B3956">
        <v>0.35350351951469899</v>
      </c>
      <c r="C3956">
        <v>0.82899999999999996</v>
      </c>
      <c r="D3956">
        <v>0.68</v>
      </c>
      <c r="E3956">
        <v>1.09769348786842E-15</v>
      </c>
      <c r="F3956">
        <v>11</v>
      </c>
      <c r="G3956" t="s">
        <v>1689</v>
      </c>
      <c r="H3956" t="s">
        <v>1690</v>
      </c>
      <c r="I3956" t="str">
        <f>HYPERLINK("https://zfin.org/ZDB-GENE-101011-2")</f>
        <v>https://zfin.org/ZDB-GENE-101011-2</v>
      </c>
      <c r="J3956" t="s">
        <v>1691</v>
      </c>
    </row>
    <row r="3957" spans="1:10" x14ac:dyDescent="0.2">
      <c r="A3957">
        <v>1.1080306292903601E-19</v>
      </c>
      <c r="B3957">
        <v>0.52265462705884302</v>
      </c>
      <c r="C3957">
        <v>0.54700000000000004</v>
      </c>
      <c r="D3957">
        <v>0.377</v>
      </c>
      <c r="E3957">
        <v>1.5399409685877399E-15</v>
      </c>
      <c r="F3957">
        <v>11</v>
      </c>
      <c r="G3957" t="s">
        <v>2457</v>
      </c>
      <c r="H3957" t="s">
        <v>2458</v>
      </c>
      <c r="I3957" t="str">
        <f>HYPERLINK("https://zfin.org/ZDB-GENE-070424-30")</f>
        <v>https://zfin.org/ZDB-GENE-070424-30</v>
      </c>
      <c r="J3957" t="s">
        <v>2459</v>
      </c>
    </row>
    <row r="3958" spans="1:10" x14ac:dyDescent="0.2">
      <c r="A3958">
        <v>1.3807097640874701E-19</v>
      </c>
      <c r="B3958">
        <v>0.35491291544894898</v>
      </c>
      <c r="C3958">
        <v>0.81</v>
      </c>
      <c r="D3958">
        <v>0.69399999999999995</v>
      </c>
      <c r="E3958">
        <v>1.9189104301287699E-15</v>
      </c>
      <c r="F3958">
        <v>11</v>
      </c>
      <c r="G3958" t="s">
        <v>1695</v>
      </c>
      <c r="H3958" t="s">
        <v>1696</v>
      </c>
      <c r="I3958" t="str">
        <f>HYPERLINK("https://zfin.org/ZDB-GENE-040426-2770")</f>
        <v>https://zfin.org/ZDB-GENE-040426-2770</v>
      </c>
      <c r="J3958" t="s">
        <v>1697</v>
      </c>
    </row>
    <row r="3959" spans="1:10" x14ac:dyDescent="0.2">
      <c r="A3959">
        <v>2.78093374425201E-19</v>
      </c>
      <c r="B3959">
        <v>0.34851155997271199</v>
      </c>
      <c r="C3959">
        <v>0.72</v>
      </c>
      <c r="D3959">
        <v>0.56999999999999995</v>
      </c>
      <c r="E3959">
        <v>3.8649417177614397E-15</v>
      </c>
      <c r="F3959">
        <v>11</v>
      </c>
      <c r="G3959" t="s">
        <v>5294</v>
      </c>
      <c r="H3959" t="s">
        <v>5295</v>
      </c>
      <c r="I3959" t="str">
        <f>HYPERLINK("https://zfin.org/ZDB-GENE-030131-722")</f>
        <v>https://zfin.org/ZDB-GENE-030131-722</v>
      </c>
      <c r="J3959" t="s">
        <v>5296</v>
      </c>
    </row>
    <row r="3960" spans="1:10" x14ac:dyDescent="0.2">
      <c r="A3960">
        <v>3.0491344551578798E-19</v>
      </c>
      <c r="B3960">
        <v>0.26139578496691002</v>
      </c>
      <c r="C3960">
        <v>0.91</v>
      </c>
      <c r="D3960">
        <v>0.84199999999999997</v>
      </c>
      <c r="E3960">
        <v>4.23768706577843E-15</v>
      </c>
      <c r="F3960">
        <v>11</v>
      </c>
      <c r="G3960" t="s">
        <v>2409</v>
      </c>
      <c r="H3960" t="s">
        <v>2410</v>
      </c>
      <c r="I3960" t="str">
        <f>HYPERLINK("https://zfin.org/ZDB-GENE-080220-50")</f>
        <v>https://zfin.org/ZDB-GENE-080220-50</v>
      </c>
      <c r="J3960" t="s">
        <v>2411</v>
      </c>
    </row>
    <row r="3961" spans="1:10" x14ac:dyDescent="0.2">
      <c r="A3961">
        <v>2.8663088159208101E-18</v>
      </c>
      <c r="B3961">
        <v>-0.51274941193220402</v>
      </c>
      <c r="C3961">
        <v>0.46300000000000002</v>
      </c>
      <c r="D3961">
        <v>0.63100000000000001</v>
      </c>
      <c r="E3961">
        <v>3.9835959923667502E-14</v>
      </c>
      <c r="F3961">
        <v>11</v>
      </c>
      <c r="G3961" t="s">
        <v>2051</v>
      </c>
      <c r="H3961" t="s">
        <v>2052</v>
      </c>
      <c r="I3961" t="str">
        <f>HYPERLINK("https://zfin.org/ZDB-GENE-030825-1")</f>
        <v>https://zfin.org/ZDB-GENE-030825-1</v>
      </c>
      <c r="J3961" t="s">
        <v>2053</v>
      </c>
    </row>
    <row r="3962" spans="1:10" x14ac:dyDescent="0.2">
      <c r="A3962">
        <v>4.0405692263420498E-18</v>
      </c>
      <c r="B3962">
        <v>-0.66047048088439897</v>
      </c>
      <c r="C3962">
        <v>7.4999999999999997E-2</v>
      </c>
      <c r="D3962">
        <v>0.245</v>
      </c>
      <c r="E3962">
        <v>5.6155831107701801E-14</v>
      </c>
      <c r="F3962">
        <v>11</v>
      </c>
      <c r="G3962" t="s">
        <v>2807</v>
      </c>
      <c r="H3962" t="s">
        <v>2808</v>
      </c>
      <c r="I3962" t="str">
        <f>HYPERLINK("https://zfin.org/ZDB-GENE-070112-292")</f>
        <v>https://zfin.org/ZDB-GENE-070112-292</v>
      </c>
      <c r="J3962" t="s">
        <v>2809</v>
      </c>
    </row>
    <row r="3963" spans="1:10" x14ac:dyDescent="0.2">
      <c r="A3963">
        <v>4.1853666521859398E-18</v>
      </c>
      <c r="B3963">
        <v>0.490071209154962</v>
      </c>
      <c r="C3963">
        <v>0.36299999999999999</v>
      </c>
      <c r="D3963">
        <v>0.20799999999999999</v>
      </c>
      <c r="E3963">
        <v>5.8168225732080203E-14</v>
      </c>
      <c r="F3963">
        <v>11</v>
      </c>
      <c r="G3963" t="s">
        <v>3261</v>
      </c>
      <c r="H3963" t="s">
        <v>3262</v>
      </c>
      <c r="I3963" t="str">
        <f>HYPERLINK("https://zfin.org/ZDB-GENE-031118-120")</f>
        <v>https://zfin.org/ZDB-GENE-031118-120</v>
      </c>
      <c r="J3963" t="s">
        <v>3263</v>
      </c>
    </row>
    <row r="3964" spans="1:10" x14ac:dyDescent="0.2">
      <c r="A3964">
        <v>6.8639967464718099E-18</v>
      </c>
      <c r="B3964">
        <v>-0.89361981234378396</v>
      </c>
      <c r="C3964">
        <v>0.70599999999999996</v>
      </c>
      <c r="D3964">
        <v>0.75900000000000001</v>
      </c>
      <c r="E3964">
        <v>9.5395826782465196E-14</v>
      </c>
      <c r="F3964">
        <v>11</v>
      </c>
      <c r="G3964" t="s">
        <v>1701</v>
      </c>
      <c r="H3964" t="s">
        <v>1702</v>
      </c>
      <c r="I3964" t="str">
        <f>HYPERLINK("https://zfin.org/ZDB-GENE-111109-2")</f>
        <v>https://zfin.org/ZDB-GENE-111109-2</v>
      </c>
      <c r="J3964" t="s">
        <v>1703</v>
      </c>
    </row>
    <row r="3965" spans="1:10" x14ac:dyDescent="0.2">
      <c r="A3965">
        <v>2.1638403165558399E-17</v>
      </c>
      <c r="B3965">
        <v>-0.78724682477816099</v>
      </c>
      <c r="C3965">
        <v>0.157</v>
      </c>
      <c r="D3965">
        <v>0.33600000000000002</v>
      </c>
      <c r="E3965">
        <v>3.00730527194931E-13</v>
      </c>
      <c r="F3965">
        <v>11</v>
      </c>
      <c r="G3965" t="s">
        <v>2739</v>
      </c>
      <c r="H3965" t="s">
        <v>2740</v>
      </c>
      <c r="I3965" t="str">
        <f>HYPERLINK("https://zfin.org/ZDB-GENE-051030-98")</f>
        <v>https://zfin.org/ZDB-GENE-051030-98</v>
      </c>
      <c r="J3965" t="s">
        <v>2741</v>
      </c>
    </row>
    <row r="3966" spans="1:10" x14ac:dyDescent="0.2">
      <c r="A3966">
        <v>2.5030148298272701E-17</v>
      </c>
      <c r="B3966">
        <v>0.45417631197943598</v>
      </c>
      <c r="C3966">
        <v>0.435</v>
      </c>
      <c r="D3966">
        <v>0.27400000000000002</v>
      </c>
      <c r="E3966">
        <v>3.4786900104939401E-13</v>
      </c>
      <c r="F3966">
        <v>11</v>
      </c>
      <c r="G3966" t="s">
        <v>3041</v>
      </c>
      <c r="H3966" t="s">
        <v>3042</v>
      </c>
      <c r="I3966" t="str">
        <f>HYPERLINK("https://zfin.org/ZDB-GENE-040426-2140")</f>
        <v>https://zfin.org/ZDB-GENE-040426-2140</v>
      </c>
      <c r="J3966" t="s">
        <v>3043</v>
      </c>
    </row>
    <row r="3967" spans="1:10" x14ac:dyDescent="0.2">
      <c r="A3967">
        <v>3.0107084166390503E-17</v>
      </c>
      <c r="B3967">
        <v>0.37897465751784798</v>
      </c>
      <c r="C3967">
        <v>0.192</v>
      </c>
      <c r="D3967">
        <v>7.3999999999999996E-2</v>
      </c>
      <c r="E3967">
        <v>4.1842825574449598E-13</v>
      </c>
      <c r="F3967">
        <v>11</v>
      </c>
      <c r="G3967" t="s">
        <v>6822</v>
      </c>
      <c r="H3967" t="s">
        <v>6823</v>
      </c>
      <c r="I3967" t="str">
        <f>HYPERLINK("https://zfin.org/ZDB-GENE-980526-109")</f>
        <v>https://zfin.org/ZDB-GENE-980526-109</v>
      </c>
      <c r="J3967" t="s">
        <v>6824</v>
      </c>
    </row>
    <row r="3968" spans="1:10" x14ac:dyDescent="0.2">
      <c r="A3968">
        <v>3.80736220458916E-17</v>
      </c>
      <c r="B3968">
        <v>0.27377675142342101</v>
      </c>
      <c r="C3968">
        <v>0.85899999999999999</v>
      </c>
      <c r="D3968">
        <v>0.78500000000000003</v>
      </c>
      <c r="E3968">
        <v>5.2914719919380205E-13</v>
      </c>
      <c r="F3968">
        <v>11</v>
      </c>
      <c r="G3968" t="s">
        <v>2592</v>
      </c>
      <c r="H3968" t="s">
        <v>2593</v>
      </c>
      <c r="I3968" t="str">
        <f>HYPERLINK("https://zfin.org/ZDB-GENE-030131-8581")</f>
        <v>https://zfin.org/ZDB-GENE-030131-8581</v>
      </c>
      <c r="J3968" t="s">
        <v>2594</v>
      </c>
    </row>
    <row r="3969" spans="1:10" x14ac:dyDescent="0.2">
      <c r="A3969">
        <v>4.2660457670426099E-17</v>
      </c>
      <c r="B3969">
        <v>0.406442504507181</v>
      </c>
      <c r="C3969">
        <v>0.51800000000000002</v>
      </c>
      <c r="D3969">
        <v>0.36099999999999999</v>
      </c>
      <c r="E3969">
        <v>5.9289504070358205E-13</v>
      </c>
      <c r="F3969">
        <v>11</v>
      </c>
      <c r="G3969" t="s">
        <v>3106</v>
      </c>
      <c r="H3969" t="s">
        <v>3107</v>
      </c>
      <c r="I3969" t="str">
        <f>HYPERLINK("https://zfin.org/ZDB-GENE-040426-2548")</f>
        <v>https://zfin.org/ZDB-GENE-040426-2548</v>
      </c>
      <c r="J3969" t="s">
        <v>3108</v>
      </c>
    </row>
    <row r="3970" spans="1:10" x14ac:dyDescent="0.2">
      <c r="A3970">
        <v>1.2051903444403E-16</v>
      </c>
      <c r="B3970">
        <v>0.43009037335948203</v>
      </c>
      <c r="C3970">
        <v>0.55900000000000005</v>
      </c>
      <c r="D3970">
        <v>0.41499999999999998</v>
      </c>
      <c r="E3970">
        <v>1.67497354070313E-12</v>
      </c>
      <c r="F3970">
        <v>11</v>
      </c>
      <c r="G3970" t="s">
        <v>3130</v>
      </c>
      <c r="H3970" t="s">
        <v>3131</v>
      </c>
      <c r="I3970" t="str">
        <f>HYPERLINK("https://zfin.org/ZDB-GENE-041007-4")</f>
        <v>https://zfin.org/ZDB-GENE-041007-4</v>
      </c>
      <c r="J3970" t="s">
        <v>3132</v>
      </c>
    </row>
    <row r="3971" spans="1:10" x14ac:dyDescent="0.2">
      <c r="A3971">
        <v>1.90282914558703E-16</v>
      </c>
      <c r="B3971">
        <v>0.37976531223620202</v>
      </c>
      <c r="C3971">
        <v>0.19800000000000001</v>
      </c>
      <c r="D3971">
        <v>8.2000000000000003E-2</v>
      </c>
      <c r="E3971">
        <v>2.64455194653685E-12</v>
      </c>
      <c r="F3971">
        <v>11</v>
      </c>
      <c r="G3971" t="s">
        <v>5515</v>
      </c>
      <c r="H3971" t="s">
        <v>5516</v>
      </c>
      <c r="I3971" t="str">
        <f>HYPERLINK("https://zfin.org/ZDB-GENE-040824-3")</f>
        <v>https://zfin.org/ZDB-GENE-040824-3</v>
      </c>
      <c r="J3971" t="s">
        <v>5517</v>
      </c>
    </row>
    <row r="3972" spans="1:10" x14ac:dyDescent="0.2">
      <c r="A3972">
        <v>1.9327770922764199E-16</v>
      </c>
      <c r="B3972">
        <v>0.26545961150268899</v>
      </c>
      <c r="C3972">
        <v>0.11</v>
      </c>
      <c r="D3972">
        <v>0.03</v>
      </c>
      <c r="E3972">
        <v>2.6861736028457599E-12</v>
      </c>
      <c r="F3972">
        <v>11</v>
      </c>
      <c r="G3972" t="s">
        <v>5811</v>
      </c>
      <c r="H3972" t="s">
        <v>5812</v>
      </c>
      <c r="I3972" t="str">
        <f>HYPERLINK("https://zfin.org/ZDB-GENE-040426-2224")</f>
        <v>https://zfin.org/ZDB-GENE-040426-2224</v>
      </c>
      <c r="J3972" t="s">
        <v>5813</v>
      </c>
    </row>
    <row r="3973" spans="1:10" x14ac:dyDescent="0.2">
      <c r="A3973">
        <v>1.9733077516973099E-16</v>
      </c>
      <c r="B3973">
        <v>-0.49485344827593097</v>
      </c>
      <c r="C3973">
        <v>0.30399999999999999</v>
      </c>
      <c r="D3973">
        <v>0.48199999999999998</v>
      </c>
      <c r="E3973">
        <v>2.7425031133089199E-12</v>
      </c>
      <c r="F3973">
        <v>11</v>
      </c>
      <c r="G3973" t="s">
        <v>1014</v>
      </c>
      <c r="H3973" t="s">
        <v>1015</v>
      </c>
      <c r="I3973" t="str">
        <f>HYPERLINK("https://zfin.org/ZDB-GENE-030131-5590")</f>
        <v>https://zfin.org/ZDB-GENE-030131-5590</v>
      </c>
      <c r="J3973" t="s">
        <v>1016</v>
      </c>
    </row>
    <row r="3974" spans="1:10" x14ac:dyDescent="0.2">
      <c r="A3974">
        <v>2.1746445561358999E-16</v>
      </c>
      <c r="B3974">
        <v>-0.43328436442441998</v>
      </c>
      <c r="C3974">
        <v>0.51600000000000001</v>
      </c>
      <c r="D3974">
        <v>0.66600000000000004</v>
      </c>
      <c r="E3974">
        <v>3.0223210041176798E-12</v>
      </c>
      <c r="F3974">
        <v>11</v>
      </c>
      <c r="G3974" t="s">
        <v>2364</v>
      </c>
      <c r="H3974" t="s">
        <v>2365</v>
      </c>
      <c r="I3974" t="str">
        <f>HYPERLINK("https://zfin.org/ZDB-GENE-080204-124")</f>
        <v>https://zfin.org/ZDB-GENE-080204-124</v>
      </c>
      <c r="J3974" t="s">
        <v>2366</v>
      </c>
    </row>
    <row r="3975" spans="1:10" x14ac:dyDescent="0.2">
      <c r="A3975">
        <v>2.2331438910997599E-16</v>
      </c>
      <c r="B3975">
        <v>0.26905637671073901</v>
      </c>
      <c r="C3975">
        <v>0.90800000000000003</v>
      </c>
      <c r="D3975">
        <v>0.876</v>
      </c>
      <c r="E3975">
        <v>3.1036233798504401E-12</v>
      </c>
      <c r="F3975">
        <v>11</v>
      </c>
      <c r="G3975" t="s">
        <v>1179</v>
      </c>
      <c r="H3975" t="s">
        <v>1180</v>
      </c>
      <c r="I3975" t="str">
        <f>HYPERLINK("https://zfin.org/ZDB-GENE-030410-1")</f>
        <v>https://zfin.org/ZDB-GENE-030410-1</v>
      </c>
      <c r="J3975" t="s">
        <v>1181</v>
      </c>
    </row>
    <row r="3976" spans="1:10" x14ac:dyDescent="0.2">
      <c r="A3976">
        <v>2.24913010653653E-16</v>
      </c>
      <c r="B3976">
        <v>-0.46612777567170599</v>
      </c>
      <c r="C3976">
        <v>0.38600000000000001</v>
      </c>
      <c r="D3976">
        <v>0.55500000000000005</v>
      </c>
      <c r="E3976">
        <v>3.1258410220644698E-12</v>
      </c>
      <c r="F3976">
        <v>11</v>
      </c>
      <c r="G3976" t="s">
        <v>5120</v>
      </c>
      <c r="H3976" t="s">
        <v>5121</v>
      </c>
      <c r="I3976" t="str">
        <f>HYPERLINK("https://zfin.org/ZDB-GENE-030521-13")</f>
        <v>https://zfin.org/ZDB-GENE-030521-13</v>
      </c>
      <c r="J3976" t="s">
        <v>5122</v>
      </c>
    </row>
    <row r="3977" spans="1:10" x14ac:dyDescent="0.2">
      <c r="A3977">
        <v>3.1262782491749699E-16</v>
      </c>
      <c r="B3977">
        <v>-0.491489160147842</v>
      </c>
      <c r="C3977">
        <v>5.2999999999999999E-2</v>
      </c>
      <c r="D3977">
        <v>0.20499999999999999</v>
      </c>
      <c r="E3977">
        <v>4.34490151070337E-12</v>
      </c>
      <c r="F3977">
        <v>11</v>
      </c>
      <c r="G3977" t="s">
        <v>2849</v>
      </c>
      <c r="H3977" t="s">
        <v>2850</v>
      </c>
      <c r="I3977" t="str">
        <f>HYPERLINK("https://zfin.org/ZDB-GENE-001212-5")</f>
        <v>https://zfin.org/ZDB-GENE-001212-5</v>
      </c>
      <c r="J3977" t="s">
        <v>2851</v>
      </c>
    </row>
    <row r="3978" spans="1:10" x14ac:dyDescent="0.2">
      <c r="A3978">
        <v>3.99996744482747E-16</v>
      </c>
      <c r="B3978">
        <v>-0.53962383024726102</v>
      </c>
      <c r="C3978">
        <v>7.0999999999999994E-2</v>
      </c>
      <c r="D3978">
        <v>0.22700000000000001</v>
      </c>
      <c r="E3978">
        <v>5.5591547548212098E-12</v>
      </c>
      <c r="F3978">
        <v>11</v>
      </c>
      <c r="G3978" t="s">
        <v>2792</v>
      </c>
      <c r="H3978" t="s">
        <v>2793</v>
      </c>
      <c r="I3978" t="str">
        <f>HYPERLINK("https://zfin.org/ZDB-GENE-030131-9149")</f>
        <v>https://zfin.org/ZDB-GENE-030131-9149</v>
      </c>
      <c r="J3978" t="s">
        <v>2794</v>
      </c>
    </row>
    <row r="3979" spans="1:10" x14ac:dyDescent="0.2">
      <c r="A3979">
        <v>6.6059931465728899E-16</v>
      </c>
      <c r="B3979">
        <v>-0.428149761225328</v>
      </c>
      <c r="C3979">
        <v>2.9000000000000001E-2</v>
      </c>
      <c r="D3979">
        <v>0.16800000000000001</v>
      </c>
      <c r="E3979">
        <v>9.1810092751069998E-12</v>
      </c>
      <c r="F3979">
        <v>11</v>
      </c>
      <c r="G3979" t="s">
        <v>3375</v>
      </c>
      <c r="H3979" t="s">
        <v>3376</v>
      </c>
      <c r="I3979" t="str">
        <f>HYPERLINK("https://zfin.org/ZDB-GENE-020402-4")</f>
        <v>https://zfin.org/ZDB-GENE-020402-4</v>
      </c>
      <c r="J3979" t="s">
        <v>3377</v>
      </c>
    </row>
    <row r="3980" spans="1:10" x14ac:dyDescent="0.2">
      <c r="A3980">
        <v>7.1310775185187501E-16</v>
      </c>
      <c r="B3980">
        <v>-0.26488708350484302</v>
      </c>
      <c r="C3980">
        <v>0.85899999999999999</v>
      </c>
      <c r="D3980">
        <v>0.92600000000000005</v>
      </c>
      <c r="E3980">
        <v>9.91077153523736E-12</v>
      </c>
      <c r="F3980">
        <v>11</v>
      </c>
      <c r="G3980" t="s">
        <v>6701</v>
      </c>
      <c r="H3980" t="s">
        <v>6702</v>
      </c>
      <c r="I3980" t="str">
        <f>HYPERLINK("https://zfin.org/ZDB-GENE-011205-14")</f>
        <v>https://zfin.org/ZDB-GENE-011205-14</v>
      </c>
      <c r="J3980" t="s">
        <v>6703</v>
      </c>
    </row>
    <row r="3981" spans="1:10" x14ac:dyDescent="0.2">
      <c r="A3981">
        <v>1.28407304446108E-15</v>
      </c>
      <c r="B3981">
        <v>0.42321179114818103</v>
      </c>
      <c r="C3981">
        <v>0.17599999999999999</v>
      </c>
      <c r="D3981">
        <v>7.0000000000000007E-2</v>
      </c>
      <c r="E3981">
        <v>1.7846047171920101E-11</v>
      </c>
      <c r="F3981">
        <v>11</v>
      </c>
      <c r="G3981" t="s">
        <v>6825</v>
      </c>
      <c r="H3981" t="s">
        <v>6826</v>
      </c>
      <c r="I3981" t="str">
        <f>HYPERLINK("https://zfin.org/ZDB-GENE-990714-11")</f>
        <v>https://zfin.org/ZDB-GENE-990714-11</v>
      </c>
      <c r="J3981" t="s">
        <v>6827</v>
      </c>
    </row>
    <row r="3982" spans="1:10" x14ac:dyDescent="0.2">
      <c r="A3982">
        <v>3.5547207343246098E-15</v>
      </c>
      <c r="B3982">
        <v>-0.77952667774923201</v>
      </c>
      <c r="C3982">
        <v>0.10199999999999999</v>
      </c>
      <c r="D3982">
        <v>0.255</v>
      </c>
      <c r="E3982">
        <v>4.9403508765643397E-11</v>
      </c>
      <c r="F3982">
        <v>11</v>
      </c>
      <c r="G3982" t="s">
        <v>1011</v>
      </c>
      <c r="H3982" t="s">
        <v>1012</v>
      </c>
      <c r="I3982" t="str">
        <f>HYPERLINK("https://zfin.org/ZDB-GENE-990415-17")</f>
        <v>https://zfin.org/ZDB-GENE-990415-17</v>
      </c>
      <c r="J3982" t="s">
        <v>1013</v>
      </c>
    </row>
    <row r="3983" spans="1:10" x14ac:dyDescent="0.2">
      <c r="A3983">
        <v>4.7440220236014101E-15</v>
      </c>
      <c r="B3983">
        <v>0.43132017253114902</v>
      </c>
      <c r="C3983">
        <v>0.19600000000000001</v>
      </c>
      <c r="D3983">
        <v>8.5000000000000006E-2</v>
      </c>
      <c r="E3983">
        <v>6.5932418084012404E-11</v>
      </c>
      <c r="F3983">
        <v>11</v>
      </c>
      <c r="G3983" t="s">
        <v>5489</v>
      </c>
      <c r="H3983" t="s">
        <v>5490</v>
      </c>
      <c r="I3983" t="str">
        <f>HYPERLINK("https://zfin.org/ZDB-GENE-030131-5511")</f>
        <v>https://zfin.org/ZDB-GENE-030131-5511</v>
      </c>
      <c r="J3983" t="s">
        <v>5491</v>
      </c>
    </row>
    <row r="3984" spans="1:10" x14ac:dyDescent="0.2">
      <c r="A3984">
        <v>5.93410326075661E-15</v>
      </c>
      <c r="B3984">
        <v>-0.379429932267699</v>
      </c>
      <c r="C3984">
        <v>0.89800000000000002</v>
      </c>
      <c r="D3984">
        <v>0.92400000000000004</v>
      </c>
      <c r="E3984">
        <v>8.2472167117995406E-11</v>
      </c>
      <c r="F3984">
        <v>11</v>
      </c>
      <c r="G3984" t="s">
        <v>1167</v>
      </c>
      <c r="H3984" t="s">
        <v>1168</v>
      </c>
      <c r="I3984" t="str">
        <f>HYPERLINK("https://zfin.org/ZDB-GENE-061201-9")</f>
        <v>https://zfin.org/ZDB-GENE-061201-9</v>
      </c>
      <c r="J3984" t="s">
        <v>1169</v>
      </c>
    </row>
    <row r="3985" spans="1:10" x14ac:dyDescent="0.2">
      <c r="A3985">
        <v>6.4575906671264503E-15</v>
      </c>
      <c r="B3985">
        <v>0.33452120969747401</v>
      </c>
      <c r="C3985">
        <v>0.17100000000000001</v>
      </c>
      <c r="D3985">
        <v>6.8000000000000005E-2</v>
      </c>
      <c r="E3985">
        <v>8.9747595091723397E-11</v>
      </c>
      <c r="F3985">
        <v>11</v>
      </c>
      <c r="G3985" t="s">
        <v>5784</v>
      </c>
      <c r="H3985" t="s">
        <v>5785</v>
      </c>
      <c r="I3985" t="str">
        <f>HYPERLINK("https://zfin.org/ZDB-GENE-040718-130")</f>
        <v>https://zfin.org/ZDB-GENE-040718-130</v>
      </c>
      <c r="J3985" t="s">
        <v>5786</v>
      </c>
    </row>
    <row r="3986" spans="1:10" x14ac:dyDescent="0.2">
      <c r="A3986">
        <v>1.4228984878694898E-14</v>
      </c>
      <c r="B3986">
        <v>0.36285566129538499</v>
      </c>
      <c r="C3986">
        <v>0.52700000000000002</v>
      </c>
      <c r="D3986">
        <v>0.376</v>
      </c>
      <c r="E3986">
        <v>1.9775443184410201E-10</v>
      </c>
      <c r="F3986">
        <v>11</v>
      </c>
      <c r="G3986" t="s">
        <v>5970</v>
      </c>
      <c r="H3986" t="s">
        <v>5971</v>
      </c>
      <c r="I3986" t="str">
        <f>HYPERLINK("https://zfin.org/ZDB-GENE-040109-1")</f>
        <v>https://zfin.org/ZDB-GENE-040109-1</v>
      </c>
      <c r="J3986" t="s">
        <v>5972</v>
      </c>
    </row>
    <row r="3987" spans="1:10" x14ac:dyDescent="0.2">
      <c r="A3987">
        <v>3.1694289372221298E-14</v>
      </c>
      <c r="B3987">
        <v>0.39714227446283601</v>
      </c>
      <c r="C3987">
        <v>0.25700000000000001</v>
      </c>
      <c r="D3987">
        <v>0.129</v>
      </c>
      <c r="E3987">
        <v>4.4048723369513198E-10</v>
      </c>
      <c r="F3987">
        <v>11</v>
      </c>
      <c r="G3987" t="s">
        <v>6656</v>
      </c>
      <c r="H3987" t="s">
        <v>6657</v>
      </c>
      <c r="I3987" t="str">
        <f>HYPERLINK("https://zfin.org/ZDB-GENE-040426-1289")</f>
        <v>https://zfin.org/ZDB-GENE-040426-1289</v>
      </c>
      <c r="J3987" t="s">
        <v>6658</v>
      </c>
    </row>
    <row r="3988" spans="1:10" x14ac:dyDescent="0.2">
      <c r="A3988">
        <v>3.6248605397163201E-14</v>
      </c>
      <c r="B3988">
        <v>-0.82641894114137004</v>
      </c>
      <c r="C3988">
        <v>0.09</v>
      </c>
      <c r="D3988">
        <v>0.23400000000000001</v>
      </c>
      <c r="E3988">
        <v>5.0378311780977404E-10</v>
      </c>
      <c r="F3988">
        <v>11</v>
      </c>
      <c r="G3988" t="s">
        <v>3047</v>
      </c>
      <c r="H3988" t="s">
        <v>3048</v>
      </c>
      <c r="I3988" t="str">
        <f>HYPERLINK("https://zfin.org/ZDB-GENE-030131-688")</f>
        <v>https://zfin.org/ZDB-GENE-030131-688</v>
      </c>
      <c r="J3988" t="s">
        <v>3049</v>
      </c>
    </row>
    <row r="3989" spans="1:10" x14ac:dyDescent="0.2">
      <c r="A3989">
        <v>4.6246520782429398E-14</v>
      </c>
      <c r="B3989">
        <v>0.34552847791997598</v>
      </c>
      <c r="C3989">
        <v>0.27100000000000002</v>
      </c>
      <c r="D3989">
        <v>0.13900000000000001</v>
      </c>
      <c r="E3989">
        <v>6.4273414583420397E-10</v>
      </c>
      <c r="F3989">
        <v>11</v>
      </c>
      <c r="G3989" t="s">
        <v>6586</v>
      </c>
      <c r="H3989" t="s">
        <v>6587</v>
      </c>
      <c r="I3989" t="str">
        <f>HYPERLINK("https://zfin.org/ZDB-GENE-040704-33")</f>
        <v>https://zfin.org/ZDB-GENE-040704-33</v>
      </c>
      <c r="J3989" t="s">
        <v>6588</v>
      </c>
    </row>
    <row r="3990" spans="1:10" x14ac:dyDescent="0.2">
      <c r="A3990">
        <v>4.8279206905463598E-14</v>
      </c>
      <c r="B3990">
        <v>-0.479394741350117</v>
      </c>
      <c r="C3990">
        <v>0.245</v>
      </c>
      <c r="D3990">
        <v>0.41</v>
      </c>
      <c r="E3990">
        <v>6.7098441757213302E-10</v>
      </c>
      <c r="F3990">
        <v>11</v>
      </c>
      <c r="G3990" t="s">
        <v>2765</v>
      </c>
      <c r="H3990" t="s">
        <v>2766</v>
      </c>
      <c r="I3990" t="str">
        <f>HYPERLINK("https://zfin.org/ZDB-GENE-050320-111")</f>
        <v>https://zfin.org/ZDB-GENE-050320-111</v>
      </c>
      <c r="J3990" t="s">
        <v>2767</v>
      </c>
    </row>
    <row r="3991" spans="1:10" x14ac:dyDescent="0.2">
      <c r="A3991">
        <v>4.9715992343621301E-14</v>
      </c>
      <c r="B3991">
        <v>-0.414378366677706</v>
      </c>
      <c r="C3991">
        <v>0.124</v>
      </c>
      <c r="D3991">
        <v>0.28599999999999998</v>
      </c>
      <c r="E3991">
        <v>6.9095286159164904E-10</v>
      </c>
      <c r="F3991">
        <v>11</v>
      </c>
      <c r="G3991" t="s">
        <v>1809</v>
      </c>
      <c r="H3991" t="s">
        <v>1810</v>
      </c>
      <c r="I3991" t="str">
        <f>HYPERLINK("https://zfin.org/ZDB-GENE-050302-97")</f>
        <v>https://zfin.org/ZDB-GENE-050302-97</v>
      </c>
      <c r="J3991" t="s">
        <v>1811</v>
      </c>
    </row>
    <row r="3992" spans="1:10" x14ac:dyDescent="0.2">
      <c r="A3992">
        <v>5.0832710598198501E-14</v>
      </c>
      <c r="B3992">
        <v>-0.45596998004221401</v>
      </c>
      <c r="C3992">
        <v>0.14099999999999999</v>
      </c>
      <c r="D3992">
        <v>0.29899999999999999</v>
      </c>
      <c r="E3992">
        <v>7.0647301189376199E-10</v>
      </c>
      <c r="F3992">
        <v>11</v>
      </c>
      <c r="G3992" t="s">
        <v>2903</v>
      </c>
      <c r="H3992" t="s">
        <v>2904</v>
      </c>
      <c r="I3992" t="str">
        <f>HYPERLINK("https://zfin.org/ZDB-GENE-041210-181")</f>
        <v>https://zfin.org/ZDB-GENE-041210-181</v>
      </c>
      <c r="J3992" t="s">
        <v>2905</v>
      </c>
    </row>
    <row r="3993" spans="1:10" x14ac:dyDescent="0.2">
      <c r="A3993">
        <v>9.8611496852183595E-14</v>
      </c>
      <c r="B3993">
        <v>0.36784165761292498</v>
      </c>
      <c r="C3993">
        <v>0.49199999999999999</v>
      </c>
      <c r="D3993">
        <v>0.34599999999999997</v>
      </c>
      <c r="E3993">
        <v>1.37050258325165E-9</v>
      </c>
      <c r="F3993">
        <v>11</v>
      </c>
      <c r="G3993" t="s">
        <v>5850</v>
      </c>
      <c r="H3993" t="s">
        <v>5851</v>
      </c>
      <c r="I3993" t="str">
        <f>HYPERLINK("https://zfin.org/ZDB-GENE-030131-9670")</f>
        <v>https://zfin.org/ZDB-GENE-030131-9670</v>
      </c>
      <c r="J3993" t="s">
        <v>5852</v>
      </c>
    </row>
    <row r="3994" spans="1:10" x14ac:dyDescent="0.2">
      <c r="A3994">
        <v>1.2985332784436701E-13</v>
      </c>
      <c r="B3994">
        <v>-0.30838382103170398</v>
      </c>
      <c r="C3994">
        <v>0.745</v>
      </c>
      <c r="D3994">
        <v>0.83599999999999997</v>
      </c>
      <c r="E3994">
        <v>1.80470155038101E-9</v>
      </c>
      <c r="F3994">
        <v>11</v>
      </c>
      <c r="G3994" t="s">
        <v>2969</v>
      </c>
      <c r="H3994" t="s">
        <v>2970</v>
      </c>
      <c r="I3994" t="str">
        <f>HYPERLINK("https://zfin.org/ZDB-GENE-030410-5")</f>
        <v>https://zfin.org/ZDB-GENE-030410-5</v>
      </c>
      <c r="J3994" t="s">
        <v>2971</v>
      </c>
    </row>
    <row r="3995" spans="1:10" x14ac:dyDescent="0.2">
      <c r="A3995">
        <v>1.7914669405104599E-13</v>
      </c>
      <c r="B3995">
        <v>-0.78523636022281396</v>
      </c>
      <c r="C3995">
        <v>0.41199999999999998</v>
      </c>
      <c r="D3995">
        <v>0.53900000000000003</v>
      </c>
      <c r="E3995">
        <v>2.4897807539214398E-9</v>
      </c>
      <c r="F3995">
        <v>11</v>
      </c>
      <c r="G3995" t="s">
        <v>699</v>
      </c>
      <c r="H3995" t="s">
        <v>700</v>
      </c>
      <c r="I3995" t="str">
        <f>HYPERLINK("https://zfin.org/ZDB-GENE-030131-2830")</f>
        <v>https://zfin.org/ZDB-GENE-030131-2830</v>
      </c>
      <c r="J3995" t="s">
        <v>701</v>
      </c>
    </row>
    <row r="3996" spans="1:10" x14ac:dyDescent="0.2">
      <c r="A3996">
        <v>2.03680784056936E-13</v>
      </c>
      <c r="B3996">
        <v>0.35897475413840402</v>
      </c>
      <c r="C3996">
        <v>0.24099999999999999</v>
      </c>
      <c r="D3996">
        <v>0.121</v>
      </c>
      <c r="E3996">
        <v>2.8307555368233E-9</v>
      </c>
      <c r="F3996">
        <v>11</v>
      </c>
      <c r="G3996" t="s">
        <v>5847</v>
      </c>
      <c r="H3996" t="s">
        <v>5848</v>
      </c>
      <c r="I3996" t="str">
        <f>HYPERLINK("https://zfin.org/ZDB-GENE-040426-1333")</f>
        <v>https://zfin.org/ZDB-GENE-040426-1333</v>
      </c>
      <c r="J3996" t="s">
        <v>5849</v>
      </c>
    </row>
    <row r="3997" spans="1:10" x14ac:dyDescent="0.2">
      <c r="A3997">
        <v>2.3239568983250401E-13</v>
      </c>
      <c r="B3997">
        <v>-0.41441842956728397</v>
      </c>
      <c r="C3997">
        <v>0.25900000000000001</v>
      </c>
      <c r="D3997">
        <v>0.42799999999999999</v>
      </c>
      <c r="E3997">
        <v>3.2298352972921401E-9</v>
      </c>
      <c r="F3997">
        <v>11</v>
      </c>
      <c r="G3997" t="s">
        <v>2274</v>
      </c>
      <c r="H3997" t="s">
        <v>2275</v>
      </c>
      <c r="I3997" t="str">
        <f>HYPERLINK("https://zfin.org/ZDB-GENE-041114-138")</f>
        <v>https://zfin.org/ZDB-GENE-041114-138</v>
      </c>
      <c r="J3997" t="s">
        <v>2276</v>
      </c>
    </row>
    <row r="3998" spans="1:10" x14ac:dyDescent="0.2">
      <c r="A3998">
        <v>2.3528847424419E-13</v>
      </c>
      <c r="B3998">
        <v>-0.72473002647538898</v>
      </c>
      <c r="C3998">
        <v>2.1999999999999999E-2</v>
      </c>
      <c r="D3998">
        <v>0.13400000000000001</v>
      </c>
      <c r="E3998">
        <v>3.27003921504575E-9</v>
      </c>
      <c r="F3998">
        <v>11</v>
      </c>
      <c r="G3998" t="s">
        <v>3186</v>
      </c>
      <c r="H3998" t="s">
        <v>3187</v>
      </c>
      <c r="I3998" t="str">
        <f>HYPERLINK("https://zfin.org/ZDB-GENE-040426-2321")</f>
        <v>https://zfin.org/ZDB-GENE-040426-2321</v>
      </c>
      <c r="J3998" t="s">
        <v>3188</v>
      </c>
    </row>
    <row r="3999" spans="1:10" x14ac:dyDescent="0.2">
      <c r="A3999">
        <v>3.0968839031890399E-13</v>
      </c>
      <c r="B3999">
        <v>0.40721675870005503</v>
      </c>
      <c r="C3999">
        <v>0.32200000000000001</v>
      </c>
      <c r="D3999">
        <v>0.191</v>
      </c>
      <c r="E3999">
        <v>4.30404924865212E-9</v>
      </c>
      <c r="F3999">
        <v>11</v>
      </c>
      <c r="G3999" t="s">
        <v>3136</v>
      </c>
      <c r="H3999" t="s">
        <v>3137</v>
      </c>
      <c r="I3999" t="str">
        <f>HYPERLINK("https://zfin.org/ZDB-GENE-020416-1")</f>
        <v>https://zfin.org/ZDB-GENE-020416-1</v>
      </c>
      <c r="J3999" t="s">
        <v>3138</v>
      </c>
    </row>
    <row r="4000" spans="1:10" x14ac:dyDescent="0.2">
      <c r="A4000">
        <v>3.1839534362380399E-13</v>
      </c>
      <c r="B4000">
        <v>-0.40135935266240702</v>
      </c>
      <c r="C4000">
        <v>1.6E-2</v>
      </c>
      <c r="D4000">
        <v>0.125</v>
      </c>
      <c r="E4000">
        <v>4.4250584856836199E-9</v>
      </c>
      <c r="F4000">
        <v>11</v>
      </c>
      <c r="G4000" t="s">
        <v>366</v>
      </c>
      <c r="H4000" t="s">
        <v>367</v>
      </c>
      <c r="I4000" t="str">
        <f>HYPERLINK("https://zfin.org/ZDB-GENE-070424-166")</f>
        <v>https://zfin.org/ZDB-GENE-070424-166</v>
      </c>
      <c r="J4000" t="s">
        <v>368</v>
      </c>
    </row>
    <row r="4001" spans="1:10" x14ac:dyDescent="0.2">
      <c r="A4001">
        <v>3.7525001259504701E-13</v>
      </c>
      <c r="B4001">
        <v>0.39307533808512302</v>
      </c>
      <c r="C4001">
        <v>0.2</v>
      </c>
      <c r="D4001">
        <v>9.2999999999999999E-2</v>
      </c>
      <c r="E4001">
        <v>5.2152246750459598E-9</v>
      </c>
      <c r="F4001">
        <v>11</v>
      </c>
      <c r="G4001" t="s">
        <v>5389</v>
      </c>
      <c r="H4001" t="s">
        <v>5390</v>
      </c>
      <c r="I4001" t="str">
        <f>HYPERLINK("https://zfin.org/")</f>
        <v>https://zfin.org/</v>
      </c>
    </row>
    <row r="4002" spans="1:10" x14ac:dyDescent="0.2">
      <c r="A4002">
        <v>4.2549176671537E-13</v>
      </c>
      <c r="B4002">
        <v>0.41782839255571902</v>
      </c>
      <c r="C4002">
        <v>0.19</v>
      </c>
      <c r="D4002">
        <v>8.6999999999999994E-2</v>
      </c>
      <c r="E4002">
        <v>5.9134845738102098E-9</v>
      </c>
      <c r="F4002">
        <v>11</v>
      </c>
      <c r="G4002" t="s">
        <v>5829</v>
      </c>
      <c r="H4002" t="s">
        <v>5830</v>
      </c>
      <c r="I4002" t="str">
        <f>HYPERLINK("https://zfin.org/ZDB-GENE-020419-27")</f>
        <v>https://zfin.org/ZDB-GENE-020419-27</v>
      </c>
      <c r="J4002" t="s">
        <v>5831</v>
      </c>
    </row>
    <row r="4003" spans="1:10" x14ac:dyDescent="0.2">
      <c r="A4003">
        <v>4.6905690505313403E-13</v>
      </c>
      <c r="B4003">
        <v>0.36771866073464299</v>
      </c>
      <c r="C4003">
        <v>0.23300000000000001</v>
      </c>
      <c r="D4003">
        <v>0.11700000000000001</v>
      </c>
      <c r="E4003">
        <v>6.5189528664284598E-9</v>
      </c>
      <c r="F4003">
        <v>11</v>
      </c>
      <c r="G4003" t="s">
        <v>6828</v>
      </c>
      <c r="H4003" t="s">
        <v>6829</v>
      </c>
      <c r="I4003" t="str">
        <f>HYPERLINK("https://zfin.org/ZDB-GENE-080722-2")</f>
        <v>https://zfin.org/ZDB-GENE-080722-2</v>
      </c>
      <c r="J4003" t="s">
        <v>6830</v>
      </c>
    </row>
    <row r="4004" spans="1:10" x14ac:dyDescent="0.2">
      <c r="A4004">
        <v>5.1728799580820203E-13</v>
      </c>
      <c r="B4004">
        <v>0.31708696883052201</v>
      </c>
      <c r="C4004">
        <v>0.17799999999999999</v>
      </c>
      <c r="D4004">
        <v>7.6999999999999999E-2</v>
      </c>
      <c r="E4004">
        <v>7.1892685657423798E-9</v>
      </c>
      <c r="F4004">
        <v>11</v>
      </c>
      <c r="G4004" t="s">
        <v>2742</v>
      </c>
      <c r="H4004" t="s">
        <v>2743</v>
      </c>
      <c r="I4004" t="str">
        <f>HYPERLINK("https://zfin.org/ZDB-GENE-131127-337")</f>
        <v>https://zfin.org/ZDB-GENE-131127-337</v>
      </c>
      <c r="J4004" t="s">
        <v>2744</v>
      </c>
    </row>
    <row r="4005" spans="1:10" x14ac:dyDescent="0.2">
      <c r="A4005">
        <v>1.0898666519457901E-12</v>
      </c>
      <c r="B4005">
        <v>0.31431688694652599</v>
      </c>
      <c r="C4005">
        <v>0.71799999999999997</v>
      </c>
      <c r="D4005">
        <v>0.64300000000000002</v>
      </c>
      <c r="E4005">
        <v>1.5146966728742601E-8</v>
      </c>
      <c r="F4005">
        <v>11</v>
      </c>
      <c r="G4005" t="s">
        <v>2855</v>
      </c>
      <c r="H4005" t="s">
        <v>2856</v>
      </c>
      <c r="I4005" t="str">
        <f>HYPERLINK("https://zfin.org/ZDB-GENE-061027-176")</f>
        <v>https://zfin.org/ZDB-GENE-061027-176</v>
      </c>
      <c r="J4005" t="s">
        <v>2857</v>
      </c>
    </row>
    <row r="4006" spans="1:10" x14ac:dyDescent="0.2">
      <c r="A4006">
        <v>1.09473777117209E-12</v>
      </c>
      <c r="B4006">
        <v>0.31344343172619699</v>
      </c>
      <c r="C4006">
        <v>0.21</v>
      </c>
      <c r="D4006">
        <v>0.10199999999999999</v>
      </c>
      <c r="E4006">
        <v>1.5214665543749799E-8</v>
      </c>
      <c r="F4006">
        <v>11</v>
      </c>
      <c r="G4006" t="s">
        <v>5898</v>
      </c>
      <c r="H4006" t="s">
        <v>5899</v>
      </c>
      <c r="I4006" t="str">
        <f>HYPERLINK("https://zfin.org/ZDB-GENE-050417-142")</f>
        <v>https://zfin.org/ZDB-GENE-050417-142</v>
      </c>
      <c r="J4006" t="s">
        <v>5900</v>
      </c>
    </row>
    <row r="4007" spans="1:10" x14ac:dyDescent="0.2">
      <c r="A4007">
        <v>1.13318668054956E-12</v>
      </c>
      <c r="B4007">
        <v>0.29319748943041102</v>
      </c>
      <c r="C4007">
        <v>0.16700000000000001</v>
      </c>
      <c r="D4007">
        <v>7.0999999999999994E-2</v>
      </c>
      <c r="E4007">
        <v>1.57490284862778E-8</v>
      </c>
      <c r="F4007">
        <v>11</v>
      </c>
      <c r="G4007" t="s">
        <v>6831</v>
      </c>
      <c r="H4007" t="s">
        <v>6832</v>
      </c>
      <c r="I4007" t="str">
        <f>HYPERLINK("https://zfin.org/ZDB-GENE-040426-2741")</f>
        <v>https://zfin.org/ZDB-GENE-040426-2741</v>
      </c>
      <c r="J4007" t="s">
        <v>6833</v>
      </c>
    </row>
    <row r="4008" spans="1:10" x14ac:dyDescent="0.2">
      <c r="A4008">
        <v>1.21959744466657E-12</v>
      </c>
      <c r="B4008">
        <v>0.41485935497709803</v>
      </c>
      <c r="C4008">
        <v>0.42699999999999999</v>
      </c>
      <c r="D4008">
        <v>0.30499999999999999</v>
      </c>
      <c r="E4008">
        <v>1.6949965285976E-8</v>
      </c>
      <c r="F4008">
        <v>11</v>
      </c>
      <c r="G4008" t="s">
        <v>4961</v>
      </c>
      <c r="H4008" t="s">
        <v>4962</v>
      </c>
      <c r="I4008" t="str">
        <f>HYPERLINK("https://zfin.org/ZDB-GENE-030131-5553")</f>
        <v>https://zfin.org/ZDB-GENE-030131-5553</v>
      </c>
      <c r="J4008" t="s">
        <v>4963</v>
      </c>
    </row>
    <row r="4009" spans="1:10" x14ac:dyDescent="0.2">
      <c r="A4009">
        <v>1.6743445808219099E-12</v>
      </c>
      <c r="B4009">
        <v>-0.55598387215640399</v>
      </c>
      <c r="C4009">
        <v>0.28199999999999997</v>
      </c>
      <c r="D4009">
        <v>0.432</v>
      </c>
      <c r="E4009">
        <v>2.3270040984262799E-8</v>
      </c>
      <c r="F4009">
        <v>11</v>
      </c>
      <c r="G4009" t="s">
        <v>2556</v>
      </c>
      <c r="H4009" t="s">
        <v>2557</v>
      </c>
      <c r="I4009" t="str">
        <f>HYPERLINK("https://zfin.org/ZDB-GENE-980526-144")</f>
        <v>https://zfin.org/ZDB-GENE-980526-144</v>
      </c>
      <c r="J4009" t="s">
        <v>2558</v>
      </c>
    </row>
    <row r="4010" spans="1:10" x14ac:dyDescent="0.2">
      <c r="A4010">
        <v>1.87096403771473E-12</v>
      </c>
      <c r="B4010">
        <v>0.34207097193846098</v>
      </c>
      <c r="C4010">
        <v>0.38800000000000001</v>
      </c>
      <c r="D4010">
        <v>0.24099999999999999</v>
      </c>
      <c r="E4010">
        <v>2.6002658196159299E-8</v>
      </c>
      <c r="F4010">
        <v>11</v>
      </c>
      <c r="G4010" t="s">
        <v>3853</v>
      </c>
      <c r="H4010" t="s">
        <v>3854</v>
      </c>
      <c r="I4010" t="str">
        <f>HYPERLINK("https://zfin.org/ZDB-GENE-030131-461")</f>
        <v>https://zfin.org/ZDB-GENE-030131-461</v>
      </c>
      <c r="J4010" t="s">
        <v>3855</v>
      </c>
    </row>
    <row r="4011" spans="1:10" x14ac:dyDescent="0.2">
      <c r="A4011">
        <v>2.9372213420457701E-12</v>
      </c>
      <c r="B4011">
        <v>0.33302231012683498</v>
      </c>
      <c r="C4011">
        <v>0.59</v>
      </c>
      <c r="D4011">
        <v>0.47299999999999998</v>
      </c>
      <c r="E4011">
        <v>4.0821502211752102E-8</v>
      </c>
      <c r="F4011">
        <v>11</v>
      </c>
      <c r="G4011" t="s">
        <v>3053</v>
      </c>
      <c r="H4011" t="s">
        <v>3054</v>
      </c>
      <c r="I4011" t="str">
        <f>HYPERLINK("https://zfin.org/ZDB-GENE-040914-10")</f>
        <v>https://zfin.org/ZDB-GENE-040914-10</v>
      </c>
      <c r="J4011" t="s">
        <v>3055</v>
      </c>
    </row>
    <row r="4012" spans="1:10" x14ac:dyDescent="0.2">
      <c r="A4012">
        <v>3.1492209823102401E-12</v>
      </c>
      <c r="B4012">
        <v>-0.465124019302249</v>
      </c>
      <c r="C4012">
        <v>0.10199999999999999</v>
      </c>
      <c r="D4012">
        <v>0.23899999999999999</v>
      </c>
      <c r="E4012">
        <v>4.3767873212147701E-8</v>
      </c>
      <c r="F4012">
        <v>11</v>
      </c>
      <c r="G4012" t="s">
        <v>2918</v>
      </c>
      <c r="H4012" t="s">
        <v>2919</v>
      </c>
      <c r="I4012" t="str">
        <f>HYPERLINK("https://zfin.org/ZDB-GENE-040718-440")</f>
        <v>https://zfin.org/ZDB-GENE-040718-440</v>
      </c>
      <c r="J4012" t="s">
        <v>2920</v>
      </c>
    </row>
    <row r="4013" spans="1:10" x14ac:dyDescent="0.2">
      <c r="A4013">
        <v>3.6779795089101397E-12</v>
      </c>
      <c r="B4013">
        <v>0.46324145870294098</v>
      </c>
      <c r="C4013">
        <v>0.19</v>
      </c>
      <c r="D4013">
        <v>0.09</v>
      </c>
      <c r="E4013">
        <v>5.1116559214833101E-8</v>
      </c>
      <c r="F4013">
        <v>11</v>
      </c>
      <c r="G4013" t="s">
        <v>2912</v>
      </c>
      <c r="H4013" t="s">
        <v>2913</v>
      </c>
      <c r="I4013" t="str">
        <f>HYPERLINK("https://zfin.org/ZDB-GENE-030131-5416")</f>
        <v>https://zfin.org/ZDB-GENE-030131-5416</v>
      </c>
      <c r="J4013" t="s">
        <v>2914</v>
      </c>
    </row>
    <row r="4014" spans="1:10" x14ac:dyDescent="0.2">
      <c r="A4014">
        <v>3.9576979122451601E-12</v>
      </c>
      <c r="B4014">
        <v>-0.469729875946584</v>
      </c>
      <c r="C4014">
        <v>0.26500000000000001</v>
      </c>
      <c r="D4014">
        <v>0.42099999999999999</v>
      </c>
      <c r="E4014">
        <v>5.5004085584383301E-8</v>
      </c>
      <c r="F4014">
        <v>11</v>
      </c>
      <c r="G4014" t="s">
        <v>6695</v>
      </c>
      <c r="H4014" t="s">
        <v>6696</v>
      </c>
      <c r="I4014" t="str">
        <f>HYPERLINK("https://zfin.org/ZDB-GENE-000616-13")</f>
        <v>https://zfin.org/ZDB-GENE-000616-13</v>
      </c>
      <c r="J4014" t="s">
        <v>6697</v>
      </c>
    </row>
    <row r="4015" spans="1:10" x14ac:dyDescent="0.2">
      <c r="A4015">
        <v>6.1086379375880896E-12</v>
      </c>
      <c r="B4015">
        <v>-0.45081586885980801</v>
      </c>
      <c r="C4015">
        <v>0.14099999999999999</v>
      </c>
      <c r="D4015">
        <v>0.28299999999999997</v>
      </c>
      <c r="E4015">
        <v>8.4897850056599306E-8</v>
      </c>
      <c r="F4015">
        <v>11</v>
      </c>
      <c r="G4015" t="s">
        <v>3348</v>
      </c>
      <c r="H4015" t="s">
        <v>3349</v>
      </c>
      <c r="I4015" t="str">
        <f>HYPERLINK("https://zfin.org/ZDB-GENE-120215-253")</f>
        <v>https://zfin.org/ZDB-GENE-120215-253</v>
      </c>
      <c r="J4015" t="s">
        <v>3350</v>
      </c>
    </row>
    <row r="4016" spans="1:10" x14ac:dyDescent="0.2">
      <c r="A4016">
        <v>6.6111799897605902E-12</v>
      </c>
      <c r="B4016">
        <v>0.37078513435383897</v>
      </c>
      <c r="C4016">
        <v>0.69</v>
      </c>
      <c r="D4016">
        <v>0.59899999999999998</v>
      </c>
      <c r="E4016">
        <v>9.18821794976927E-8</v>
      </c>
      <c r="F4016">
        <v>11</v>
      </c>
      <c r="G4016" t="s">
        <v>2873</v>
      </c>
      <c r="H4016" t="s">
        <v>2874</v>
      </c>
      <c r="I4016" t="str">
        <f>HYPERLINK("https://zfin.org/ZDB-GENE-050506-24")</f>
        <v>https://zfin.org/ZDB-GENE-050506-24</v>
      </c>
      <c r="J4016" t="s">
        <v>2875</v>
      </c>
    </row>
    <row r="4017" spans="1:10" x14ac:dyDescent="0.2">
      <c r="A4017">
        <v>7.0680222614822703E-12</v>
      </c>
      <c r="B4017">
        <v>-0.66831513722551905</v>
      </c>
      <c r="C4017">
        <v>6.0999999999999999E-2</v>
      </c>
      <c r="D4017">
        <v>0.18</v>
      </c>
      <c r="E4017">
        <v>9.8231373390080594E-8</v>
      </c>
      <c r="F4017">
        <v>11</v>
      </c>
      <c r="G4017" t="s">
        <v>2637</v>
      </c>
      <c r="H4017" t="s">
        <v>2638</v>
      </c>
      <c r="I4017" t="str">
        <f>HYPERLINK("https://zfin.org/ZDB-GENE-070502-5")</f>
        <v>https://zfin.org/ZDB-GENE-070502-5</v>
      </c>
      <c r="J4017" t="s">
        <v>2639</v>
      </c>
    </row>
    <row r="4018" spans="1:10" x14ac:dyDescent="0.2">
      <c r="A4018">
        <v>7.0778105801774802E-12</v>
      </c>
      <c r="B4018">
        <v>0.26162860173705299</v>
      </c>
      <c r="C4018">
        <v>0.11600000000000001</v>
      </c>
      <c r="D4018">
        <v>4.1000000000000002E-2</v>
      </c>
      <c r="E4018">
        <v>9.8367411443306596E-8</v>
      </c>
      <c r="F4018">
        <v>11</v>
      </c>
      <c r="G4018" t="s">
        <v>5471</v>
      </c>
      <c r="H4018" t="s">
        <v>5472</v>
      </c>
      <c r="I4018" t="str">
        <f>HYPERLINK("https://zfin.org/ZDB-GENE-040426-59")</f>
        <v>https://zfin.org/ZDB-GENE-040426-59</v>
      </c>
      <c r="J4018" t="s">
        <v>5473</v>
      </c>
    </row>
    <row r="4019" spans="1:10" x14ac:dyDescent="0.2">
      <c r="A4019">
        <v>8.6634598044526803E-12</v>
      </c>
      <c r="B4019">
        <v>-0.423227866902112</v>
      </c>
      <c r="C4019">
        <v>3.1E-2</v>
      </c>
      <c r="D4019">
        <v>0.13900000000000001</v>
      </c>
      <c r="E4019">
        <v>1.20404764362283E-7</v>
      </c>
      <c r="F4019">
        <v>11</v>
      </c>
      <c r="G4019" t="s">
        <v>3474</v>
      </c>
      <c r="H4019" t="s">
        <v>3475</v>
      </c>
      <c r="I4019" t="str">
        <f>HYPERLINK("https://zfin.org/ZDB-GENE-030131-5783")</f>
        <v>https://zfin.org/ZDB-GENE-030131-5783</v>
      </c>
      <c r="J4019" t="s">
        <v>3476</v>
      </c>
    </row>
    <row r="4020" spans="1:10" x14ac:dyDescent="0.2">
      <c r="A4020">
        <v>9.55786515155216E-12</v>
      </c>
      <c r="B4020">
        <v>-0.60346310416639604</v>
      </c>
      <c r="C4020">
        <v>3.3000000000000002E-2</v>
      </c>
      <c r="D4020">
        <v>0.14000000000000001</v>
      </c>
      <c r="E4020">
        <v>1.32835209876272E-7</v>
      </c>
      <c r="F4020">
        <v>11</v>
      </c>
      <c r="G4020" t="s">
        <v>3210</v>
      </c>
      <c r="H4020" t="s">
        <v>3211</v>
      </c>
      <c r="I4020" t="str">
        <f>HYPERLINK("https://zfin.org/ZDB-GENE-050417-363")</f>
        <v>https://zfin.org/ZDB-GENE-050417-363</v>
      </c>
      <c r="J4020" t="s">
        <v>3212</v>
      </c>
    </row>
    <row r="4021" spans="1:10" x14ac:dyDescent="0.2">
      <c r="A4021">
        <v>1.0893626654771E-11</v>
      </c>
      <c r="B4021">
        <v>0.30416578747836698</v>
      </c>
      <c r="C4021">
        <v>0.19400000000000001</v>
      </c>
      <c r="D4021">
        <v>9.4E-2</v>
      </c>
      <c r="E4021">
        <v>1.5139962324800701E-7</v>
      </c>
      <c r="F4021">
        <v>11</v>
      </c>
      <c r="G4021" t="s">
        <v>5967</v>
      </c>
      <c r="H4021" t="s">
        <v>5968</v>
      </c>
      <c r="I4021" t="str">
        <f>HYPERLINK("https://zfin.org/ZDB-GENE-050522-256")</f>
        <v>https://zfin.org/ZDB-GENE-050522-256</v>
      </c>
      <c r="J4021" t="s">
        <v>5969</v>
      </c>
    </row>
    <row r="4022" spans="1:10" x14ac:dyDescent="0.2">
      <c r="A4022">
        <v>1.16691827996145E-11</v>
      </c>
      <c r="B4022">
        <v>-0.54280462761640702</v>
      </c>
      <c r="C4022">
        <v>0.151</v>
      </c>
      <c r="D4022">
        <v>0.28899999999999998</v>
      </c>
      <c r="E4022">
        <v>1.6217830254904299E-7</v>
      </c>
      <c r="F4022">
        <v>11</v>
      </c>
      <c r="G4022" t="s">
        <v>2763</v>
      </c>
      <c r="H4022" t="s">
        <v>2764</v>
      </c>
      <c r="I4022" t="str">
        <f>HYPERLINK("https://zfin.org/")</f>
        <v>https://zfin.org/</v>
      </c>
    </row>
    <row r="4023" spans="1:10" x14ac:dyDescent="0.2">
      <c r="A4023">
        <v>1.2481953430138801E-11</v>
      </c>
      <c r="B4023">
        <v>-0.452912891557256</v>
      </c>
      <c r="C4023">
        <v>9.8000000000000004E-2</v>
      </c>
      <c r="D4023">
        <v>0.22900000000000001</v>
      </c>
      <c r="E4023">
        <v>1.73474188772069E-7</v>
      </c>
      <c r="F4023">
        <v>11</v>
      </c>
      <c r="G4023" t="s">
        <v>6580</v>
      </c>
      <c r="H4023" t="s">
        <v>6581</v>
      </c>
      <c r="I4023" t="str">
        <f>HYPERLINK("https://zfin.org/ZDB-GENE-040801-58")</f>
        <v>https://zfin.org/ZDB-GENE-040801-58</v>
      </c>
      <c r="J4023" t="s">
        <v>6582</v>
      </c>
    </row>
    <row r="4024" spans="1:10" x14ac:dyDescent="0.2">
      <c r="A4024">
        <v>1.76359996300503E-11</v>
      </c>
      <c r="B4024">
        <v>-0.37144909628363298</v>
      </c>
      <c r="C4024">
        <v>1.6E-2</v>
      </c>
      <c r="D4024">
        <v>0.111</v>
      </c>
      <c r="E4024">
        <v>2.4510512285843898E-7</v>
      </c>
      <c r="F4024">
        <v>11</v>
      </c>
      <c r="G4024" t="s">
        <v>3264</v>
      </c>
      <c r="H4024" t="s">
        <v>3265</v>
      </c>
      <c r="I4024" t="str">
        <f>HYPERLINK("https://zfin.org/ZDB-GENE-110718-2")</f>
        <v>https://zfin.org/ZDB-GENE-110718-2</v>
      </c>
      <c r="J4024" t="s">
        <v>3266</v>
      </c>
    </row>
    <row r="4025" spans="1:10" x14ac:dyDescent="0.2">
      <c r="A4025">
        <v>1.8910277963009001E-11</v>
      </c>
      <c r="B4025">
        <v>0.30790895615790997</v>
      </c>
      <c r="C4025">
        <v>0.26500000000000001</v>
      </c>
      <c r="D4025">
        <v>0.14799999999999999</v>
      </c>
      <c r="E4025">
        <v>2.62815043129899E-7</v>
      </c>
      <c r="F4025">
        <v>11</v>
      </c>
      <c r="G4025" t="s">
        <v>5982</v>
      </c>
      <c r="H4025" t="s">
        <v>5983</v>
      </c>
      <c r="I4025" t="str">
        <f>HYPERLINK("https://zfin.org/ZDB-GENE-060518-1")</f>
        <v>https://zfin.org/ZDB-GENE-060518-1</v>
      </c>
      <c r="J4025" t="s">
        <v>5984</v>
      </c>
    </row>
    <row r="4026" spans="1:10" x14ac:dyDescent="0.2">
      <c r="A4026">
        <v>2.02539493103925E-11</v>
      </c>
      <c r="B4026">
        <v>-0.63223050792369095</v>
      </c>
      <c r="C4026">
        <v>4.2999999999999997E-2</v>
      </c>
      <c r="D4026">
        <v>0.152</v>
      </c>
      <c r="E4026">
        <v>2.8148938751583498E-7</v>
      </c>
      <c r="F4026">
        <v>11</v>
      </c>
      <c r="G4026" t="s">
        <v>3222</v>
      </c>
      <c r="H4026" t="s">
        <v>3223</v>
      </c>
      <c r="I4026" t="str">
        <f>HYPERLINK("https://zfin.org/ZDB-GENE-000627-1")</f>
        <v>https://zfin.org/ZDB-GENE-000627-1</v>
      </c>
      <c r="J4026" t="s">
        <v>3224</v>
      </c>
    </row>
    <row r="4027" spans="1:10" x14ac:dyDescent="0.2">
      <c r="A4027">
        <v>2.0915688102606E-11</v>
      </c>
      <c r="B4027">
        <v>-0.60437386147606598</v>
      </c>
      <c r="C4027">
        <v>0.30199999999999999</v>
      </c>
      <c r="D4027">
        <v>0.43099999999999999</v>
      </c>
      <c r="E4027">
        <v>2.9068623325001899E-7</v>
      </c>
      <c r="F4027">
        <v>11</v>
      </c>
      <c r="G4027" t="s">
        <v>2697</v>
      </c>
      <c r="H4027" t="s">
        <v>2698</v>
      </c>
      <c r="I4027" t="str">
        <f>HYPERLINK("https://zfin.org/ZDB-GENE-141215-49")</f>
        <v>https://zfin.org/ZDB-GENE-141215-49</v>
      </c>
      <c r="J4027" t="s">
        <v>2699</v>
      </c>
    </row>
    <row r="4028" spans="1:10" x14ac:dyDescent="0.2">
      <c r="A4028">
        <v>2.2148729834343401E-11</v>
      </c>
      <c r="B4028">
        <v>-0.40505717001069302</v>
      </c>
      <c r="C4028">
        <v>2.9000000000000001E-2</v>
      </c>
      <c r="D4028">
        <v>0.13200000000000001</v>
      </c>
      <c r="E4028">
        <v>3.0782304723770497E-7</v>
      </c>
      <c r="F4028">
        <v>11</v>
      </c>
      <c r="G4028" t="s">
        <v>3118</v>
      </c>
      <c r="H4028" t="s">
        <v>3119</v>
      </c>
      <c r="I4028" t="str">
        <f>HYPERLINK("https://zfin.org/ZDB-GENE-100921-8")</f>
        <v>https://zfin.org/ZDB-GENE-100921-8</v>
      </c>
      <c r="J4028" t="s">
        <v>3120</v>
      </c>
    </row>
    <row r="4029" spans="1:10" x14ac:dyDescent="0.2">
      <c r="A4029">
        <v>2.6184939603850799E-11</v>
      </c>
      <c r="B4029">
        <v>-0.88033900060778403</v>
      </c>
      <c r="C4029">
        <v>0.7</v>
      </c>
      <c r="D4029">
        <v>0.77700000000000002</v>
      </c>
      <c r="E4029">
        <v>3.6391829061431799E-7</v>
      </c>
      <c r="F4029">
        <v>11</v>
      </c>
      <c r="G4029" t="s">
        <v>749</v>
      </c>
      <c r="H4029" t="s">
        <v>750</v>
      </c>
      <c r="I4029" t="str">
        <f>HYPERLINK("https://zfin.org/ZDB-GENE-050522-428")</f>
        <v>https://zfin.org/ZDB-GENE-050522-428</v>
      </c>
      <c r="J4029" t="s">
        <v>751</v>
      </c>
    </row>
    <row r="4030" spans="1:10" x14ac:dyDescent="0.2">
      <c r="A4030">
        <v>2.7068732161838001E-11</v>
      </c>
      <c r="B4030">
        <v>-0.46305079519803599</v>
      </c>
      <c r="C4030">
        <v>6.5000000000000002E-2</v>
      </c>
      <c r="D4030">
        <v>0.18</v>
      </c>
      <c r="E4030">
        <v>3.76201239585225E-7</v>
      </c>
      <c r="F4030">
        <v>11</v>
      </c>
      <c r="G4030" t="s">
        <v>6589</v>
      </c>
      <c r="H4030" t="s">
        <v>6590</v>
      </c>
      <c r="I4030" t="str">
        <f>HYPERLINK("https://zfin.org/ZDB-GENE-100922-65")</f>
        <v>https://zfin.org/ZDB-GENE-100922-65</v>
      </c>
      <c r="J4030" t="s">
        <v>6591</v>
      </c>
    </row>
    <row r="4031" spans="1:10" x14ac:dyDescent="0.2">
      <c r="A4031">
        <v>2.7665845672319201E-11</v>
      </c>
      <c r="B4031">
        <v>0.263864943506322</v>
      </c>
      <c r="C4031">
        <v>0.125</v>
      </c>
      <c r="D4031">
        <v>4.9000000000000002E-2</v>
      </c>
      <c r="E4031">
        <v>3.8449992315389198E-7</v>
      </c>
      <c r="F4031">
        <v>11</v>
      </c>
      <c r="G4031" t="s">
        <v>5542</v>
      </c>
      <c r="H4031" t="s">
        <v>5543</v>
      </c>
      <c r="I4031" t="str">
        <f>HYPERLINK("https://zfin.org/ZDB-GENE-010406-5")</f>
        <v>https://zfin.org/ZDB-GENE-010406-5</v>
      </c>
      <c r="J4031" t="s">
        <v>5544</v>
      </c>
    </row>
    <row r="4032" spans="1:10" x14ac:dyDescent="0.2">
      <c r="A4032">
        <v>2.8614895908661199E-11</v>
      </c>
      <c r="B4032">
        <v>0.25515054806776799</v>
      </c>
      <c r="C4032">
        <v>0.59</v>
      </c>
      <c r="D4032">
        <v>0.436</v>
      </c>
      <c r="E4032">
        <v>3.9768982333857299E-7</v>
      </c>
      <c r="F4032">
        <v>11</v>
      </c>
      <c r="G4032" t="s">
        <v>2607</v>
      </c>
      <c r="H4032" t="s">
        <v>2608</v>
      </c>
      <c r="I4032" t="str">
        <f>HYPERLINK("https://zfin.org/ZDB-GENE-030911-2")</f>
        <v>https://zfin.org/ZDB-GENE-030911-2</v>
      </c>
      <c r="J4032" t="s">
        <v>2609</v>
      </c>
    </row>
    <row r="4033" spans="1:10" x14ac:dyDescent="0.2">
      <c r="A4033">
        <v>3.0620944254675497E-11</v>
      </c>
      <c r="B4033">
        <v>-0.418775372646987</v>
      </c>
      <c r="C4033">
        <v>0.13300000000000001</v>
      </c>
      <c r="D4033">
        <v>0.27100000000000002</v>
      </c>
      <c r="E4033">
        <v>4.2556988325148002E-7</v>
      </c>
      <c r="F4033">
        <v>11</v>
      </c>
      <c r="G4033" t="s">
        <v>6627</v>
      </c>
      <c r="H4033" t="s">
        <v>6628</v>
      </c>
      <c r="I4033" t="str">
        <f>HYPERLINK("https://zfin.org/ZDB-GENE-040426-1064")</f>
        <v>https://zfin.org/ZDB-GENE-040426-1064</v>
      </c>
      <c r="J4033" t="s">
        <v>6629</v>
      </c>
    </row>
    <row r="4034" spans="1:10" x14ac:dyDescent="0.2">
      <c r="A4034">
        <v>3.2569868727668799E-11</v>
      </c>
      <c r="B4034">
        <v>0.353772027147089</v>
      </c>
      <c r="C4034">
        <v>0.29799999999999999</v>
      </c>
      <c r="D4034">
        <v>0.18</v>
      </c>
      <c r="E4034">
        <v>4.5265603557713998E-7</v>
      </c>
      <c r="F4034">
        <v>11</v>
      </c>
      <c r="G4034" t="s">
        <v>6227</v>
      </c>
      <c r="H4034" t="s">
        <v>6228</v>
      </c>
      <c r="I4034" t="str">
        <f>HYPERLINK("https://zfin.org/ZDB-GENE-030131-970")</f>
        <v>https://zfin.org/ZDB-GENE-030131-970</v>
      </c>
      <c r="J4034" t="s">
        <v>6229</v>
      </c>
    </row>
    <row r="4035" spans="1:10" x14ac:dyDescent="0.2">
      <c r="A4035">
        <v>3.3976262657802602E-11</v>
      </c>
      <c r="B4035">
        <v>-0.76638082979512001</v>
      </c>
      <c r="C4035">
        <v>6.0999999999999999E-2</v>
      </c>
      <c r="D4035">
        <v>0.17399999999999999</v>
      </c>
      <c r="E4035">
        <v>4.7220209841813998E-7</v>
      </c>
      <c r="F4035">
        <v>11</v>
      </c>
      <c r="G4035" t="s">
        <v>354</v>
      </c>
      <c r="H4035" t="s">
        <v>355</v>
      </c>
      <c r="I4035" t="str">
        <f>HYPERLINK("https://zfin.org/ZDB-GENE-051127-7")</f>
        <v>https://zfin.org/ZDB-GENE-051127-7</v>
      </c>
      <c r="J4035" t="s">
        <v>356</v>
      </c>
    </row>
    <row r="4036" spans="1:10" x14ac:dyDescent="0.2">
      <c r="A4036">
        <v>3.8177664791585499E-11</v>
      </c>
      <c r="B4036">
        <v>0.28119041933820599</v>
      </c>
      <c r="C4036">
        <v>0.71599999999999997</v>
      </c>
      <c r="D4036">
        <v>0.623</v>
      </c>
      <c r="E4036">
        <v>5.3059318527345495E-7</v>
      </c>
      <c r="F4036">
        <v>11</v>
      </c>
      <c r="G4036" t="s">
        <v>3276</v>
      </c>
      <c r="H4036" t="s">
        <v>3277</v>
      </c>
      <c r="I4036" t="str">
        <f>HYPERLINK("https://zfin.org/ZDB-GENE-990415-88")</f>
        <v>https://zfin.org/ZDB-GENE-990415-88</v>
      </c>
      <c r="J4036" t="s">
        <v>3278</v>
      </c>
    </row>
    <row r="4037" spans="1:10" x14ac:dyDescent="0.2">
      <c r="A4037">
        <v>4.8380854094217998E-11</v>
      </c>
      <c r="B4037">
        <v>-0.31113063927096002</v>
      </c>
      <c r="C4037">
        <v>0.33300000000000002</v>
      </c>
      <c r="D4037">
        <v>0.501</v>
      </c>
      <c r="E4037">
        <v>6.7239711020144202E-7</v>
      </c>
      <c r="F4037">
        <v>11</v>
      </c>
      <c r="G4037" t="s">
        <v>4824</v>
      </c>
      <c r="H4037" t="s">
        <v>4825</v>
      </c>
      <c r="I4037" t="str">
        <f>HYPERLINK("https://zfin.org/ZDB-GENE-050327-93")</f>
        <v>https://zfin.org/ZDB-GENE-050327-93</v>
      </c>
      <c r="J4037" t="s">
        <v>4826</v>
      </c>
    </row>
    <row r="4038" spans="1:10" x14ac:dyDescent="0.2">
      <c r="A4038">
        <v>4.9369888627252099E-11</v>
      </c>
      <c r="B4038">
        <v>-0.89187184362298499</v>
      </c>
      <c r="C4038">
        <v>7.8E-2</v>
      </c>
      <c r="D4038">
        <v>0.193</v>
      </c>
      <c r="E4038">
        <v>6.8614271214154897E-7</v>
      </c>
      <c r="F4038">
        <v>11</v>
      </c>
      <c r="G4038" t="s">
        <v>438</v>
      </c>
      <c r="H4038" t="s">
        <v>439</v>
      </c>
      <c r="I4038" t="str">
        <f>HYPERLINK("https://zfin.org/ZDB-GENE-040628-1")</f>
        <v>https://zfin.org/ZDB-GENE-040628-1</v>
      </c>
      <c r="J4038" t="s">
        <v>440</v>
      </c>
    </row>
    <row r="4039" spans="1:10" x14ac:dyDescent="0.2">
      <c r="A4039">
        <v>5.5963371805593002E-11</v>
      </c>
      <c r="B4039">
        <v>-0.53099756375029805</v>
      </c>
      <c r="C4039">
        <v>0.34499999999999997</v>
      </c>
      <c r="D4039">
        <v>0.48599999999999999</v>
      </c>
      <c r="E4039">
        <v>7.7777894135413097E-7</v>
      </c>
      <c r="F4039">
        <v>11</v>
      </c>
      <c r="G4039" t="s">
        <v>6361</v>
      </c>
      <c r="H4039" t="s">
        <v>6362</v>
      </c>
      <c r="I4039" t="str">
        <f>HYPERLINK("https://zfin.org/ZDB-GENE-030131-7859")</f>
        <v>https://zfin.org/ZDB-GENE-030131-7859</v>
      </c>
      <c r="J4039" t="s">
        <v>6363</v>
      </c>
    </row>
    <row r="4040" spans="1:10" x14ac:dyDescent="0.2">
      <c r="A4040">
        <v>6.8609625023158995E-11</v>
      </c>
      <c r="B4040">
        <v>0.27105997386205499</v>
      </c>
      <c r="C4040">
        <v>0.79400000000000004</v>
      </c>
      <c r="D4040">
        <v>0.73599999999999999</v>
      </c>
      <c r="E4040">
        <v>9.5353656857186396E-7</v>
      </c>
      <c r="F4040">
        <v>11</v>
      </c>
      <c r="G4040" t="s">
        <v>4893</v>
      </c>
      <c r="H4040" t="s">
        <v>4894</v>
      </c>
      <c r="I4040" t="str">
        <f>HYPERLINK("https://zfin.org/ZDB-GENE-061215-23")</f>
        <v>https://zfin.org/ZDB-GENE-061215-23</v>
      </c>
      <c r="J4040" t="s">
        <v>4895</v>
      </c>
    </row>
    <row r="4041" spans="1:10" x14ac:dyDescent="0.2">
      <c r="A4041">
        <v>7.4138735386693096E-11</v>
      </c>
      <c r="B4041">
        <v>-0.397566541306559</v>
      </c>
      <c r="C4041">
        <v>0.755</v>
      </c>
      <c r="D4041">
        <v>0.85699999999999998</v>
      </c>
      <c r="E4041">
        <v>1.0303801444042599E-6</v>
      </c>
      <c r="F4041">
        <v>11</v>
      </c>
      <c r="G4041" t="s">
        <v>1857</v>
      </c>
      <c r="H4041" t="s">
        <v>1858</v>
      </c>
      <c r="I4041" t="str">
        <f>HYPERLINK("https://zfin.org/ZDB-GENE-030131-8599")</f>
        <v>https://zfin.org/ZDB-GENE-030131-8599</v>
      </c>
      <c r="J4041" t="s">
        <v>1859</v>
      </c>
    </row>
    <row r="4042" spans="1:10" x14ac:dyDescent="0.2">
      <c r="A4042">
        <v>8.3774033803065396E-11</v>
      </c>
      <c r="B4042">
        <v>-0.45467303018987099</v>
      </c>
      <c r="C4042">
        <v>0.17299999999999999</v>
      </c>
      <c r="D4042">
        <v>0.309</v>
      </c>
      <c r="E4042">
        <v>1.164291521795E-6</v>
      </c>
      <c r="F4042">
        <v>11</v>
      </c>
      <c r="G4042" t="s">
        <v>2751</v>
      </c>
      <c r="H4042" t="s">
        <v>2752</v>
      </c>
      <c r="I4042" t="str">
        <f>HYPERLINK("https://zfin.org/ZDB-GENE-980605-16")</f>
        <v>https://zfin.org/ZDB-GENE-980605-16</v>
      </c>
      <c r="J4042" t="s">
        <v>2753</v>
      </c>
    </row>
    <row r="4043" spans="1:10" x14ac:dyDescent="0.2">
      <c r="A4043">
        <v>9.2653356615365698E-11</v>
      </c>
      <c r="B4043">
        <v>0.34762978192376898</v>
      </c>
      <c r="C4043">
        <v>0.51600000000000001</v>
      </c>
      <c r="D4043">
        <v>0.39500000000000002</v>
      </c>
      <c r="E4043">
        <v>1.2876963502403499E-6</v>
      </c>
      <c r="F4043">
        <v>11</v>
      </c>
      <c r="G4043" t="s">
        <v>6024</v>
      </c>
      <c r="H4043" t="s">
        <v>6025</v>
      </c>
      <c r="I4043" t="str">
        <f>HYPERLINK("https://zfin.org/ZDB-GENE-030131-6986")</f>
        <v>https://zfin.org/ZDB-GENE-030131-6986</v>
      </c>
      <c r="J4043" t="s">
        <v>6026</v>
      </c>
    </row>
    <row r="4044" spans="1:10" x14ac:dyDescent="0.2">
      <c r="A4044">
        <v>1.29056486744946E-10</v>
      </c>
      <c r="B4044">
        <v>0.39736886991361597</v>
      </c>
      <c r="C4044">
        <v>0.82399999999999995</v>
      </c>
      <c r="D4044">
        <v>0.79</v>
      </c>
      <c r="E4044">
        <v>1.7936270527812599E-6</v>
      </c>
      <c r="F4044">
        <v>11</v>
      </c>
      <c r="G4044" t="s">
        <v>2161</v>
      </c>
      <c r="H4044" t="s">
        <v>2162</v>
      </c>
      <c r="I4044" t="str">
        <f>HYPERLINK("https://zfin.org/ZDB-GENE-141216-84")</f>
        <v>https://zfin.org/ZDB-GENE-141216-84</v>
      </c>
      <c r="J4044" t="s">
        <v>2163</v>
      </c>
    </row>
    <row r="4045" spans="1:10" x14ac:dyDescent="0.2">
      <c r="A4045">
        <v>1.5510643888221999E-10</v>
      </c>
      <c r="B4045">
        <v>-0.26051346486600302</v>
      </c>
      <c r="C4045">
        <v>0.63500000000000001</v>
      </c>
      <c r="D4045">
        <v>0.73599999999999999</v>
      </c>
      <c r="E4045">
        <v>2.1556692875850902E-6</v>
      </c>
      <c r="F4045">
        <v>11</v>
      </c>
      <c r="G4045" t="s">
        <v>6834</v>
      </c>
      <c r="H4045" t="s">
        <v>6835</v>
      </c>
      <c r="I4045" t="str">
        <f>HYPERLINK("https://zfin.org/ZDB-GENE-040426-2308")</f>
        <v>https://zfin.org/ZDB-GENE-040426-2308</v>
      </c>
      <c r="J4045" t="s">
        <v>6836</v>
      </c>
    </row>
    <row r="4046" spans="1:10" x14ac:dyDescent="0.2">
      <c r="A4046">
        <v>1.7847308973742699E-10</v>
      </c>
      <c r="B4046">
        <v>-0.305042666103505</v>
      </c>
      <c r="C4046">
        <v>0.29599999999999999</v>
      </c>
      <c r="D4046">
        <v>0.45</v>
      </c>
      <c r="E4046">
        <v>2.4804190011707599E-6</v>
      </c>
      <c r="F4046">
        <v>11</v>
      </c>
      <c r="G4046" t="s">
        <v>6837</v>
      </c>
      <c r="H4046" t="s">
        <v>6838</v>
      </c>
      <c r="I4046" t="str">
        <f>HYPERLINK("https://zfin.org/ZDB-GENE-040426-2232")</f>
        <v>https://zfin.org/ZDB-GENE-040426-2232</v>
      </c>
      <c r="J4046" t="s">
        <v>6839</v>
      </c>
    </row>
    <row r="4047" spans="1:10" x14ac:dyDescent="0.2">
      <c r="A4047">
        <v>1.8438742430140601E-10</v>
      </c>
      <c r="B4047">
        <v>0.25616731828705203</v>
      </c>
      <c r="C4047">
        <v>0.66900000000000004</v>
      </c>
      <c r="D4047">
        <v>0.55700000000000005</v>
      </c>
      <c r="E4047">
        <v>2.56261642294094E-6</v>
      </c>
      <c r="F4047">
        <v>11</v>
      </c>
      <c r="G4047" t="s">
        <v>2813</v>
      </c>
      <c r="H4047" t="s">
        <v>2814</v>
      </c>
      <c r="I4047" t="str">
        <f>HYPERLINK("https://zfin.org/ZDB-GENE-040426-1112")</f>
        <v>https://zfin.org/ZDB-GENE-040426-1112</v>
      </c>
      <c r="J4047" t="s">
        <v>2815</v>
      </c>
    </row>
    <row r="4048" spans="1:10" x14ac:dyDescent="0.2">
      <c r="A4048">
        <v>1.92013026960269E-10</v>
      </c>
      <c r="B4048">
        <v>-0.43790415190132898</v>
      </c>
      <c r="C4048">
        <v>0.127</v>
      </c>
      <c r="D4048">
        <v>0.255</v>
      </c>
      <c r="E4048">
        <v>2.6685970486938098E-6</v>
      </c>
      <c r="F4048">
        <v>11</v>
      </c>
      <c r="G4048" t="s">
        <v>2879</v>
      </c>
      <c r="H4048" t="s">
        <v>2880</v>
      </c>
      <c r="I4048" t="str">
        <f>HYPERLINK("https://zfin.org/ZDB-GENE-011213-1")</f>
        <v>https://zfin.org/ZDB-GENE-011213-1</v>
      </c>
      <c r="J4048" t="s">
        <v>2881</v>
      </c>
    </row>
    <row r="4049" spans="1:10" x14ac:dyDescent="0.2">
      <c r="A4049">
        <v>2.0938242907452099E-10</v>
      </c>
      <c r="B4049">
        <v>-0.26939934074910699</v>
      </c>
      <c r="C4049">
        <v>0.75900000000000001</v>
      </c>
      <c r="D4049">
        <v>0.81299999999999994</v>
      </c>
      <c r="E4049">
        <v>2.9099969992777001E-6</v>
      </c>
      <c r="F4049">
        <v>11</v>
      </c>
      <c r="G4049" t="s">
        <v>1373</v>
      </c>
      <c r="H4049" t="s">
        <v>1374</v>
      </c>
      <c r="I4049" t="str">
        <f>HYPERLINK("https://zfin.org/ZDB-GENE-010726-1")</f>
        <v>https://zfin.org/ZDB-GENE-010726-1</v>
      </c>
      <c r="J4049" t="s">
        <v>1375</v>
      </c>
    </row>
    <row r="4050" spans="1:10" x14ac:dyDescent="0.2">
      <c r="A4050">
        <v>2.3737608151099699E-10</v>
      </c>
      <c r="B4050">
        <v>-0.45951756361505403</v>
      </c>
      <c r="C4050">
        <v>0.36699999999999999</v>
      </c>
      <c r="D4050">
        <v>0.495</v>
      </c>
      <c r="E4050">
        <v>3.2990527808398401E-6</v>
      </c>
      <c r="F4050">
        <v>11</v>
      </c>
      <c r="G4050" t="s">
        <v>4494</v>
      </c>
      <c r="H4050" t="s">
        <v>4495</v>
      </c>
      <c r="I4050" t="str">
        <f>HYPERLINK("https://zfin.org/ZDB-GENE-020910-1")</f>
        <v>https://zfin.org/ZDB-GENE-020910-1</v>
      </c>
      <c r="J4050" t="s">
        <v>4496</v>
      </c>
    </row>
    <row r="4051" spans="1:10" x14ac:dyDescent="0.2">
      <c r="A4051">
        <v>3.2611751307788501E-10</v>
      </c>
      <c r="B4051">
        <v>0.26640144429080198</v>
      </c>
      <c r="C4051">
        <v>0.65700000000000003</v>
      </c>
      <c r="D4051">
        <v>0.55000000000000004</v>
      </c>
      <c r="E4051">
        <v>4.5323811967564504E-6</v>
      </c>
      <c r="F4051">
        <v>11</v>
      </c>
      <c r="G4051" t="s">
        <v>2816</v>
      </c>
      <c r="H4051" t="s">
        <v>2817</v>
      </c>
      <c r="I4051" t="str">
        <f>HYPERLINK("https://zfin.org/ZDB-GENE-060804-3")</f>
        <v>https://zfin.org/ZDB-GENE-060804-3</v>
      </c>
      <c r="J4051" t="s">
        <v>2818</v>
      </c>
    </row>
    <row r="4052" spans="1:10" x14ac:dyDescent="0.2">
      <c r="A4052">
        <v>3.4663936021938598E-10</v>
      </c>
      <c r="B4052">
        <v>0.29399278145016</v>
      </c>
      <c r="C4052">
        <v>0.14499999999999999</v>
      </c>
      <c r="D4052">
        <v>6.5000000000000002E-2</v>
      </c>
      <c r="E4052">
        <v>4.8175938283290303E-6</v>
      </c>
      <c r="F4052">
        <v>11</v>
      </c>
      <c r="G4052" t="s">
        <v>5423</v>
      </c>
      <c r="H4052" t="s">
        <v>5424</v>
      </c>
      <c r="I4052" t="str">
        <f>HYPERLINK("https://zfin.org/ZDB-GENE-030131-5366")</f>
        <v>https://zfin.org/ZDB-GENE-030131-5366</v>
      </c>
      <c r="J4052" t="s">
        <v>5425</v>
      </c>
    </row>
    <row r="4053" spans="1:10" x14ac:dyDescent="0.2">
      <c r="A4053">
        <v>3.7971898161859002E-10</v>
      </c>
      <c r="B4053">
        <v>0.301853865328645</v>
      </c>
      <c r="C4053">
        <v>0.184</v>
      </c>
      <c r="D4053">
        <v>9.1999999999999998E-2</v>
      </c>
      <c r="E4053">
        <v>5.2773344065351698E-6</v>
      </c>
      <c r="F4053">
        <v>11</v>
      </c>
      <c r="G4053" t="s">
        <v>5655</v>
      </c>
      <c r="H4053" t="s">
        <v>5656</v>
      </c>
      <c r="I4053" t="str">
        <f>HYPERLINK("https://zfin.org/ZDB-GENE-030131-5753")</f>
        <v>https://zfin.org/ZDB-GENE-030131-5753</v>
      </c>
      <c r="J4053" t="s">
        <v>5657</v>
      </c>
    </row>
    <row r="4054" spans="1:10" x14ac:dyDescent="0.2">
      <c r="A4054">
        <v>4.1790730172097002E-10</v>
      </c>
      <c r="B4054">
        <v>-0.42432803362474197</v>
      </c>
      <c r="C4054">
        <v>0.496</v>
      </c>
      <c r="D4054">
        <v>0.60899999999999999</v>
      </c>
      <c r="E4054">
        <v>5.8080756793180396E-6</v>
      </c>
      <c r="F4054">
        <v>11</v>
      </c>
      <c r="G4054" t="s">
        <v>807</v>
      </c>
      <c r="H4054" t="s">
        <v>808</v>
      </c>
      <c r="I4054" t="str">
        <f>HYPERLINK("https://zfin.org/ZDB-GENE-020913-1")</f>
        <v>https://zfin.org/ZDB-GENE-020913-1</v>
      </c>
      <c r="J4054" t="s">
        <v>809</v>
      </c>
    </row>
    <row r="4055" spans="1:10" x14ac:dyDescent="0.2">
      <c r="A4055">
        <v>4.2705789074433602E-10</v>
      </c>
      <c r="B4055">
        <v>0.27054522156174399</v>
      </c>
      <c r="C4055">
        <v>0.129</v>
      </c>
      <c r="D4055">
        <v>5.5E-2</v>
      </c>
      <c r="E4055">
        <v>5.9352505655647803E-6</v>
      </c>
      <c r="F4055">
        <v>11</v>
      </c>
      <c r="G4055" t="s">
        <v>6840</v>
      </c>
      <c r="H4055" t="s">
        <v>6841</v>
      </c>
      <c r="I4055" t="str">
        <f>HYPERLINK("https://zfin.org/ZDB-GENE-040420-1")</f>
        <v>https://zfin.org/ZDB-GENE-040420-1</v>
      </c>
      <c r="J4055" t="s">
        <v>6842</v>
      </c>
    </row>
    <row r="4056" spans="1:10" x14ac:dyDescent="0.2">
      <c r="A4056">
        <v>4.3577503819305099E-10</v>
      </c>
      <c r="B4056">
        <v>0.34176691704281897</v>
      </c>
      <c r="C4056">
        <v>0.318</v>
      </c>
      <c r="D4056">
        <v>0.20200000000000001</v>
      </c>
      <c r="E4056">
        <v>6.0564014808070204E-6</v>
      </c>
      <c r="F4056">
        <v>11</v>
      </c>
      <c r="G4056" t="s">
        <v>3094</v>
      </c>
      <c r="H4056" t="s">
        <v>3095</v>
      </c>
      <c r="I4056" t="str">
        <f>HYPERLINK("https://zfin.org/ZDB-GENE-040912-148")</f>
        <v>https://zfin.org/ZDB-GENE-040912-148</v>
      </c>
      <c r="J4056" t="s">
        <v>3096</v>
      </c>
    </row>
    <row r="4057" spans="1:10" x14ac:dyDescent="0.2">
      <c r="A4057">
        <v>4.9598506038725399E-10</v>
      </c>
      <c r="B4057">
        <v>-0.48383304078707001</v>
      </c>
      <c r="C4057">
        <v>4.1000000000000002E-2</v>
      </c>
      <c r="D4057">
        <v>0.13800000000000001</v>
      </c>
      <c r="E4057">
        <v>6.8932003692620596E-6</v>
      </c>
      <c r="F4057">
        <v>11</v>
      </c>
      <c r="G4057" t="s">
        <v>224</v>
      </c>
      <c r="H4057" t="s">
        <v>225</v>
      </c>
      <c r="I4057" t="str">
        <f>HYPERLINK("https://zfin.org/ZDB-GENE-030925-29")</f>
        <v>https://zfin.org/ZDB-GENE-030925-29</v>
      </c>
      <c r="J4057" t="s">
        <v>226</v>
      </c>
    </row>
    <row r="4058" spans="1:10" x14ac:dyDescent="0.2">
      <c r="A4058">
        <v>5.8382466590966598E-10</v>
      </c>
      <c r="B4058">
        <v>-0.52967129226790599</v>
      </c>
      <c r="C4058">
        <v>0.38400000000000001</v>
      </c>
      <c r="D4058">
        <v>0.498</v>
      </c>
      <c r="E4058">
        <v>8.1139952068125404E-6</v>
      </c>
      <c r="F4058">
        <v>11</v>
      </c>
      <c r="G4058" t="s">
        <v>2319</v>
      </c>
      <c r="H4058" t="s">
        <v>2320</v>
      </c>
      <c r="I4058" t="str">
        <f>HYPERLINK("https://zfin.org/ZDB-GENE-041121-18")</f>
        <v>https://zfin.org/ZDB-GENE-041121-18</v>
      </c>
      <c r="J4058" t="s">
        <v>2321</v>
      </c>
    </row>
    <row r="4059" spans="1:10" x14ac:dyDescent="0.2">
      <c r="A4059">
        <v>5.8463926669254201E-10</v>
      </c>
      <c r="B4059">
        <v>0.33193602407885398</v>
      </c>
      <c r="C4059">
        <v>0.32</v>
      </c>
      <c r="D4059">
        <v>0.20599999999999999</v>
      </c>
      <c r="E4059">
        <v>8.1253165284929501E-6</v>
      </c>
      <c r="F4059">
        <v>11</v>
      </c>
      <c r="G4059" t="s">
        <v>5835</v>
      </c>
      <c r="H4059" t="s">
        <v>5836</v>
      </c>
      <c r="I4059" t="str">
        <f>HYPERLINK("https://zfin.org/ZDB-GENE-050320-50")</f>
        <v>https://zfin.org/ZDB-GENE-050320-50</v>
      </c>
      <c r="J4059" t="s">
        <v>5837</v>
      </c>
    </row>
    <row r="4060" spans="1:10" x14ac:dyDescent="0.2">
      <c r="A4060">
        <v>8.9958745162776696E-10</v>
      </c>
      <c r="B4060">
        <v>-0.53060729913484606</v>
      </c>
      <c r="C4060">
        <v>0.11</v>
      </c>
      <c r="D4060">
        <v>0.22600000000000001</v>
      </c>
      <c r="E4060">
        <v>1.25024664027227E-5</v>
      </c>
      <c r="F4060">
        <v>11</v>
      </c>
      <c r="G4060" t="s">
        <v>3026</v>
      </c>
      <c r="H4060" t="s">
        <v>3027</v>
      </c>
      <c r="I4060" t="str">
        <f>HYPERLINK("https://zfin.org/ZDB-GENE-060815-1")</f>
        <v>https://zfin.org/ZDB-GENE-060815-1</v>
      </c>
      <c r="J4060" t="s">
        <v>3028</v>
      </c>
    </row>
    <row r="4061" spans="1:10" x14ac:dyDescent="0.2">
      <c r="A4061">
        <v>1.00102588075014E-9</v>
      </c>
      <c r="B4061">
        <v>-0.36688578317384801</v>
      </c>
      <c r="C4061">
        <v>0.308</v>
      </c>
      <c r="D4061">
        <v>0.44400000000000001</v>
      </c>
      <c r="E4061">
        <v>1.39122576906654E-5</v>
      </c>
      <c r="F4061">
        <v>11</v>
      </c>
      <c r="G4061" t="s">
        <v>2403</v>
      </c>
      <c r="H4061" t="s">
        <v>2404</v>
      </c>
      <c r="I4061" t="str">
        <f>HYPERLINK("https://zfin.org/ZDB-GENE-040801-77")</f>
        <v>https://zfin.org/ZDB-GENE-040801-77</v>
      </c>
      <c r="J4061" t="s">
        <v>2405</v>
      </c>
    </row>
    <row r="4062" spans="1:10" x14ac:dyDescent="0.2">
      <c r="A4062">
        <v>1.01713097838194E-9</v>
      </c>
      <c r="B4062">
        <v>-0.279908341595696</v>
      </c>
      <c r="C4062">
        <v>0.02</v>
      </c>
      <c r="D4062">
        <v>0.105</v>
      </c>
      <c r="E4062">
        <v>1.4136086337552099E-5</v>
      </c>
      <c r="F4062">
        <v>11</v>
      </c>
      <c r="G4062" t="s">
        <v>6568</v>
      </c>
      <c r="H4062" t="s">
        <v>6569</v>
      </c>
      <c r="I4062" t="str">
        <f>HYPERLINK("https://zfin.org/ZDB-GENE-070424-1")</f>
        <v>https://zfin.org/ZDB-GENE-070424-1</v>
      </c>
      <c r="J4062" t="s">
        <v>6570</v>
      </c>
    </row>
    <row r="4063" spans="1:10" x14ac:dyDescent="0.2">
      <c r="A4063">
        <v>1.07587444649675E-9</v>
      </c>
      <c r="B4063">
        <v>0.28510801093145899</v>
      </c>
      <c r="C4063">
        <v>0.60599999999999998</v>
      </c>
      <c r="D4063">
        <v>0.48799999999999999</v>
      </c>
      <c r="E4063">
        <v>1.4952503057411799E-5</v>
      </c>
      <c r="F4063">
        <v>11</v>
      </c>
      <c r="G4063" t="s">
        <v>2745</v>
      </c>
      <c r="H4063" t="s">
        <v>2746</v>
      </c>
      <c r="I4063" t="str">
        <f>HYPERLINK("https://zfin.org/ZDB-GENE-041210-191")</f>
        <v>https://zfin.org/ZDB-GENE-041210-191</v>
      </c>
      <c r="J4063" t="s">
        <v>2747</v>
      </c>
    </row>
    <row r="4064" spans="1:10" x14ac:dyDescent="0.2">
      <c r="A4064">
        <v>1.10263867247962E-9</v>
      </c>
      <c r="B4064">
        <v>0.334847697315445</v>
      </c>
      <c r="C4064">
        <v>0.40200000000000002</v>
      </c>
      <c r="D4064">
        <v>0.28999999999999998</v>
      </c>
      <c r="E4064">
        <v>1.5324472270121699E-5</v>
      </c>
      <c r="F4064">
        <v>11</v>
      </c>
      <c r="G4064" t="s">
        <v>3109</v>
      </c>
      <c r="H4064" t="s">
        <v>3110</v>
      </c>
      <c r="I4064" t="str">
        <f>HYPERLINK("https://zfin.org/ZDB-GENE-030131-719")</f>
        <v>https://zfin.org/ZDB-GENE-030131-719</v>
      </c>
      <c r="J4064" t="s">
        <v>3111</v>
      </c>
    </row>
    <row r="4065" spans="1:10" x14ac:dyDescent="0.2">
      <c r="A4065">
        <v>1.18357232961448E-9</v>
      </c>
      <c r="B4065">
        <v>0.25018642408660602</v>
      </c>
      <c r="C4065">
        <v>0.67800000000000005</v>
      </c>
      <c r="D4065">
        <v>0.56899999999999995</v>
      </c>
      <c r="E4065">
        <v>1.6449288236982101E-5</v>
      </c>
      <c r="F4065">
        <v>11</v>
      </c>
      <c r="G4065" t="s">
        <v>2253</v>
      </c>
      <c r="H4065" t="s">
        <v>2254</v>
      </c>
      <c r="I4065" t="str">
        <f>HYPERLINK("https://zfin.org/ZDB-GENE-030131-9914")</f>
        <v>https://zfin.org/ZDB-GENE-030131-9914</v>
      </c>
      <c r="J4065" t="s">
        <v>2255</v>
      </c>
    </row>
    <row r="4066" spans="1:10" x14ac:dyDescent="0.2">
      <c r="A4066">
        <v>1.34007733446531E-9</v>
      </c>
      <c r="B4066">
        <v>-0.27465059747642101</v>
      </c>
      <c r="C4066">
        <v>0.375</v>
      </c>
      <c r="D4066">
        <v>0.52700000000000002</v>
      </c>
      <c r="E4066">
        <v>1.86243947943989E-5</v>
      </c>
      <c r="F4066">
        <v>11</v>
      </c>
      <c r="G4066" t="s">
        <v>2247</v>
      </c>
      <c r="H4066" t="s">
        <v>2248</v>
      </c>
      <c r="I4066" t="str">
        <f>HYPERLINK("https://zfin.org/ZDB-GENE-030131-337")</f>
        <v>https://zfin.org/ZDB-GENE-030131-337</v>
      </c>
      <c r="J4066" t="s">
        <v>2249</v>
      </c>
    </row>
    <row r="4067" spans="1:10" x14ac:dyDescent="0.2">
      <c r="A4067">
        <v>1.5266496919078399E-9</v>
      </c>
      <c r="B4067">
        <v>0.27433918623591702</v>
      </c>
      <c r="C4067">
        <v>0.57799999999999996</v>
      </c>
      <c r="D4067">
        <v>0.45800000000000002</v>
      </c>
      <c r="E4067">
        <v>2.12173774181352E-5</v>
      </c>
      <c r="F4067">
        <v>11</v>
      </c>
      <c r="G4067" t="s">
        <v>3044</v>
      </c>
      <c r="H4067" t="s">
        <v>3045</v>
      </c>
      <c r="I4067" t="str">
        <f>HYPERLINK("https://zfin.org/ZDB-GENE-040426-1819")</f>
        <v>https://zfin.org/ZDB-GENE-040426-1819</v>
      </c>
      <c r="J4067" t="s">
        <v>3046</v>
      </c>
    </row>
    <row r="4068" spans="1:10" x14ac:dyDescent="0.2">
      <c r="A4068">
        <v>1.57958331778482E-9</v>
      </c>
      <c r="B4068">
        <v>0.327712057530746</v>
      </c>
      <c r="C4068">
        <v>0.46300000000000002</v>
      </c>
      <c r="D4068">
        <v>0.35299999999999998</v>
      </c>
      <c r="E4068">
        <v>2.19530489505734E-5</v>
      </c>
      <c r="F4068">
        <v>11</v>
      </c>
      <c r="G4068" t="s">
        <v>3868</v>
      </c>
      <c r="H4068" t="s">
        <v>3869</v>
      </c>
      <c r="I4068" t="str">
        <f>HYPERLINK("https://zfin.org/ZDB-GENE-040912-105")</f>
        <v>https://zfin.org/ZDB-GENE-040912-105</v>
      </c>
      <c r="J4068" t="s">
        <v>3870</v>
      </c>
    </row>
    <row r="4069" spans="1:10" x14ac:dyDescent="0.2">
      <c r="A4069">
        <v>1.5830183385604901E-9</v>
      </c>
      <c r="B4069">
        <v>0.315550156512103</v>
      </c>
      <c r="C4069">
        <v>0.58599999999999997</v>
      </c>
      <c r="D4069">
        <v>0.48799999999999999</v>
      </c>
      <c r="E4069">
        <v>2.20007888693137E-5</v>
      </c>
      <c r="F4069">
        <v>11</v>
      </c>
      <c r="G4069" t="s">
        <v>4557</v>
      </c>
      <c r="H4069" t="s">
        <v>4558</v>
      </c>
      <c r="I4069" t="str">
        <f>HYPERLINK("https://zfin.org/ZDB-GENE-030912-14")</f>
        <v>https://zfin.org/ZDB-GENE-030912-14</v>
      </c>
      <c r="J4069" t="s">
        <v>4559</v>
      </c>
    </row>
    <row r="4070" spans="1:10" x14ac:dyDescent="0.2">
      <c r="A4070">
        <v>1.5875615675840999E-9</v>
      </c>
      <c r="B4070">
        <v>-0.34712830305016101</v>
      </c>
      <c r="C4070">
        <v>0.35299999999999998</v>
      </c>
      <c r="D4070">
        <v>0.48799999999999999</v>
      </c>
      <c r="E4070">
        <v>2.20639306662838E-5</v>
      </c>
      <c r="F4070">
        <v>11</v>
      </c>
      <c r="G4070" t="s">
        <v>6843</v>
      </c>
      <c r="H4070" t="s">
        <v>6844</v>
      </c>
      <c r="I4070" t="str">
        <f>HYPERLINK("https://zfin.org/ZDB-GENE-081022-85")</f>
        <v>https://zfin.org/ZDB-GENE-081022-85</v>
      </c>
      <c r="J4070" t="s">
        <v>6845</v>
      </c>
    </row>
    <row r="4071" spans="1:10" x14ac:dyDescent="0.2">
      <c r="A4071">
        <v>2.2251111898954102E-9</v>
      </c>
      <c r="B4071">
        <v>0.28801462367034197</v>
      </c>
      <c r="C4071">
        <v>0.30399999999999999</v>
      </c>
      <c r="D4071">
        <v>0.193</v>
      </c>
      <c r="E4071">
        <v>3.0924595317166403E-5</v>
      </c>
      <c r="F4071">
        <v>11</v>
      </c>
      <c r="G4071" t="s">
        <v>5976</v>
      </c>
      <c r="H4071" t="s">
        <v>5977</v>
      </c>
      <c r="I4071" t="str">
        <f>HYPERLINK("https://zfin.org/ZDB-GENE-030131-6989")</f>
        <v>https://zfin.org/ZDB-GENE-030131-6989</v>
      </c>
      <c r="J4071" t="s">
        <v>5978</v>
      </c>
    </row>
    <row r="4072" spans="1:10" x14ac:dyDescent="0.2">
      <c r="A4072">
        <v>2.6346899857805598E-9</v>
      </c>
      <c r="B4072">
        <v>0.30943694983984699</v>
      </c>
      <c r="C4072">
        <v>0.433</v>
      </c>
      <c r="D4072">
        <v>0.318</v>
      </c>
      <c r="E4072">
        <v>3.6616921422378199E-5</v>
      </c>
      <c r="F4072">
        <v>11</v>
      </c>
      <c r="G4072" t="s">
        <v>6583</v>
      </c>
      <c r="H4072" t="s">
        <v>6584</v>
      </c>
      <c r="I4072" t="str">
        <f>HYPERLINK("https://zfin.org/ZDB-GENE-030131-7038")</f>
        <v>https://zfin.org/ZDB-GENE-030131-7038</v>
      </c>
      <c r="J4072" t="s">
        <v>6585</v>
      </c>
    </row>
    <row r="4073" spans="1:10" x14ac:dyDescent="0.2">
      <c r="A4073">
        <v>2.7120624974635199E-9</v>
      </c>
      <c r="B4073">
        <v>-0.36026745294590801</v>
      </c>
      <c r="C4073">
        <v>0.13700000000000001</v>
      </c>
      <c r="D4073">
        <v>0.26</v>
      </c>
      <c r="E4073">
        <v>3.7692244589748003E-5</v>
      </c>
      <c r="F4073">
        <v>11</v>
      </c>
      <c r="G4073" t="s">
        <v>3933</v>
      </c>
      <c r="H4073" t="s">
        <v>3934</v>
      </c>
      <c r="I4073" t="str">
        <f>HYPERLINK("https://zfin.org/ZDB-GENE-050320-36")</f>
        <v>https://zfin.org/ZDB-GENE-050320-36</v>
      </c>
      <c r="J4073" t="s">
        <v>3935</v>
      </c>
    </row>
    <row r="4074" spans="1:10" x14ac:dyDescent="0.2">
      <c r="A4074">
        <v>2.8203395290391801E-9</v>
      </c>
      <c r="B4074">
        <v>-0.38912659745070399</v>
      </c>
      <c r="C4074">
        <v>5.2999999999999999E-2</v>
      </c>
      <c r="D4074">
        <v>0.15</v>
      </c>
      <c r="E4074">
        <v>3.9197078774586501E-5</v>
      </c>
      <c r="F4074">
        <v>11</v>
      </c>
      <c r="G4074" t="s">
        <v>6683</v>
      </c>
      <c r="H4074" t="s">
        <v>6684</v>
      </c>
      <c r="I4074" t="str">
        <f>HYPERLINK("https://zfin.org/ZDB-GENE-011128-4")</f>
        <v>https://zfin.org/ZDB-GENE-011128-4</v>
      </c>
      <c r="J4074" t="s">
        <v>6685</v>
      </c>
    </row>
    <row r="4075" spans="1:10" x14ac:dyDescent="0.2">
      <c r="A4075">
        <v>3.08739174205324E-9</v>
      </c>
      <c r="B4075">
        <v>0.31714662599605697</v>
      </c>
      <c r="C4075">
        <v>0.59799999999999998</v>
      </c>
      <c r="D4075">
        <v>0.52800000000000002</v>
      </c>
      <c r="E4075">
        <v>4.2908570431055903E-5</v>
      </c>
      <c r="F4075">
        <v>11</v>
      </c>
      <c r="G4075" t="s">
        <v>3076</v>
      </c>
      <c r="H4075" t="s">
        <v>3077</v>
      </c>
      <c r="I4075" t="str">
        <f>HYPERLINK("https://zfin.org/ZDB-GENE-030131-8284")</f>
        <v>https://zfin.org/ZDB-GENE-030131-8284</v>
      </c>
      <c r="J4075" t="s">
        <v>3078</v>
      </c>
    </row>
    <row r="4076" spans="1:10" x14ac:dyDescent="0.2">
      <c r="A4076">
        <v>3.3828806945436801E-9</v>
      </c>
      <c r="B4076">
        <v>-0.32909105733557398</v>
      </c>
      <c r="C4076">
        <v>2.1999999999999999E-2</v>
      </c>
      <c r="D4076">
        <v>0.10299999999999999</v>
      </c>
      <c r="E4076">
        <v>4.70152758927681E-5</v>
      </c>
      <c r="F4076">
        <v>11</v>
      </c>
      <c r="G4076" t="s">
        <v>6497</v>
      </c>
      <c r="H4076" t="s">
        <v>6498</v>
      </c>
      <c r="I4076" t="str">
        <f>HYPERLINK("https://zfin.org/ZDB-GENE-070820-6")</f>
        <v>https://zfin.org/ZDB-GENE-070820-6</v>
      </c>
      <c r="J4076" t="s">
        <v>6499</v>
      </c>
    </row>
    <row r="4077" spans="1:10" x14ac:dyDescent="0.2">
      <c r="A4077">
        <v>3.8264235693158899E-9</v>
      </c>
      <c r="B4077">
        <v>0.28449217558159001</v>
      </c>
      <c r="C4077">
        <v>0.60399999999999998</v>
      </c>
      <c r="D4077">
        <v>0.51600000000000001</v>
      </c>
      <c r="E4077">
        <v>5.31796347663522E-5</v>
      </c>
      <c r="F4077">
        <v>11</v>
      </c>
      <c r="G4077" t="s">
        <v>3062</v>
      </c>
      <c r="H4077" t="s">
        <v>3063</v>
      </c>
      <c r="I4077" t="str">
        <f>HYPERLINK("https://zfin.org/ZDB-GENE-010502-1")</f>
        <v>https://zfin.org/ZDB-GENE-010502-1</v>
      </c>
      <c r="J4077" t="s">
        <v>3064</v>
      </c>
    </row>
    <row r="4078" spans="1:10" x14ac:dyDescent="0.2">
      <c r="A4078">
        <v>4.4752080354225304E-9</v>
      </c>
      <c r="B4078">
        <v>-0.32593272512317301</v>
      </c>
      <c r="C4078">
        <v>0.39</v>
      </c>
      <c r="D4078">
        <v>0.51500000000000001</v>
      </c>
      <c r="E4078">
        <v>6.2196441276302295E-5</v>
      </c>
      <c r="F4078">
        <v>11</v>
      </c>
      <c r="G4078" t="s">
        <v>2559</v>
      </c>
      <c r="H4078" t="s">
        <v>2560</v>
      </c>
      <c r="I4078" t="str">
        <f>HYPERLINK("https://zfin.org/ZDB-GENE-990708-8")</f>
        <v>https://zfin.org/ZDB-GENE-990708-8</v>
      </c>
      <c r="J4078" t="s">
        <v>2561</v>
      </c>
    </row>
    <row r="4079" spans="1:10" x14ac:dyDescent="0.2">
      <c r="A4079">
        <v>5.2489775346596699E-9</v>
      </c>
      <c r="B4079">
        <v>-0.29730306370676901</v>
      </c>
      <c r="C4079">
        <v>5.0999999999999997E-2</v>
      </c>
      <c r="D4079">
        <v>0.14599999999999999</v>
      </c>
      <c r="E4079">
        <v>7.2950289776700097E-5</v>
      </c>
      <c r="F4079">
        <v>11</v>
      </c>
      <c r="G4079" t="s">
        <v>6846</v>
      </c>
      <c r="H4079" t="s">
        <v>6847</v>
      </c>
      <c r="I4079" t="str">
        <f>HYPERLINK("https://zfin.org/ZDB-GENE-030131-3967")</f>
        <v>https://zfin.org/ZDB-GENE-030131-3967</v>
      </c>
      <c r="J4079" t="s">
        <v>6848</v>
      </c>
    </row>
    <row r="4080" spans="1:10" x14ac:dyDescent="0.2">
      <c r="A4080">
        <v>7.1894919711267598E-9</v>
      </c>
      <c r="B4080">
        <v>0.27413302819648599</v>
      </c>
      <c r="C4080">
        <v>0.60599999999999998</v>
      </c>
      <c r="D4080">
        <v>0.51600000000000001</v>
      </c>
      <c r="E4080">
        <v>9.9919559414719697E-5</v>
      </c>
      <c r="F4080">
        <v>11</v>
      </c>
      <c r="G4080" t="s">
        <v>3378</v>
      </c>
      <c r="H4080" t="s">
        <v>3379</v>
      </c>
      <c r="I4080" t="str">
        <f>HYPERLINK("https://zfin.org/ZDB-GENE-030131-433")</f>
        <v>https://zfin.org/ZDB-GENE-030131-433</v>
      </c>
      <c r="J4080" t="s">
        <v>3380</v>
      </c>
    </row>
    <row r="4081" spans="1:10" x14ac:dyDescent="0.2">
      <c r="A4081">
        <v>7.2518272129971801E-9</v>
      </c>
      <c r="B4081">
        <v>-0.262238575470225</v>
      </c>
      <c r="C4081">
        <v>2.1999999999999999E-2</v>
      </c>
      <c r="D4081">
        <v>0.10100000000000001</v>
      </c>
      <c r="E4081">
        <v>1.00785894606235E-4</v>
      </c>
      <c r="F4081">
        <v>11</v>
      </c>
      <c r="G4081" t="s">
        <v>6565</v>
      </c>
      <c r="H4081" t="s">
        <v>6566</v>
      </c>
      <c r="I4081" t="str">
        <f>HYPERLINK("https://zfin.org/ZDB-GENE-110609-2")</f>
        <v>https://zfin.org/ZDB-GENE-110609-2</v>
      </c>
      <c r="J4081" t="s">
        <v>6567</v>
      </c>
    </row>
    <row r="4082" spans="1:10" x14ac:dyDescent="0.2">
      <c r="A4082">
        <v>7.3671320260801599E-9</v>
      </c>
      <c r="B4082">
        <v>0.25379098642095599</v>
      </c>
      <c r="C4082">
        <v>0.14299999999999999</v>
      </c>
      <c r="D4082">
        <v>6.9000000000000006E-2</v>
      </c>
      <c r="E4082">
        <v>1.0238840089846201E-4</v>
      </c>
      <c r="F4082">
        <v>11</v>
      </c>
      <c r="G4082" t="s">
        <v>6849</v>
      </c>
      <c r="H4082" t="s">
        <v>6850</v>
      </c>
      <c r="I4082" t="str">
        <f>HYPERLINK("https://zfin.org/ZDB-GENE-040426-1495")</f>
        <v>https://zfin.org/ZDB-GENE-040426-1495</v>
      </c>
      <c r="J4082" t="s">
        <v>6851</v>
      </c>
    </row>
    <row r="4083" spans="1:10" x14ac:dyDescent="0.2">
      <c r="A4083">
        <v>8.8181960997217708E-9</v>
      </c>
      <c r="B4083">
        <v>0.25580645761083398</v>
      </c>
      <c r="C4083">
        <v>0.184</v>
      </c>
      <c r="D4083">
        <v>9.9000000000000005E-2</v>
      </c>
      <c r="E4083">
        <v>1.2255528939393299E-4</v>
      </c>
      <c r="F4083">
        <v>11</v>
      </c>
      <c r="G4083" t="s">
        <v>6087</v>
      </c>
      <c r="H4083" t="s">
        <v>6088</v>
      </c>
      <c r="I4083" t="str">
        <f>HYPERLINK("https://zfin.org/ZDB-GENE-050417-408")</f>
        <v>https://zfin.org/ZDB-GENE-050417-408</v>
      </c>
      <c r="J4083" t="s">
        <v>6089</v>
      </c>
    </row>
    <row r="4084" spans="1:10" x14ac:dyDescent="0.2">
      <c r="A4084">
        <v>1.08321128292858E-8</v>
      </c>
      <c r="B4084">
        <v>-0.26808781575650797</v>
      </c>
      <c r="C4084">
        <v>0.19600000000000001</v>
      </c>
      <c r="D4084">
        <v>0.32600000000000001</v>
      </c>
      <c r="E4084">
        <v>1.5054470410141399E-4</v>
      </c>
      <c r="F4084">
        <v>11</v>
      </c>
      <c r="G4084" t="s">
        <v>1776</v>
      </c>
      <c r="H4084" t="s">
        <v>1777</v>
      </c>
      <c r="I4084" t="str">
        <f>HYPERLINK("https://zfin.org/ZDB-GENE-050311-1")</f>
        <v>https://zfin.org/ZDB-GENE-050311-1</v>
      </c>
      <c r="J4084" t="s">
        <v>1778</v>
      </c>
    </row>
    <row r="4085" spans="1:10" x14ac:dyDescent="0.2">
      <c r="A4085">
        <v>1.14804527546932E-8</v>
      </c>
      <c r="B4085">
        <v>-0.314092788206146</v>
      </c>
      <c r="C4085">
        <v>0.751</v>
      </c>
      <c r="D4085">
        <v>0.83699999999999997</v>
      </c>
      <c r="E4085">
        <v>1.59555332384726E-4</v>
      </c>
      <c r="F4085">
        <v>11</v>
      </c>
      <c r="G4085" t="s">
        <v>1519</v>
      </c>
      <c r="H4085" t="s">
        <v>1520</v>
      </c>
      <c r="I4085" t="str">
        <f>HYPERLINK("https://zfin.org/ZDB-GENE-990715-6")</f>
        <v>https://zfin.org/ZDB-GENE-990715-6</v>
      </c>
      <c r="J4085" t="s">
        <v>1521</v>
      </c>
    </row>
    <row r="4086" spans="1:10" x14ac:dyDescent="0.2">
      <c r="A4086">
        <v>1.2667388893694E-8</v>
      </c>
      <c r="B4086">
        <v>-0.45418842453059399</v>
      </c>
      <c r="C4086">
        <v>0.214</v>
      </c>
      <c r="D4086">
        <v>0.33300000000000002</v>
      </c>
      <c r="E4086">
        <v>1.7605137084455901E-4</v>
      </c>
      <c r="F4086">
        <v>11</v>
      </c>
      <c r="G4086" t="s">
        <v>2652</v>
      </c>
      <c r="H4086" t="s">
        <v>2653</v>
      </c>
      <c r="I4086" t="str">
        <f>HYPERLINK("https://zfin.org/ZDB-GENE-040426-1937")</f>
        <v>https://zfin.org/ZDB-GENE-040426-1937</v>
      </c>
      <c r="J4086" t="s">
        <v>2654</v>
      </c>
    </row>
    <row r="4087" spans="1:10" x14ac:dyDescent="0.2">
      <c r="A4087">
        <v>1.2940826908722999E-8</v>
      </c>
      <c r="B4087">
        <v>-0.31668515696104299</v>
      </c>
      <c r="C4087">
        <v>0.32700000000000001</v>
      </c>
      <c r="D4087">
        <v>0.45500000000000002</v>
      </c>
      <c r="E4087">
        <v>1.7985161237743199E-4</v>
      </c>
      <c r="F4087">
        <v>11</v>
      </c>
      <c r="G4087" t="s">
        <v>6621</v>
      </c>
      <c r="H4087" t="s">
        <v>6622</v>
      </c>
      <c r="I4087" t="str">
        <f>HYPERLINK("https://zfin.org/ZDB-GENE-040718-175")</f>
        <v>https://zfin.org/ZDB-GENE-040718-175</v>
      </c>
      <c r="J4087" t="s">
        <v>6623</v>
      </c>
    </row>
    <row r="4088" spans="1:10" x14ac:dyDescent="0.2">
      <c r="A4088">
        <v>1.3266538486853201E-8</v>
      </c>
      <c r="B4088">
        <v>0.27967094036325102</v>
      </c>
      <c r="C4088">
        <v>0.218</v>
      </c>
      <c r="D4088">
        <v>0.126</v>
      </c>
      <c r="E4088">
        <v>1.8437835189028499E-4</v>
      </c>
      <c r="F4088">
        <v>11</v>
      </c>
      <c r="G4088" t="s">
        <v>6119</v>
      </c>
      <c r="H4088" t="s">
        <v>6120</v>
      </c>
      <c r="I4088" t="str">
        <f>HYPERLINK("https://zfin.org/ZDB-GENE-030131-9685")</f>
        <v>https://zfin.org/ZDB-GENE-030131-9685</v>
      </c>
      <c r="J4088" t="s">
        <v>6121</v>
      </c>
    </row>
    <row r="4089" spans="1:10" x14ac:dyDescent="0.2">
      <c r="A4089">
        <v>1.3377252752542599E-8</v>
      </c>
      <c r="B4089">
        <v>0.26374217983577097</v>
      </c>
      <c r="C4089">
        <v>0.68400000000000005</v>
      </c>
      <c r="D4089">
        <v>0.59199999999999997</v>
      </c>
      <c r="E4089">
        <v>1.8591705875483801E-4</v>
      </c>
      <c r="F4089">
        <v>11</v>
      </c>
      <c r="G4089" t="s">
        <v>2942</v>
      </c>
      <c r="H4089" t="s">
        <v>2943</v>
      </c>
      <c r="I4089" t="str">
        <f>HYPERLINK("https://zfin.org/ZDB-GENE-030131-6154")</f>
        <v>https://zfin.org/ZDB-GENE-030131-6154</v>
      </c>
      <c r="J4089" t="s">
        <v>2944</v>
      </c>
    </row>
    <row r="4090" spans="1:10" x14ac:dyDescent="0.2">
      <c r="A4090">
        <v>1.50580227048023E-8</v>
      </c>
      <c r="B4090">
        <v>-0.29765439329649002</v>
      </c>
      <c r="C4090">
        <v>0.14699999999999999</v>
      </c>
      <c r="D4090">
        <v>0.26500000000000001</v>
      </c>
      <c r="E4090">
        <v>2.0927639955134201E-4</v>
      </c>
      <c r="F4090">
        <v>11</v>
      </c>
      <c r="G4090" t="s">
        <v>2996</v>
      </c>
      <c r="H4090" t="s">
        <v>2997</v>
      </c>
      <c r="I4090" t="str">
        <f>HYPERLINK("https://zfin.org/ZDB-GENE-070719-5")</f>
        <v>https://zfin.org/ZDB-GENE-070719-5</v>
      </c>
      <c r="J4090" t="s">
        <v>2998</v>
      </c>
    </row>
    <row r="4091" spans="1:10" x14ac:dyDescent="0.2">
      <c r="A4091">
        <v>1.59660667231175E-8</v>
      </c>
      <c r="B4091">
        <v>0.31795030986588801</v>
      </c>
      <c r="C4091">
        <v>0.22</v>
      </c>
      <c r="D4091">
        <v>0.13</v>
      </c>
      <c r="E4091">
        <v>2.21896395317887E-4</v>
      </c>
      <c r="F4091">
        <v>11</v>
      </c>
      <c r="G4091" t="s">
        <v>6084</v>
      </c>
      <c r="H4091" t="s">
        <v>6085</v>
      </c>
      <c r="I4091" t="str">
        <f>HYPERLINK("https://zfin.org/ZDB-GENE-130603-67")</f>
        <v>https://zfin.org/ZDB-GENE-130603-67</v>
      </c>
      <c r="J4091" t="s">
        <v>6086</v>
      </c>
    </row>
    <row r="4092" spans="1:10" x14ac:dyDescent="0.2">
      <c r="A4092">
        <v>1.80948634211638E-8</v>
      </c>
      <c r="B4092">
        <v>0.26740703913604902</v>
      </c>
      <c r="C4092">
        <v>0.61599999999999999</v>
      </c>
      <c r="D4092">
        <v>0.54600000000000004</v>
      </c>
      <c r="E4092">
        <v>2.5148241182733501E-4</v>
      </c>
      <c r="F4092">
        <v>11</v>
      </c>
      <c r="G4092" t="s">
        <v>6328</v>
      </c>
      <c r="H4092" t="s">
        <v>6329</v>
      </c>
      <c r="I4092" t="str">
        <f>HYPERLINK("https://zfin.org/ZDB-GENE-030131-5045")</f>
        <v>https://zfin.org/ZDB-GENE-030131-5045</v>
      </c>
      <c r="J4092" t="s">
        <v>6330</v>
      </c>
    </row>
    <row r="4093" spans="1:10" x14ac:dyDescent="0.2">
      <c r="A4093">
        <v>1.8099435466078799E-8</v>
      </c>
      <c r="B4093">
        <v>0.298359685188547</v>
      </c>
      <c r="C4093">
        <v>0.22</v>
      </c>
      <c r="D4093">
        <v>0.13</v>
      </c>
      <c r="E4093">
        <v>2.51545954107564E-4</v>
      </c>
      <c r="F4093">
        <v>11</v>
      </c>
      <c r="G4093" t="s">
        <v>5733</v>
      </c>
      <c r="H4093" t="s">
        <v>5734</v>
      </c>
      <c r="I4093" t="str">
        <f>HYPERLINK("https://zfin.org/ZDB-GENE-031118-9")</f>
        <v>https://zfin.org/ZDB-GENE-031118-9</v>
      </c>
      <c r="J4093" t="s">
        <v>5735</v>
      </c>
    </row>
    <row r="4094" spans="1:10" x14ac:dyDescent="0.2">
      <c r="A4094">
        <v>2.3353480301237499E-8</v>
      </c>
      <c r="B4094">
        <v>-0.34202385289402998</v>
      </c>
      <c r="C4094">
        <v>3.5000000000000003E-2</v>
      </c>
      <c r="D4094">
        <v>0.11700000000000001</v>
      </c>
      <c r="E4094">
        <v>3.2456666922659898E-4</v>
      </c>
      <c r="F4094">
        <v>11</v>
      </c>
      <c r="G4094" t="s">
        <v>145</v>
      </c>
      <c r="H4094" t="s">
        <v>146</v>
      </c>
      <c r="I4094" t="str">
        <f>HYPERLINK("https://zfin.org/ZDB-GENE-050522-238")</f>
        <v>https://zfin.org/ZDB-GENE-050522-238</v>
      </c>
      <c r="J4094" t="s">
        <v>147</v>
      </c>
    </row>
    <row r="4095" spans="1:10" x14ac:dyDescent="0.2">
      <c r="A4095">
        <v>2.3492629107114101E-8</v>
      </c>
      <c r="B4095">
        <v>-0.310185702519224</v>
      </c>
      <c r="C4095">
        <v>0.13100000000000001</v>
      </c>
      <c r="D4095">
        <v>0.24199999999999999</v>
      </c>
      <c r="E4095">
        <v>3.2650055933067202E-4</v>
      </c>
      <c r="F4095">
        <v>11</v>
      </c>
      <c r="G4095" t="s">
        <v>2852</v>
      </c>
      <c r="H4095" t="s">
        <v>2853</v>
      </c>
      <c r="I4095" t="str">
        <f>HYPERLINK("https://zfin.org/ZDB-GENE-041130-1")</f>
        <v>https://zfin.org/ZDB-GENE-041130-1</v>
      </c>
      <c r="J4095" t="s">
        <v>2854</v>
      </c>
    </row>
    <row r="4096" spans="1:10" x14ac:dyDescent="0.2">
      <c r="A4096">
        <v>3.3969618335355097E-8</v>
      </c>
      <c r="B4096">
        <v>-0.35722279519208899</v>
      </c>
      <c r="C4096">
        <v>2.7E-2</v>
      </c>
      <c r="D4096">
        <v>0.104</v>
      </c>
      <c r="E4096">
        <v>4.7210975562476498E-4</v>
      </c>
      <c r="F4096">
        <v>11</v>
      </c>
      <c r="G4096" t="s">
        <v>597</v>
      </c>
      <c r="H4096" t="s">
        <v>598</v>
      </c>
      <c r="I4096" t="str">
        <f>HYPERLINK("https://zfin.org/ZDB-GENE-031001-3")</f>
        <v>https://zfin.org/ZDB-GENE-031001-3</v>
      </c>
      <c r="J4096" t="s">
        <v>599</v>
      </c>
    </row>
    <row r="4097" spans="1:10" x14ac:dyDescent="0.2">
      <c r="A4097">
        <v>3.4762413911256501E-8</v>
      </c>
      <c r="B4097">
        <v>-0.30032148617623999</v>
      </c>
      <c r="C4097">
        <v>0.16700000000000001</v>
      </c>
      <c r="D4097">
        <v>0.28599999999999998</v>
      </c>
      <c r="E4097">
        <v>4.8312802853864301E-4</v>
      </c>
      <c r="F4097">
        <v>11</v>
      </c>
      <c r="G4097" t="s">
        <v>6852</v>
      </c>
      <c r="H4097" t="s">
        <v>6853</v>
      </c>
      <c r="I4097" t="str">
        <f>HYPERLINK("https://zfin.org/ZDB-GENE-030131-7785")</f>
        <v>https://zfin.org/ZDB-GENE-030131-7785</v>
      </c>
      <c r="J4097" t="s">
        <v>6854</v>
      </c>
    </row>
    <row r="4098" spans="1:10" x14ac:dyDescent="0.2">
      <c r="A4098">
        <v>4.31325154195084E-8</v>
      </c>
      <c r="B4098">
        <v>0.25300114721150502</v>
      </c>
      <c r="C4098">
        <v>0.36299999999999999</v>
      </c>
      <c r="D4098">
        <v>0.25700000000000001</v>
      </c>
      <c r="E4098">
        <v>5.9945569930032797E-4</v>
      </c>
      <c r="F4098">
        <v>11</v>
      </c>
      <c r="G4098" t="s">
        <v>6855</v>
      </c>
      <c r="H4098" t="s">
        <v>6856</v>
      </c>
      <c r="I4098" t="str">
        <f>HYPERLINK("https://zfin.org/ZDB-GENE-040718-311")</f>
        <v>https://zfin.org/ZDB-GENE-040718-311</v>
      </c>
      <c r="J4098" t="s">
        <v>6857</v>
      </c>
    </row>
    <row r="4099" spans="1:10" x14ac:dyDescent="0.2">
      <c r="A4099">
        <v>4.3333231816291103E-8</v>
      </c>
      <c r="B4099">
        <v>-0.29877702291564001</v>
      </c>
      <c r="C4099">
        <v>0.56299999999999994</v>
      </c>
      <c r="D4099">
        <v>0.67</v>
      </c>
      <c r="E4099">
        <v>6.0224525578281404E-4</v>
      </c>
      <c r="F4099">
        <v>11</v>
      </c>
      <c r="G4099" t="s">
        <v>6367</v>
      </c>
      <c r="H4099" t="s">
        <v>6368</v>
      </c>
      <c r="I4099" t="str">
        <f>HYPERLINK("https://zfin.org/ZDB-GENE-000511-7")</f>
        <v>https://zfin.org/ZDB-GENE-000511-7</v>
      </c>
      <c r="J4099" t="s">
        <v>6369</v>
      </c>
    </row>
    <row r="4100" spans="1:10" x14ac:dyDescent="0.2">
      <c r="A4100">
        <v>4.5369907183604902E-8</v>
      </c>
      <c r="B4100">
        <v>0.322934460188605</v>
      </c>
      <c r="C4100">
        <v>0.32</v>
      </c>
      <c r="D4100">
        <v>0.223</v>
      </c>
      <c r="E4100">
        <v>6.3055097003774101E-4</v>
      </c>
      <c r="F4100">
        <v>11</v>
      </c>
      <c r="G4100" t="s">
        <v>6858</v>
      </c>
      <c r="H4100" t="s">
        <v>6859</v>
      </c>
      <c r="I4100" t="str">
        <f>HYPERLINK("https://zfin.org/ZDB-GENE-040718-167")</f>
        <v>https://zfin.org/ZDB-GENE-040718-167</v>
      </c>
      <c r="J4100" t="s">
        <v>6860</v>
      </c>
    </row>
    <row r="4101" spans="1:10" x14ac:dyDescent="0.2">
      <c r="A4101">
        <v>7.1266572954736397E-8</v>
      </c>
      <c r="B4101">
        <v>-0.37007960532977402</v>
      </c>
      <c r="C4101">
        <v>4.9000000000000002E-2</v>
      </c>
      <c r="D4101">
        <v>0.13300000000000001</v>
      </c>
      <c r="E4101">
        <v>9.9046283092492598E-4</v>
      </c>
      <c r="F4101">
        <v>11</v>
      </c>
      <c r="G4101" t="s">
        <v>267</v>
      </c>
      <c r="H4101" t="s">
        <v>268</v>
      </c>
      <c r="I4101" t="str">
        <f>HYPERLINK("https://zfin.org/ZDB-GENE-060616-326")</f>
        <v>https://zfin.org/ZDB-GENE-060616-326</v>
      </c>
      <c r="J4101" t="s">
        <v>269</v>
      </c>
    </row>
    <row r="4102" spans="1:10" x14ac:dyDescent="0.2">
      <c r="A4102">
        <v>7.1926083257402396E-8</v>
      </c>
      <c r="B4102">
        <v>-0.45401584447545601</v>
      </c>
      <c r="C4102">
        <v>0.124</v>
      </c>
      <c r="D4102">
        <v>0.22700000000000001</v>
      </c>
      <c r="E4102">
        <v>9.9962870511137903E-4</v>
      </c>
      <c r="F4102">
        <v>11</v>
      </c>
      <c r="G4102" t="s">
        <v>6659</v>
      </c>
      <c r="H4102" t="s">
        <v>6660</v>
      </c>
      <c r="I4102" t="str">
        <f>HYPERLINK("https://zfin.org/ZDB-GENE-070627-1")</f>
        <v>https://zfin.org/ZDB-GENE-070627-1</v>
      </c>
      <c r="J4102" t="s">
        <v>6661</v>
      </c>
    </row>
    <row r="4103" spans="1:10" x14ac:dyDescent="0.2">
      <c r="A4103">
        <v>2.20396871438468E-253</v>
      </c>
      <c r="B4103">
        <v>2.1524803433234401</v>
      </c>
      <c r="C4103">
        <v>0.88200000000000001</v>
      </c>
      <c r="D4103">
        <v>0.218</v>
      </c>
      <c r="E4103">
        <v>3.0630757192518302E-249</v>
      </c>
      <c r="F4103">
        <v>12</v>
      </c>
      <c r="G4103" t="s">
        <v>2867</v>
      </c>
      <c r="H4103" t="s">
        <v>2868</v>
      </c>
      <c r="I4103" t="str">
        <f>HYPERLINK("https://zfin.org/ZDB-GENE-110411-258")</f>
        <v>https://zfin.org/ZDB-GENE-110411-258</v>
      </c>
      <c r="J4103" t="s">
        <v>2869</v>
      </c>
    </row>
    <row r="4104" spans="1:10" x14ac:dyDescent="0.2">
      <c r="A4104">
        <v>4.1594805531031597E-204</v>
      </c>
      <c r="B4104">
        <v>1.75813079912541</v>
      </c>
      <c r="C4104">
        <v>0.99199999999999999</v>
      </c>
      <c r="D4104">
        <v>0.73299999999999998</v>
      </c>
      <c r="E4104">
        <v>5.7808460727027703E-200</v>
      </c>
      <c r="F4104">
        <v>12</v>
      </c>
      <c r="G4104" t="s">
        <v>1892</v>
      </c>
      <c r="H4104" t="s">
        <v>1893</v>
      </c>
      <c r="I4104" t="str">
        <f>HYPERLINK("https://zfin.org/ZDB-GENE-121214-200")</f>
        <v>https://zfin.org/ZDB-GENE-121214-200</v>
      </c>
      <c r="J4104" t="s">
        <v>1894</v>
      </c>
    </row>
    <row r="4105" spans="1:10" x14ac:dyDescent="0.2">
      <c r="A4105">
        <v>2.19526331508366E-137</v>
      </c>
      <c r="B4105">
        <v>1.5392093174830199</v>
      </c>
      <c r="C4105">
        <v>0.64200000000000002</v>
      </c>
      <c r="D4105">
        <v>0.17100000000000001</v>
      </c>
      <c r="E4105">
        <v>3.0509769553032701E-133</v>
      </c>
      <c r="F4105">
        <v>12</v>
      </c>
      <c r="G4105" t="s">
        <v>2921</v>
      </c>
      <c r="H4105" t="s">
        <v>2922</v>
      </c>
      <c r="I4105" t="str">
        <f>HYPERLINK("https://zfin.org/ZDB-GENE-061103-355")</f>
        <v>https://zfin.org/ZDB-GENE-061103-355</v>
      </c>
      <c r="J4105" t="s">
        <v>2923</v>
      </c>
    </row>
    <row r="4106" spans="1:10" x14ac:dyDescent="0.2">
      <c r="A4106">
        <v>5.3032603574297704E-103</v>
      </c>
      <c r="B4106">
        <v>1.2632370342446699</v>
      </c>
      <c r="C4106">
        <v>0.86299999999999999</v>
      </c>
      <c r="D4106">
        <v>0.56100000000000005</v>
      </c>
      <c r="E4106">
        <v>7.3704712447558893E-99</v>
      </c>
      <c r="F4106">
        <v>12</v>
      </c>
      <c r="G4106" t="s">
        <v>2511</v>
      </c>
      <c r="H4106" t="s">
        <v>2512</v>
      </c>
      <c r="I4106" t="str">
        <f>HYPERLINK("https://zfin.org/ZDB-GENE-000619-1")</f>
        <v>https://zfin.org/ZDB-GENE-000619-1</v>
      </c>
      <c r="J4106" t="s">
        <v>2513</v>
      </c>
    </row>
    <row r="4107" spans="1:10" x14ac:dyDescent="0.2">
      <c r="A4107">
        <v>1.4047854000833501E-96</v>
      </c>
      <c r="B4107">
        <v>1.1487958112994501</v>
      </c>
      <c r="C4107">
        <v>0.77700000000000002</v>
      </c>
      <c r="D4107">
        <v>0.4</v>
      </c>
      <c r="E4107">
        <v>1.9523707490358298E-92</v>
      </c>
      <c r="F4107">
        <v>12</v>
      </c>
      <c r="G4107" t="s">
        <v>2508</v>
      </c>
      <c r="H4107" t="s">
        <v>2509</v>
      </c>
      <c r="I4107" t="str">
        <f>HYPERLINK("https://zfin.org/ZDB-GENE-050320-109")</f>
        <v>https://zfin.org/ZDB-GENE-050320-109</v>
      </c>
      <c r="J4107" t="s">
        <v>2510</v>
      </c>
    </row>
    <row r="4108" spans="1:10" x14ac:dyDescent="0.2">
      <c r="A4108">
        <v>3.5165021076479699E-96</v>
      </c>
      <c r="B4108">
        <v>0.94639916821735304</v>
      </c>
      <c r="C4108">
        <v>0.94099999999999995</v>
      </c>
      <c r="D4108">
        <v>0.72199999999999998</v>
      </c>
      <c r="E4108">
        <v>4.88723462920915E-92</v>
      </c>
      <c r="F4108">
        <v>12</v>
      </c>
      <c r="G4108" t="s">
        <v>2093</v>
      </c>
      <c r="H4108" t="s">
        <v>2094</v>
      </c>
      <c r="I4108" t="str">
        <f>HYPERLINK("https://zfin.org/ZDB-GENE-040426-2931")</f>
        <v>https://zfin.org/ZDB-GENE-040426-2931</v>
      </c>
      <c r="J4108" t="s">
        <v>2095</v>
      </c>
    </row>
    <row r="4109" spans="1:10" x14ac:dyDescent="0.2">
      <c r="A4109">
        <v>6.2452123100420601E-96</v>
      </c>
      <c r="B4109">
        <v>0.85372309919323197</v>
      </c>
      <c r="C4109">
        <v>0.95799999999999996</v>
      </c>
      <c r="D4109">
        <v>0.79800000000000004</v>
      </c>
      <c r="E4109">
        <v>8.6795960684964504E-92</v>
      </c>
      <c r="F4109">
        <v>12</v>
      </c>
      <c r="G4109" t="s">
        <v>1519</v>
      </c>
      <c r="H4109" t="s">
        <v>1520</v>
      </c>
      <c r="I4109" t="str">
        <f>HYPERLINK("https://zfin.org/ZDB-GENE-990715-6")</f>
        <v>https://zfin.org/ZDB-GENE-990715-6</v>
      </c>
      <c r="J4109" t="s">
        <v>1521</v>
      </c>
    </row>
    <row r="4110" spans="1:10" x14ac:dyDescent="0.2">
      <c r="A4110">
        <v>1.5105309939024801E-89</v>
      </c>
      <c r="B4110">
        <v>1.05552017642445</v>
      </c>
      <c r="C4110">
        <v>0.8</v>
      </c>
      <c r="D4110">
        <v>0.42099999999999999</v>
      </c>
      <c r="E4110">
        <v>2.0993359753256601E-85</v>
      </c>
      <c r="F4110">
        <v>12</v>
      </c>
      <c r="G4110" t="s">
        <v>2319</v>
      </c>
      <c r="H4110" t="s">
        <v>2320</v>
      </c>
      <c r="I4110" t="str">
        <f>HYPERLINK("https://zfin.org/ZDB-GENE-041121-18")</f>
        <v>https://zfin.org/ZDB-GENE-041121-18</v>
      </c>
      <c r="J4110" t="s">
        <v>2321</v>
      </c>
    </row>
    <row r="4111" spans="1:10" x14ac:dyDescent="0.2">
      <c r="A4111">
        <v>2.6628306347576002E-72</v>
      </c>
      <c r="B4111">
        <v>1.4914888281400001</v>
      </c>
      <c r="C4111">
        <v>0.58899999999999997</v>
      </c>
      <c r="D4111">
        <v>0.25700000000000001</v>
      </c>
      <c r="E4111">
        <v>3.7008020161861101E-68</v>
      </c>
      <c r="F4111">
        <v>12</v>
      </c>
      <c r="G4111" t="s">
        <v>2936</v>
      </c>
      <c r="H4111" t="s">
        <v>2937</v>
      </c>
      <c r="I4111" t="str">
        <f>HYPERLINK("https://zfin.org/ZDB-GENE-131127-95")</f>
        <v>https://zfin.org/ZDB-GENE-131127-95</v>
      </c>
      <c r="J4111" t="s">
        <v>2938</v>
      </c>
    </row>
    <row r="4112" spans="1:10" x14ac:dyDescent="0.2">
      <c r="A4112">
        <v>2.12856250307449E-69</v>
      </c>
      <c r="B4112">
        <v>0.82695469885669903</v>
      </c>
      <c r="C4112">
        <v>0.84199999999999997</v>
      </c>
      <c r="D4112">
        <v>0.55700000000000005</v>
      </c>
      <c r="E4112">
        <v>2.9582761667729298E-65</v>
      </c>
      <c r="F4112">
        <v>12</v>
      </c>
      <c r="G4112" t="s">
        <v>2039</v>
      </c>
      <c r="H4112" t="s">
        <v>2040</v>
      </c>
      <c r="I4112" t="str">
        <f>HYPERLINK("https://zfin.org/ZDB-GENE-050308-1")</f>
        <v>https://zfin.org/ZDB-GENE-050308-1</v>
      </c>
      <c r="J4112" t="s">
        <v>2041</v>
      </c>
    </row>
    <row r="4113" spans="1:10" x14ac:dyDescent="0.2">
      <c r="A4113">
        <v>3.4777930033690901E-68</v>
      </c>
      <c r="B4113">
        <v>0.82523114998863201</v>
      </c>
      <c r="C4113">
        <v>0.90300000000000002</v>
      </c>
      <c r="D4113">
        <v>0.66800000000000004</v>
      </c>
      <c r="E4113">
        <v>4.8334367160823597E-64</v>
      </c>
      <c r="F4113">
        <v>12</v>
      </c>
      <c r="G4113" t="s">
        <v>1689</v>
      </c>
      <c r="H4113" t="s">
        <v>1690</v>
      </c>
      <c r="I4113" t="str">
        <f>HYPERLINK("https://zfin.org/ZDB-GENE-101011-2")</f>
        <v>https://zfin.org/ZDB-GENE-101011-2</v>
      </c>
      <c r="J4113" t="s">
        <v>1691</v>
      </c>
    </row>
    <row r="4114" spans="1:10" x14ac:dyDescent="0.2">
      <c r="A4114">
        <v>8.3788194859542702E-65</v>
      </c>
      <c r="B4114">
        <v>0.86097559670079804</v>
      </c>
      <c r="C4114">
        <v>0.74099999999999999</v>
      </c>
      <c r="D4114">
        <v>0.44400000000000001</v>
      </c>
      <c r="E4114">
        <v>1.16448833215792E-60</v>
      </c>
      <c r="F4114">
        <v>12</v>
      </c>
      <c r="G4114" t="s">
        <v>2289</v>
      </c>
      <c r="H4114" t="s">
        <v>2290</v>
      </c>
      <c r="I4114" t="str">
        <f>HYPERLINK("https://zfin.org/ZDB-GENE-030131-4678")</f>
        <v>https://zfin.org/ZDB-GENE-030131-4678</v>
      </c>
      <c r="J4114" t="s">
        <v>2291</v>
      </c>
    </row>
    <row r="4115" spans="1:10" x14ac:dyDescent="0.2">
      <c r="A4115">
        <v>9.9359392228005603E-62</v>
      </c>
      <c r="B4115">
        <v>0.53454679193099297</v>
      </c>
      <c r="C4115">
        <v>0.98699999999999999</v>
      </c>
      <c r="D4115">
        <v>0.92</v>
      </c>
      <c r="E4115">
        <v>1.38089683318482E-57</v>
      </c>
      <c r="F4115">
        <v>12</v>
      </c>
      <c r="G4115" t="s">
        <v>1065</v>
      </c>
      <c r="H4115" t="s">
        <v>1066</v>
      </c>
      <c r="I4115" t="str">
        <f>HYPERLINK("https://zfin.org/ZDB-GENE-030131-3532")</f>
        <v>https://zfin.org/ZDB-GENE-030131-3532</v>
      </c>
      <c r="J4115" t="s">
        <v>1067</v>
      </c>
    </row>
    <row r="4116" spans="1:10" x14ac:dyDescent="0.2">
      <c r="A4116">
        <v>3.9906737000723698E-57</v>
      </c>
      <c r="B4116">
        <v>0.77116319086635998</v>
      </c>
      <c r="C4116">
        <v>0.57699999999999996</v>
      </c>
      <c r="D4116">
        <v>0.251</v>
      </c>
      <c r="E4116">
        <v>5.5462383083605903E-53</v>
      </c>
      <c r="F4116">
        <v>12</v>
      </c>
      <c r="G4116" t="s">
        <v>2673</v>
      </c>
      <c r="H4116" t="s">
        <v>2674</v>
      </c>
      <c r="I4116" t="str">
        <f>HYPERLINK("https://zfin.org/ZDB-GENE-061103-283")</f>
        <v>https://zfin.org/ZDB-GENE-061103-283</v>
      </c>
      <c r="J4116" t="s">
        <v>2675</v>
      </c>
    </row>
    <row r="4117" spans="1:10" x14ac:dyDescent="0.2">
      <c r="A4117">
        <v>6.9746407086187693E-55</v>
      </c>
      <c r="B4117">
        <v>0.77687514369795097</v>
      </c>
      <c r="C4117">
        <v>0.36399999999999999</v>
      </c>
      <c r="D4117">
        <v>0.10299999999999999</v>
      </c>
      <c r="E4117">
        <v>9.6933556568383603E-51</v>
      </c>
      <c r="F4117">
        <v>12</v>
      </c>
      <c r="G4117" t="s">
        <v>6861</v>
      </c>
      <c r="H4117" t="s">
        <v>6862</v>
      </c>
      <c r="I4117" t="str">
        <f>HYPERLINK("https://zfin.org/ZDB-GENE-081104-416")</f>
        <v>https://zfin.org/ZDB-GENE-081104-416</v>
      </c>
      <c r="J4117" t="s">
        <v>6863</v>
      </c>
    </row>
    <row r="4118" spans="1:10" x14ac:dyDescent="0.2">
      <c r="A4118">
        <v>3.3901937892129702E-54</v>
      </c>
      <c r="B4118">
        <v>-1.8665358782872301</v>
      </c>
      <c r="C4118">
        <v>0.81899999999999995</v>
      </c>
      <c r="D4118">
        <v>0.90400000000000003</v>
      </c>
      <c r="E4118">
        <v>4.71169132824819E-50</v>
      </c>
      <c r="F4118">
        <v>12</v>
      </c>
      <c r="G4118" t="s">
        <v>2259</v>
      </c>
      <c r="H4118" t="s">
        <v>2260</v>
      </c>
      <c r="I4118" t="str">
        <f>HYPERLINK("https://zfin.org/ZDB-GENE-121214-193")</f>
        <v>https://zfin.org/ZDB-GENE-121214-193</v>
      </c>
      <c r="J4118" t="s">
        <v>2261</v>
      </c>
    </row>
    <row r="4119" spans="1:10" x14ac:dyDescent="0.2">
      <c r="A4119">
        <v>3.0766934298806E-46</v>
      </c>
      <c r="B4119">
        <v>0.71714128057406301</v>
      </c>
      <c r="C4119">
        <v>0.52</v>
      </c>
      <c r="D4119">
        <v>0.23200000000000001</v>
      </c>
      <c r="E4119">
        <v>4.2759885288480502E-42</v>
      </c>
      <c r="F4119">
        <v>12</v>
      </c>
      <c r="G4119" t="s">
        <v>3014</v>
      </c>
      <c r="H4119" t="s">
        <v>3015</v>
      </c>
      <c r="I4119" t="str">
        <f>HYPERLINK("https://zfin.org/ZDB-GENE-040912-46")</f>
        <v>https://zfin.org/ZDB-GENE-040912-46</v>
      </c>
      <c r="J4119" t="s">
        <v>3016</v>
      </c>
    </row>
    <row r="4120" spans="1:10" x14ac:dyDescent="0.2">
      <c r="A4120">
        <v>1.4284558067796799E-45</v>
      </c>
      <c r="B4120">
        <v>0.54123071844618398</v>
      </c>
      <c r="C4120">
        <v>0.192</v>
      </c>
      <c r="D4120">
        <v>3.1E-2</v>
      </c>
      <c r="E4120">
        <v>1.9852678802624001E-41</v>
      </c>
      <c r="F4120">
        <v>12</v>
      </c>
      <c r="G4120" t="s">
        <v>6864</v>
      </c>
      <c r="H4120" t="s">
        <v>6865</v>
      </c>
      <c r="I4120" t="str">
        <f>HYPERLINK("https://zfin.org/ZDB-GENE-010619-1")</f>
        <v>https://zfin.org/ZDB-GENE-010619-1</v>
      </c>
      <c r="J4120" t="s">
        <v>6866</v>
      </c>
    </row>
    <row r="4121" spans="1:10" x14ac:dyDescent="0.2">
      <c r="A4121">
        <v>1.0378372680394301E-44</v>
      </c>
      <c r="B4121">
        <v>0.38669152955682901</v>
      </c>
      <c r="C4121">
        <v>0.98499999999999999</v>
      </c>
      <c r="D4121">
        <v>0.95599999999999996</v>
      </c>
      <c r="E4121">
        <v>1.4423862351212E-40</v>
      </c>
      <c r="F4121">
        <v>12</v>
      </c>
      <c r="G4121" t="s">
        <v>1032</v>
      </c>
      <c r="H4121" t="s">
        <v>1033</v>
      </c>
      <c r="I4121" t="str">
        <f>HYPERLINK("https://zfin.org/ZDB-GENE-040426-2315")</f>
        <v>https://zfin.org/ZDB-GENE-040426-2315</v>
      </c>
      <c r="J4121" t="s">
        <v>1034</v>
      </c>
    </row>
    <row r="4122" spans="1:10" x14ac:dyDescent="0.2">
      <c r="A4122">
        <v>2.23321442315737E-44</v>
      </c>
      <c r="B4122">
        <v>0.43014657059338202</v>
      </c>
      <c r="C4122">
        <v>0.96</v>
      </c>
      <c r="D4122">
        <v>0.88800000000000001</v>
      </c>
      <c r="E4122">
        <v>3.1037214053041198E-40</v>
      </c>
      <c r="F4122">
        <v>12</v>
      </c>
      <c r="G4122" t="s">
        <v>6867</v>
      </c>
      <c r="H4122" t="s">
        <v>6868</v>
      </c>
      <c r="I4122" t="str">
        <f>HYPERLINK("https://zfin.org/ZDB-GENE-041010-42")</f>
        <v>https://zfin.org/ZDB-GENE-041010-42</v>
      </c>
      <c r="J4122" t="s">
        <v>6869</v>
      </c>
    </row>
    <row r="4123" spans="1:10" x14ac:dyDescent="0.2">
      <c r="A4123">
        <v>4.30855431260326E-44</v>
      </c>
      <c r="B4123">
        <v>0.55825558155258903</v>
      </c>
      <c r="C4123">
        <v>0.85499999999999998</v>
      </c>
      <c r="D4123">
        <v>0.69199999999999995</v>
      </c>
      <c r="E4123">
        <v>5.9880287836560099E-40</v>
      </c>
      <c r="F4123">
        <v>12</v>
      </c>
      <c r="G4123" t="s">
        <v>1719</v>
      </c>
      <c r="H4123" t="s">
        <v>1720</v>
      </c>
      <c r="I4123" t="str">
        <f>HYPERLINK("https://zfin.org/ZDB-GENE-030131-2524")</f>
        <v>https://zfin.org/ZDB-GENE-030131-2524</v>
      </c>
      <c r="J4123" t="s">
        <v>1721</v>
      </c>
    </row>
    <row r="4124" spans="1:10" x14ac:dyDescent="0.2">
      <c r="A4124">
        <v>7.6587926091719698E-44</v>
      </c>
      <c r="B4124">
        <v>0.63367361703621095</v>
      </c>
      <c r="C4124">
        <v>0.77500000000000002</v>
      </c>
      <c r="D4124">
        <v>0.59199999999999997</v>
      </c>
      <c r="E4124">
        <v>1.0644189968227199E-39</v>
      </c>
      <c r="F4124">
        <v>12</v>
      </c>
      <c r="G4124" t="s">
        <v>4767</v>
      </c>
      <c r="H4124" t="s">
        <v>4768</v>
      </c>
      <c r="I4124" t="str">
        <f>HYPERLINK("https://zfin.org/ZDB-GENE-031118-36")</f>
        <v>https://zfin.org/ZDB-GENE-031118-36</v>
      </c>
      <c r="J4124" t="s">
        <v>4769</v>
      </c>
    </row>
    <row r="4125" spans="1:10" x14ac:dyDescent="0.2">
      <c r="A4125">
        <v>1.40034836164344E-43</v>
      </c>
      <c r="B4125">
        <v>0.68312787563155197</v>
      </c>
      <c r="C4125">
        <v>0.23400000000000001</v>
      </c>
      <c r="D4125">
        <v>5.0999999999999997E-2</v>
      </c>
      <c r="E4125">
        <v>1.94620415301206E-39</v>
      </c>
      <c r="F4125">
        <v>12</v>
      </c>
      <c r="G4125" t="s">
        <v>6870</v>
      </c>
      <c r="H4125" t="s">
        <v>6871</v>
      </c>
      <c r="I4125" t="str">
        <f>HYPERLINK("https://zfin.org/ZDB-GENE-030918-2")</f>
        <v>https://zfin.org/ZDB-GENE-030918-2</v>
      </c>
      <c r="J4125" t="s">
        <v>6872</v>
      </c>
    </row>
    <row r="4126" spans="1:10" x14ac:dyDescent="0.2">
      <c r="A4126">
        <v>2.0455051475400001E-41</v>
      </c>
      <c r="B4126">
        <v>0.66016686123714396</v>
      </c>
      <c r="C4126">
        <v>0.67200000000000004</v>
      </c>
      <c r="D4126">
        <v>0.41299999999999998</v>
      </c>
      <c r="E4126">
        <v>2.8428430540510902E-37</v>
      </c>
      <c r="F4126">
        <v>12</v>
      </c>
      <c r="G4126" t="s">
        <v>2466</v>
      </c>
      <c r="H4126" t="s">
        <v>2467</v>
      </c>
      <c r="I4126" t="str">
        <f>HYPERLINK("https://zfin.org/ZDB-GENE-010412-1")</f>
        <v>https://zfin.org/ZDB-GENE-010412-1</v>
      </c>
      <c r="J4126" t="s">
        <v>2468</v>
      </c>
    </row>
    <row r="4127" spans="1:10" x14ac:dyDescent="0.2">
      <c r="A4127">
        <v>2.0723430725421101E-39</v>
      </c>
      <c r="B4127">
        <v>0.72127636021805197</v>
      </c>
      <c r="C4127">
        <v>0.58699999999999997</v>
      </c>
      <c r="D4127">
        <v>0.32700000000000001</v>
      </c>
      <c r="E4127">
        <v>2.8801424022190201E-35</v>
      </c>
      <c r="F4127">
        <v>12</v>
      </c>
      <c r="G4127" t="s">
        <v>4713</v>
      </c>
      <c r="H4127" t="s">
        <v>4714</v>
      </c>
      <c r="I4127" t="str">
        <f>HYPERLINK("https://zfin.org/ZDB-GENE-030131-7103")</f>
        <v>https://zfin.org/ZDB-GENE-030131-7103</v>
      </c>
      <c r="J4127" t="s">
        <v>4715</v>
      </c>
    </row>
    <row r="4128" spans="1:10" x14ac:dyDescent="0.2">
      <c r="A4128">
        <v>6.2380140393413699E-38</v>
      </c>
      <c r="B4128">
        <v>0.49212761524844401</v>
      </c>
      <c r="C4128">
        <v>0.79600000000000004</v>
      </c>
      <c r="D4128">
        <v>0.57199999999999995</v>
      </c>
      <c r="E4128">
        <v>8.6695919118766401E-34</v>
      </c>
      <c r="F4128">
        <v>12</v>
      </c>
      <c r="G4128" t="s">
        <v>2153</v>
      </c>
      <c r="H4128" t="s">
        <v>2154</v>
      </c>
      <c r="I4128" t="str">
        <f>HYPERLINK("https://zfin.org/ZDB-GENE-031016-2")</f>
        <v>https://zfin.org/ZDB-GENE-031016-2</v>
      </c>
      <c r="J4128" t="s">
        <v>2155</v>
      </c>
    </row>
    <row r="4129" spans="1:10" x14ac:dyDescent="0.2">
      <c r="A4129">
        <v>1.45490640168435E-37</v>
      </c>
      <c r="B4129">
        <v>0.38365468204707298</v>
      </c>
      <c r="C4129">
        <v>0.96399999999999997</v>
      </c>
      <c r="D4129">
        <v>0.85499999999999998</v>
      </c>
      <c r="E4129">
        <v>2.02202891706091E-33</v>
      </c>
      <c r="F4129">
        <v>12</v>
      </c>
      <c r="G4129" t="s">
        <v>1116</v>
      </c>
      <c r="H4129" t="s">
        <v>1117</v>
      </c>
      <c r="I4129" t="str">
        <f>HYPERLINK("https://zfin.org/ZDB-GENE-110411-160")</f>
        <v>https://zfin.org/ZDB-GENE-110411-160</v>
      </c>
      <c r="J4129" t="s">
        <v>1118</v>
      </c>
    </row>
    <row r="4130" spans="1:10" x14ac:dyDescent="0.2">
      <c r="A4130">
        <v>4.1088868830549003E-37</v>
      </c>
      <c r="B4130">
        <v>0.45431245112074198</v>
      </c>
      <c r="C4130">
        <v>0.92</v>
      </c>
      <c r="D4130">
        <v>0.77900000000000003</v>
      </c>
      <c r="E4130">
        <v>5.7105309900697002E-33</v>
      </c>
      <c r="F4130">
        <v>12</v>
      </c>
      <c r="G4130" t="s">
        <v>1227</v>
      </c>
      <c r="H4130" t="s">
        <v>1228</v>
      </c>
      <c r="I4130" t="str">
        <f>HYPERLINK("https://zfin.org/ZDB-GENE-060316-3")</f>
        <v>https://zfin.org/ZDB-GENE-060316-3</v>
      </c>
      <c r="J4130" t="s">
        <v>1229</v>
      </c>
    </row>
    <row r="4131" spans="1:10" x14ac:dyDescent="0.2">
      <c r="A4131">
        <v>2.4536889032644901E-36</v>
      </c>
      <c r="B4131">
        <v>0.51315188034164105</v>
      </c>
      <c r="C4131">
        <v>0.79200000000000004</v>
      </c>
      <c r="D4131">
        <v>0.57699999999999996</v>
      </c>
      <c r="E4131">
        <v>3.4101368377569902E-32</v>
      </c>
      <c r="F4131">
        <v>12</v>
      </c>
      <c r="G4131" t="s">
        <v>2042</v>
      </c>
      <c r="H4131" t="s">
        <v>2043</v>
      </c>
      <c r="I4131" t="str">
        <f>HYPERLINK("https://zfin.org/ZDB-GENE-110411-217")</f>
        <v>https://zfin.org/ZDB-GENE-110411-217</v>
      </c>
      <c r="J4131" t="s">
        <v>2044</v>
      </c>
    </row>
    <row r="4132" spans="1:10" x14ac:dyDescent="0.2">
      <c r="A4132">
        <v>3.8740994440204103E-36</v>
      </c>
      <c r="B4132">
        <v>-1.72348999638825</v>
      </c>
      <c r="C4132">
        <v>0.754</v>
      </c>
      <c r="D4132">
        <v>0.86399999999999999</v>
      </c>
      <c r="E4132">
        <v>5.3842234072995699E-32</v>
      </c>
      <c r="F4132">
        <v>12</v>
      </c>
      <c r="G4132" t="s">
        <v>1967</v>
      </c>
      <c r="H4132" t="s">
        <v>1968</v>
      </c>
      <c r="I4132" t="str">
        <f>HYPERLINK("https://zfin.org/ZDB-GENE-070705-532")</f>
        <v>https://zfin.org/ZDB-GENE-070705-532</v>
      </c>
      <c r="J4132" t="s">
        <v>1969</v>
      </c>
    </row>
    <row r="4133" spans="1:10" x14ac:dyDescent="0.2">
      <c r="A4133">
        <v>6.7565776243682496E-36</v>
      </c>
      <c r="B4133">
        <v>0.749557684836619</v>
      </c>
      <c r="C4133">
        <v>0.41699999999999998</v>
      </c>
      <c r="D4133">
        <v>0.188</v>
      </c>
      <c r="E4133">
        <v>9.3902915823469904E-32</v>
      </c>
      <c r="F4133">
        <v>12</v>
      </c>
      <c r="G4133" t="s">
        <v>3169</v>
      </c>
      <c r="H4133" t="s">
        <v>3170</v>
      </c>
      <c r="I4133" t="str">
        <f>HYPERLINK("https://zfin.org/ZDB-GENE-030715-1")</f>
        <v>https://zfin.org/ZDB-GENE-030715-1</v>
      </c>
      <c r="J4133" t="s">
        <v>3171</v>
      </c>
    </row>
    <row r="4134" spans="1:10" x14ac:dyDescent="0.2">
      <c r="A4134">
        <v>1.08185192141418E-35</v>
      </c>
      <c r="B4134">
        <v>0.58801068491580999</v>
      </c>
      <c r="C4134">
        <v>0.69299999999999995</v>
      </c>
      <c r="D4134">
        <v>0.47599999999999998</v>
      </c>
      <c r="E4134">
        <v>1.5035578003814201E-31</v>
      </c>
      <c r="F4134">
        <v>12</v>
      </c>
      <c r="G4134" t="s">
        <v>1329</v>
      </c>
      <c r="H4134" t="s">
        <v>1330</v>
      </c>
      <c r="I4134" t="str">
        <f>HYPERLINK("https://zfin.org/ZDB-GENE-030131-8541")</f>
        <v>https://zfin.org/ZDB-GENE-030131-8541</v>
      </c>
      <c r="J4134" t="s">
        <v>1331</v>
      </c>
    </row>
    <row r="4135" spans="1:10" x14ac:dyDescent="0.2">
      <c r="A4135">
        <v>1.31513002308586E-35</v>
      </c>
      <c r="B4135">
        <v>0.446517259737578</v>
      </c>
      <c r="C4135">
        <v>0.92</v>
      </c>
      <c r="D4135">
        <v>0.80200000000000005</v>
      </c>
      <c r="E4135">
        <v>1.8277677060847199E-31</v>
      </c>
      <c r="F4135">
        <v>12</v>
      </c>
      <c r="G4135" t="s">
        <v>2969</v>
      </c>
      <c r="H4135" t="s">
        <v>2970</v>
      </c>
      <c r="I4135" t="str">
        <f>HYPERLINK("https://zfin.org/ZDB-GENE-030410-5")</f>
        <v>https://zfin.org/ZDB-GENE-030410-5</v>
      </c>
      <c r="J4135" t="s">
        <v>2971</v>
      </c>
    </row>
    <row r="4136" spans="1:10" x14ac:dyDescent="0.2">
      <c r="A4136">
        <v>1.15549099628444E-34</v>
      </c>
      <c r="B4136">
        <v>0.32356907148411201</v>
      </c>
      <c r="C4136">
        <v>0.996</v>
      </c>
      <c r="D4136">
        <v>0.93200000000000005</v>
      </c>
      <c r="E4136">
        <v>1.6059013866361201E-30</v>
      </c>
      <c r="F4136">
        <v>12</v>
      </c>
      <c r="G4136" t="s">
        <v>1221</v>
      </c>
      <c r="H4136" t="s">
        <v>1222</v>
      </c>
      <c r="I4136" t="str">
        <f>HYPERLINK("https://zfin.org/ZDB-GENE-040426-1508")</f>
        <v>https://zfin.org/ZDB-GENE-040426-1508</v>
      </c>
      <c r="J4136" t="s">
        <v>1223</v>
      </c>
    </row>
    <row r="4137" spans="1:10" x14ac:dyDescent="0.2">
      <c r="A4137">
        <v>1.5206737968517399E-34</v>
      </c>
      <c r="B4137">
        <v>0.590898266410263</v>
      </c>
      <c r="C4137">
        <v>0.70099999999999996</v>
      </c>
      <c r="D4137">
        <v>0.48899999999999999</v>
      </c>
      <c r="E4137">
        <v>2.1134324428645501E-30</v>
      </c>
      <c r="F4137">
        <v>12</v>
      </c>
      <c r="G4137" t="s">
        <v>2304</v>
      </c>
      <c r="H4137" t="s">
        <v>2305</v>
      </c>
      <c r="I4137" t="str">
        <f>HYPERLINK("https://zfin.org/ZDB-GENE-160728-87")</f>
        <v>https://zfin.org/ZDB-GENE-160728-87</v>
      </c>
      <c r="J4137" t="s">
        <v>2306</v>
      </c>
    </row>
    <row r="4138" spans="1:10" x14ac:dyDescent="0.2">
      <c r="A4138">
        <v>2.16449255781689E-34</v>
      </c>
      <c r="B4138">
        <v>0.61090399014147201</v>
      </c>
      <c r="C4138">
        <v>0.65100000000000002</v>
      </c>
      <c r="D4138">
        <v>0.41699999999999998</v>
      </c>
      <c r="E4138">
        <v>3.0082117568539201E-30</v>
      </c>
      <c r="F4138">
        <v>12</v>
      </c>
      <c r="G4138" t="s">
        <v>4593</v>
      </c>
      <c r="H4138" t="s">
        <v>4594</v>
      </c>
      <c r="I4138" t="str">
        <f>HYPERLINK("https://zfin.org/ZDB-GENE-030131-3570")</f>
        <v>https://zfin.org/ZDB-GENE-030131-3570</v>
      </c>
      <c r="J4138" t="s">
        <v>4595</v>
      </c>
    </row>
    <row r="4139" spans="1:10" x14ac:dyDescent="0.2">
      <c r="A4139">
        <v>5.4477240363431999E-33</v>
      </c>
      <c r="B4139">
        <v>0.49879304025493398</v>
      </c>
      <c r="C4139">
        <v>0.8</v>
      </c>
      <c r="D4139">
        <v>0.56299999999999994</v>
      </c>
      <c r="E4139">
        <v>7.5712468657097696E-29</v>
      </c>
      <c r="F4139">
        <v>12</v>
      </c>
      <c r="G4139" t="s">
        <v>2170</v>
      </c>
      <c r="H4139" t="s">
        <v>2171</v>
      </c>
      <c r="I4139" t="str">
        <f>HYPERLINK("https://zfin.org/ZDB-GENE-040426-2826")</f>
        <v>https://zfin.org/ZDB-GENE-040426-2826</v>
      </c>
      <c r="J4139" t="s">
        <v>2172</v>
      </c>
    </row>
    <row r="4140" spans="1:10" x14ac:dyDescent="0.2">
      <c r="A4140">
        <v>9.7482527183623502E-33</v>
      </c>
      <c r="B4140">
        <v>0.76100996274556099</v>
      </c>
      <c r="C4140">
        <v>0.59799999999999998</v>
      </c>
      <c r="D4140">
        <v>0.372</v>
      </c>
      <c r="E4140">
        <v>1.3548121627979999E-28</v>
      </c>
      <c r="F4140">
        <v>12</v>
      </c>
      <c r="G4140" t="s">
        <v>2556</v>
      </c>
      <c r="H4140" t="s">
        <v>2557</v>
      </c>
      <c r="I4140" t="str">
        <f>HYPERLINK("https://zfin.org/ZDB-GENE-980526-144")</f>
        <v>https://zfin.org/ZDB-GENE-980526-144</v>
      </c>
      <c r="J4140" t="s">
        <v>2558</v>
      </c>
    </row>
    <row r="4141" spans="1:10" x14ac:dyDescent="0.2">
      <c r="A4141">
        <v>1.20671022187297E-32</v>
      </c>
      <c r="B4141">
        <v>-0.935017355961964</v>
      </c>
      <c r="C4141">
        <v>0.16600000000000001</v>
      </c>
      <c r="D4141">
        <v>0.45400000000000001</v>
      </c>
      <c r="E4141">
        <v>1.67708586635905E-28</v>
      </c>
      <c r="F4141">
        <v>12</v>
      </c>
      <c r="G4141" t="s">
        <v>2697</v>
      </c>
      <c r="H4141" t="s">
        <v>2698</v>
      </c>
      <c r="I4141" t="str">
        <f>HYPERLINK("https://zfin.org/ZDB-GENE-141215-49")</f>
        <v>https://zfin.org/ZDB-GENE-141215-49</v>
      </c>
      <c r="J4141" t="s">
        <v>2699</v>
      </c>
    </row>
    <row r="4142" spans="1:10" x14ac:dyDescent="0.2">
      <c r="A4142">
        <v>1.33467159914933E-32</v>
      </c>
      <c r="B4142">
        <v>0.65102952759825095</v>
      </c>
      <c r="C4142">
        <v>0.52600000000000002</v>
      </c>
      <c r="D4142">
        <v>0.28399999999999997</v>
      </c>
      <c r="E4142">
        <v>1.85492658849774E-28</v>
      </c>
      <c r="F4142">
        <v>12</v>
      </c>
      <c r="G4142" t="s">
        <v>3163</v>
      </c>
      <c r="H4142" t="s">
        <v>3164</v>
      </c>
      <c r="I4142" t="str">
        <f>HYPERLINK("https://zfin.org/ZDB-GENE-030131-8455")</f>
        <v>https://zfin.org/ZDB-GENE-030131-8455</v>
      </c>
      <c r="J4142" t="s">
        <v>3165</v>
      </c>
    </row>
    <row r="4143" spans="1:10" x14ac:dyDescent="0.2">
      <c r="A4143">
        <v>3.0905949913125098E-32</v>
      </c>
      <c r="B4143">
        <v>0.51890383914946603</v>
      </c>
      <c r="C4143">
        <v>0.75800000000000001</v>
      </c>
      <c r="D4143">
        <v>0.55600000000000005</v>
      </c>
      <c r="E4143">
        <v>4.2953089189261302E-28</v>
      </c>
      <c r="F4143">
        <v>12</v>
      </c>
      <c r="G4143" t="s">
        <v>2253</v>
      </c>
      <c r="H4143" t="s">
        <v>2254</v>
      </c>
      <c r="I4143" t="str">
        <f>HYPERLINK("https://zfin.org/ZDB-GENE-030131-9914")</f>
        <v>https://zfin.org/ZDB-GENE-030131-9914</v>
      </c>
      <c r="J4143" t="s">
        <v>2255</v>
      </c>
    </row>
    <row r="4144" spans="1:10" x14ac:dyDescent="0.2">
      <c r="A4144">
        <v>3.9562729764256899E-32</v>
      </c>
      <c r="B4144">
        <v>0.75834386574541801</v>
      </c>
      <c r="C4144">
        <v>0.505</v>
      </c>
      <c r="D4144">
        <v>0.27</v>
      </c>
      <c r="E4144">
        <v>5.4984281826364198E-28</v>
      </c>
      <c r="F4144">
        <v>12</v>
      </c>
      <c r="G4144" t="s">
        <v>2739</v>
      </c>
      <c r="H4144" t="s">
        <v>2740</v>
      </c>
      <c r="I4144" t="str">
        <f>HYPERLINK("https://zfin.org/ZDB-GENE-051030-98")</f>
        <v>https://zfin.org/ZDB-GENE-051030-98</v>
      </c>
      <c r="J4144" t="s">
        <v>2741</v>
      </c>
    </row>
    <row r="4145" spans="1:10" x14ac:dyDescent="0.2">
      <c r="A4145">
        <v>5.6430996994942895E-32</v>
      </c>
      <c r="B4145">
        <v>0.62830018319792902</v>
      </c>
      <c r="C4145">
        <v>0.57899999999999996</v>
      </c>
      <c r="D4145">
        <v>0.36299999999999999</v>
      </c>
      <c r="E4145">
        <v>7.8427799623571601E-28</v>
      </c>
      <c r="F4145">
        <v>12</v>
      </c>
      <c r="G4145" t="s">
        <v>6606</v>
      </c>
      <c r="H4145" t="s">
        <v>6607</v>
      </c>
      <c r="I4145" t="str">
        <f>HYPERLINK("https://zfin.org/ZDB-GENE-050419-45")</f>
        <v>https://zfin.org/ZDB-GENE-050419-45</v>
      </c>
      <c r="J4145" t="s">
        <v>6608</v>
      </c>
    </row>
    <row r="4146" spans="1:10" x14ac:dyDescent="0.2">
      <c r="A4146">
        <v>1.2923314987497799E-31</v>
      </c>
      <c r="B4146">
        <v>0.61444213046437701</v>
      </c>
      <c r="C4146">
        <v>0.4</v>
      </c>
      <c r="D4146">
        <v>0.17799999999999999</v>
      </c>
      <c r="E4146">
        <v>1.7960823169624499E-27</v>
      </c>
      <c r="F4146">
        <v>12</v>
      </c>
      <c r="G4146" t="s">
        <v>6873</v>
      </c>
      <c r="H4146" t="s">
        <v>6874</v>
      </c>
      <c r="I4146" t="str">
        <f>HYPERLINK("https://zfin.org/ZDB-GENE-070112-1732")</f>
        <v>https://zfin.org/ZDB-GENE-070112-1732</v>
      </c>
      <c r="J4146" t="s">
        <v>6875</v>
      </c>
    </row>
    <row r="4147" spans="1:10" x14ac:dyDescent="0.2">
      <c r="A4147">
        <v>1.1982266814665601E-30</v>
      </c>
      <c r="B4147">
        <v>0.72651694673477396</v>
      </c>
      <c r="C4147">
        <v>0.41499999999999998</v>
      </c>
      <c r="D4147">
        <v>0.20799999999999999</v>
      </c>
      <c r="E4147">
        <v>1.6652954419022301E-26</v>
      </c>
      <c r="F4147">
        <v>12</v>
      </c>
      <c r="G4147" t="s">
        <v>6876</v>
      </c>
      <c r="H4147" t="s">
        <v>6877</v>
      </c>
      <c r="I4147" t="str">
        <f>HYPERLINK("https://zfin.org/ZDB-GENE-080506-2")</f>
        <v>https://zfin.org/ZDB-GENE-080506-2</v>
      </c>
      <c r="J4147" t="s">
        <v>6878</v>
      </c>
    </row>
    <row r="4148" spans="1:10" x14ac:dyDescent="0.2">
      <c r="A4148">
        <v>6.5024909501741105E-30</v>
      </c>
      <c r="B4148">
        <v>0.50834687990891003</v>
      </c>
      <c r="C4148">
        <v>0.14299999999999999</v>
      </c>
      <c r="D4148">
        <v>2.7E-2</v>
      </c>
      <c r="E4148">
        <v>9.0371619225519796E-26</v>
      </c>
      <c r="F4148">
        <v>12</v>
      </c>
      <c r="G4148" t="s">
        <v>6879</v>
      </c>
      <c r="H4148" t="s">
        <v>6880</v>
      </c>
      <c r="I4148" t="str">
        <f>HYPERLINK("https://zfin.org/ZDB-GENE-140819-1")</f>
        <v>https://zfin.org/ZDB-GENE-140819-1</v>
      </c>
      <c r="J4148" t="s">
        <v>6881</v>
      </c>
    </row>
    <row r="4149" spans="1:10" x14ac:dyDescent="0.2">
      <c r="A4149">
        <v>8.3127616946008904E-30</v>
      </c>
      <c r="B4149">
        <v>0.61022752412195003</v>
      </c>
      <c r="C4149">
        <v>0.56599999999999995</v>
      </c>
      <c r="D4149">
        <v>0.35599999999999998</v>
      </c>
      <c r="E4149">
        <v>1.15530762031563E-25</v>
      </c>
      <c r="F4149">
        <v>12</v>
      </c>
      <c r="G4149" t="s">
        <v>4770</v>
      </c>
      <c r="H4149" t="s">
        <v>4771</v>
      </c>
      <c r="I4149" t="str">
        <f>HYPERLINK("https://zfin.org/ZDB-GENE-040426-2382")</f>
        <v>https://zfin.org/ZDB-GENE-040426-2382</v>
      </c>
      <c r="J4149" t="s">
        <v>4772</v>
      </c>
    </row>
    <row r="4150" spans="1:10" x14ac:dyDescent="0.2">
      <c r="A4150">
        <v>2.17443757321298E-29</v>
      </c>
      <c r="B4150">
        <v>0.56003917573832895</v>
      </c>
      <c r="C4150">
        <v>0.67800000000000005</v>
      </c>
      <c r="D4150">
        <v>0.499</v>
      </c>
      <c r="E4150">
        <v>3.0220333392513902E-25</v>
      </c>
      <c r="F4150">
        <v>12</v>
      </c>
      <c r="G4150" t="s">
        <v>5120</v>
      </c>
      <c r="H4150" t="s">
        <v>5121</v>
      </c>
      <c r="I4150" t="str">
        <f>HYPERLINK("https://zfin.org/ZDB-GENE-030521-13")</f>
        <v>https://zfin.org/ZDB-GENE-030521-13</v>
      </c>
      <c r="J4150" t="s">
        <v>5122</v>
      </c>
    </row>
    <row r="4151" spans="1:10" x14ac:dyDescent="0.2">
      <c r="A4151">
        <v>9.3982415717092801E-29</v>
      </c>
      <c r="B4151">
        <v>-0.78658806447783103</v>
      </c>
      <c r="C4151">
        <v>7.3999999999999996E-2</v>
      </c>
      <c r="D4151">
        <v>0.32500000000000001</v>
      </c>
      <c r="E4151">
        <v>1.30616761363616E-24</v>
      </c>
      <c r="F4151">
        <v>12</v>
      </c>
      <c r="G4151" t="s">
        <v>2751</v>
      </c>
      <c r="H4151" t="s">
        <v>2752</v>
      </c>
      <c r="I4151" t="str">
        <f>HYPERLINK("https://zfin.org/ZDB-GENE-980605-16")</f>
        <v>https://zfin.org/ZDB-GENE-980605-16</v>
      </c>
      <c r="J4151" t="s">
        <v>2753</v>
      </c>
    </row>
    <row r="4152" spans="1:10" x14ac:dyDescent="0.2">
      <c r="A4152">
        <v>5.0228776753284002E-28</v>
      </c>
      <c r="B4152">
        <v>0.52276053598481997</v>
      </c>
      <c r="C4152">
        <v>0.70299999999999996</v>
      </c>
      <c r="D4152">
        <v>0.57499999999999996</v>
      </c>
      <c r="E4152">
        <v>6.9807953931714096E-24</v>
      </c>
      <c r="F4152">
        <v>12</v>
      </c>
      <c r="G4152" t="s">
        <v>3312</v>
      </c>
      <c r="H4152" t="s">
        <v>3313</v>
      </c>
      <c r="I4152" t="str">
        <f>HYPERLINK("https://zfin.org/ZDB-GENE-030131-9784")</f>
        <v>https://zfin.org/ZDB-GENE-030131-9784</v>
      </c>
      <c r="J4152" t="s">
        <v>3314</v>
      </c>
    </row>
    <row r="4153" spans="1:10" x14ac:dyDescent="0.2">
      <c r="A4153">
        <v>4.1423226456315597E-27</v>
      </c>
      <c r="B4153">
        <v>0.53357520486716503</v>
      </c>
      <c r="C4153">
        <v>0.58899999999999997</v>
      </c>
      <c r="D4153">
        <v>0.372</v>
      </c>
      <c r="E4153">
        <v>5.7570000128987503E-23</v>
      </c>
      <c r="F4153">
        <v>12</v>
      </c>
      <c r="G4153" t="s">
        <v>2457</v>
      </c>
      <c r="H4153" t="s">
        <v>2458</v>
      </c>
      <c r="I4153" t="str">
        <f>HYPERLINK("https://zfin.org/ZDB-GENE-070424-30")</f>
        <v>https://zfin.org/ZDB-GENE-070424-30</v>
      </c>
      <c r="J4153" t="s">
        <v>2459</v>
      </c>
    </row>
    <row r="4154" spans="1:10" x14ac:dyDescent="0.2">
      <c r="A4154">
        <v>1.3990932720052399E-26</v>
      </c>
      <c r="B4154">
        <v>0.51450294743392599</v>
      </c>
      <c r="C4154">
        <v>0.22500000000000001</v>
      </c>
      <c r="D4154">
        <v>7.2999999999999995E-2</v>
      </c>
      <c r="E4154">
        <v>1.9444598294328801E-22</v>
      </c>
      <c r="F4154">
        <v>12</v>
      </c>
      <c r="G4154" t="s">
        <v>6882</v>
      </c>
      <c r="H4154" t="s">
        <v>6883</v>
      </c>
      <c r="I4154" t="str">
        <f>HYPERLINK("https://zfin.org/ZDB-GENE-040912-141")</f>
        <v>https://zfin.org/ZDB-GENE-040912-141</v>
      </c>
      <c r="J4154" t="s">
        <v>6884</v>
      </c>
    </row>
    <row r="4155" spans="1:10" x14ac:dyDescent="0.2">
      <c r="A4155">
        <v>3.2137681231125101E-26</v>
      </c>
      <c r="B4155">
        <v>-0.95147323340916001</v>
      </c>
      <c r="C4155">
        <v>0.08</v>
      </c>
      <c r="D4155">
        <v>0.314</v>
      </c>
      <c r="E4155">
        <v>4.4664949375017703E-22</v>
      </c>
      <c r="F4155">
        <v>12</v>
      </c>
      <c r="G4155" t="s">
        <v>2864</v>
      </c>
      <c r="H4155" t="s">
        <v>2865</v>
      </c>
      <c r="I4155" t="str">
        <f>HYPERLINK("https://zfin.org/ZDB-GENE-110411-139")</f>
        <v>https://zfin.org/ZDB-GENE-110411-139</v>
      </c>
      <c r="J4155" t="s">
        <v>2866</v>
      </c>
    </row>
    <row r="4156" spans="1:10" x14ac:dyDescent="0.2">
      <c r="A4156">
        <v>5.3135149497687898E-26</v>
      </c>
      <c r="B4156">
        <v>0.45944269732027698</v>
      </c>
      <c r="C4156">
        <v>0.85499999999999998</v>
      </c>
      <c r="D4156">
        <v>0.754</v>
      </c>
      <c r="E4156">
        <v>7.3847230771886597E-22</v>
      </c>
      <c r="F4156">
        <v>12</v>
      </c>
      <c r="G4156" t="s">
        <v>1827</v>
      </c>
      <c r="H4156" t="s">
        <v>1828</v>
      </c>
      <c r="I4156" t="str">
        <f>HYPERLINK("https://zfin.org/ZDB-GENE-050307-5")</f>
        <v>https://zfin.org/ZDB-GENE-050307-5</v>
      </c>
      <c r="J4156" t="s">
        <v>1829</v>
      </c>
    </row>
    <row r="4157" spans="1:10" x14ac:dyDescent="0.2">
      <c r="A4157">
        <v>7.6388682563052505E-26</v>
      </c>
      <c r="B4157">
        <v>0.56558915792267705</v>
      </c>
      <c r="C4157">
        <v>0.377</v>
      </c>
      <c r="D4157">
        <v>0.18099999999999999</v>
      </c>
      <c r="E4157">
        <v>1.0616499102612999E-21</v>
      </c>
      <c r="F4157">
        <v>12</v>
      </c>
      <c r="G4157" t="s">
        <v>6885</v>
      </c>
      <c r="H4157" t="s">
        <v>6886</v>
      </c>
      <c r="I4157" t="str">
        <f>HYPERLINK("https://zfin.org/ZDB-GENE-010319-40")</f>
        <v>https://zfin.org/ZDB-GENE-010319-40</v>
      </c>
      <c r="J4157" t="s">
        <v>6887</v>
      </c>
    </row>
    <row r="4158" spans="1:10" x14ac:dyDescent="0.2">
      <c r="A4158">
        <v>1.2079195432267599E-25</v>
      </c>
      <c r="B4158">
        <v>-0.73762935935097096</v>
      </c>
      <c r="C4158">
        <v>0.156</v>
      </c>
      <c r="D4158">
        <v>0.41099999999999998</v>
      </c>
      <c r="E4158">
        <v>1.6787665811765499E-21</v>
      </c>
      <c r="F4158">
        <v>12</v>
      </c>
      <c r="G4158" t="s">
        <v>2580</v>
      </c>
      <c r="H4158" t="s">
        <v>2581</v>
      </c>
      <c r="I4158" t="str">
        <f>HYPERLINK("https://zfin.org/ZDB-GENE-030131-9790")</f>
        <v>https://zfin.org/ZDB-GENE-030131-9790</v>
      </c>
      <c r="J4158" t="s">
        <v>2582</v>
      </c>
    </row>
    <row r="4159" spans="1:10" x14ac:dyDescent="0.2">
      <c r="A4159">
        <v>1.65406461509659E-25</v>
      </c>
      <c r="B4159">
        <v>-0.839656609680552</v>
      </c>
      <c r="C4159">
        <v>0.105</v>
      </c>
      <c r="D4159">
        <v>0.33900000000000002</v>
      </c>
      <c r="E4159">
        <v>2.29881900206124E-21</v>
      </c>
      <c r="F4159">
        <v>12</v>
      </c>
      <c r="G4159" t="s">
        <v>942</v>
      </c>
      <c r="H4159" t="s">
        <v>943</v>
      </c>
      <c r="I4159" t="str">
        <f>HYPERLINK("https://zfin.org/ZDB-GENE-040801-218")</f>
        <v>https://zfin.org/ZDB-GENE-040801-218</v>
      </c>
      <c r="J4159" t="s">
        <v>944</v>
      </c>
    </row>
    <row r="4160" spans="1:10" x14ac:dyDescent="0.2">
      <c r="A4160">
        <v>2.01215309807378E-25</v>
      </c>
      <c r="B4160">
        <v>-0.86860245892252896</v>
      </c>
      <c r="C4160">
        <v>7.3999999999999996E-2</v>
      </c>
      <c r="D4160">
        <v>0.30099999999999999</v>
      </c>
      <c r="E4160">
        <v>2.7964903757029401E-21</v>
      </c>
      <c r="F4160">
        <v>12</v>
      </c>
      <c r="G4160" t="s">
        <v>2763</v>
      </c>
      <c r="H4160" t="s">
        <v>2764</v>
      </c>
      <c r="I4160" t="str">
        <f>HYPERLINK("https://zfin.org/")</f>
        <v>https://zfin.org/</v>
      </c>
    </row>
    <row r="4161" spans="1:10" x14ac:dyDescent="0.2">
      <c r="A4161">
        <v>2.3512735329754001E-25</v>
      </c>
      <c r="B4161">
        <v>0.39772584650659298</v>
      </c>
      <c r="C4161">
        <v>0.81899999999999995</v>
      </c>
      <c r="D4161">
        <v>0.66100000000000003</v>
      </c>
      <c r="E4161">
        <v>3.2677999561292101E-21</v>
      </c>
      <c r="F4161">
        <v>12</v>
      </c>
      <c r="G4161" t="s">
        <v>1851</v>
      </c>
      <c r="H4161" t="s">
        <v>1852</v>
      </c>
      <c r="I4161" t="str">
        <f>HYPERLINK("https://zfin.org/ZDB-GENE-071205-8")</f>
        <v>https://zfin.org/ZDB-GENE-071205-8</v>
      </c>
      <c r="J4161" t="s">
        <v>1853</v>
      </c>
    </row>
    <row r="4162" spans="1:10" x14ac:dyDescent="0.2">
      <c r="A4162">
        <v>2.4092823483605299E-24</v>
      </c>
      <c r="B4162">
        <v>0.50509672401983996</v>
      </c>
      <c r="C4162">
        <v>0.72399999999999998</v>
      </c>
      <c r="D4162">
        <v>0.54200000000000004</v>
      </c>
      <c r="E4162">
        <v>3.3484206077514703E-20</v>
      </c>
      <c r="F4162">
        <v>12</v>
      </c>
      <c r="G4162" t="s">
        <v>2535</v>
      </c>
      <c r="H4162" t="s">
        <v>2536</v>
      </c>
      <c r="I4162" t="str">
        <f>HYPERLINK("https://zfin.org/ZDB-GENE-030131-4042")</f>
        <v>https://zfin.org/ZDB-GENE-030131-4042</v>
      </c>
      <c r="J4162" t="s">
        <v>2537</v>
      </c>
    </row>
    <row r="4163" spans="1:10" x14ac:dyDescent="0.2">
      <c r="A4163">
        <v>3.28971313047093E-24</v>
      </c>
      <c r="B4163">
        <v>-0.71479419076791795</v>
      </c>
      <c r="C4163">
        <v>3.7999999999999999E-2</v>
      </c>
      <c r="D4163">
        <v>0.249</v>
      </c>
      <c r="E4163">
        <v>4.5720433087284998E-20</v>
      </c>
      <c r="F4163">
        <v>12</v>
      </c>
      <c r="G4163" t="s">
        <v>2918</v>
      </c>
      <c r="H4163" t="s">
        <v>2919</v>
      </c>
      <c r="I4163" t="str">
        <f>HYPERLINK("https://zfin.org/ZDB-GENE-040718-440")</f>
        <v>https://zfin.org/ZDB-GENE-040718-440</v>
      </c>
      <c r="J4163" t="s">
        <v>2920</v>
      </c>
    </row>
    <row r="4164" spans="1:10" x14ac:dyDescent="0.2">
      <c r="A4164">
        <v>4.67180080513089E-24</v>
      </c>
      <c r="B4164">
        <v>0.51070859080332898</v>
      </c>
      <c r="C4164">
        <v>0.64400000000000002</v>
      </c>
      <c r="D4164">
        <v>0.47199999999999998</v>
      </c>
      <c r="E4164">
        <v>6.4928687589709101E-20</v>
      </c>
      <c r="F4164">
        <v>12</v>
      </c>
      <c r="G4164" t="s">
        <v>4955</v>
      </c>
      <c r="H4164" t="s">
        <v>4956</v>
      </c>
      <c r="I4164" t="str">
        <f>HYPERLINK("https://zfin.org/ZDB-GENE-030826-15")</f>
        <v>https://zfin.org/ZDB-GENE-030826-15</v>
      </c>
      <c r="J4164" t="s">
        <v>4957</v>
      </c>
    </row>
    <row r="4165" spans="1:10" x14ac:dyDescent="0.2">
      <c r="A4165">
        <v>5.0964710736380496E-24</v>
      </c>
      <c r="B4165">
        <v>0.36682872200115202</v>
      </c>
      <c r="C4165">
        <v>0.107</v>
      </c>
      <c r="D4165">
        <v>1.9E-2</v>
      </c>
      <c r="E4165">
        <v>7.0830754981421594E-20</v>
      </c>
      <c r="F4165">
        <v>12</v>
      </c>
      <c r="G4165" t="s">
        <v>6888</v>
      </c>
      <c r="H4165" t="s">
        <v>6889</v>
      </c>
      <c r="I4165" t="str">
        <f>HYPERLINK("https://zfin.org/ZDB-GENE-131121-184")</f>
        <v>https://zfin.org/ZDB-GENE-131121-184</v>
      </c>
      <c r="J4165" t="s">
        <v>6890</v>
      </c>
    </row>
    <row r="4166" spans="1:10" x14ac:dyDescent="0.2">
      <c r="A4166">
        <v>7.9338341609500107E-24</v>
      </c>
      <c r="B4166">
        <v>0.42383444681274501</v>
      </c>
      <c r="C4166">
        <v>0.13900000000000001</v>
      </c>
      <c r="D4166">
        <v>3.2000000000000001E-2</v>
      </c>
      <c r="E4166">
        <v>1.10264427168883E-19</v>
      </c>
      <c r="F4166">
        <v>12</v>
      </c>
      <c r="G4166" t="s">
        <v>6891</v>
      </c>
      <c r="H4166" t="s">
        <v>6892</v>
      </c>
      <c r="I4166" t="str">
        <f>HYPERLINK("https://zfin.org/ZDB-GENE-000626-1")</f>
        <v>https://zfin.org/ZDB-GENE-000626-1</v>
      </c>
      <c r="J4166" t="s">
        <v>6893</v>
      </c>
    </row>
    <row r="4167" spans="1:10" x14ac:dyDescent="0.2">
      <c r="A4167">
        <v>1.7242495904982E-23</v>
      </c>
      <c r="B4167">
        <v>0.410541386821976</v>
      </c>
      <c r="C4167">
        <v>0.85699999999999998</v>
      </c>
      <c r="D4167">
        <v>0.748</v>
      </c>
      <c r="E4167">
        <v>2.3963620808744001E-19</v>
      </c>
      <c r="F4167">
        <v>12</v>
      </c>
      <c r="G4167" t="s">
        <v>4482</v>
      </c>
      <c r="H4167" t="s">
        <v>4483</v>
      </c>
      <c r="I4167" t="str">
        <f>HYPERLINK("https://zfin.org/ZDB-GENE-030131-8247")</f>
        <v>https://zfin.org/ZDB-GENE-030131-8247</v>
      </c>
      <c r="J4167" t="s">
        <v>4484</v>
      </c>
    </row>
    <row r="4168" spans="1:10" x14ac:dyDescent="0.2">
      <c r="A4168">
        <v>7.5466634347379405E-23</v>
      </c>
      <c r="B4168">
        <v>0.36780912693220502</v>
      </c>
      <c r="C4168">
        <v>0.878</v>
      </c>
      <c r="D4168">
        <v>0.79500000000000004</v>
      </c>
      <c r="E4168">
        <v>1.04883528415988E-18</v>
      </c>
      <c r="F4168">
        <v>12</v>
      </c>
      <c r="G4168" t="s">
        <v>1341</v>
      </c>
      <c r="H4168" t="s">
        <v>1342</v>
      </c>
      <c r="I4168" t="str">
        <f>HYPERLINK("https://zfin.org/ZDB-GENE-011210-2")</f>
        <v>https://zfin.org/ZDB-GENE-011210-2</v>
      </c>
      <c r="J4168" t="s">
        <v>1343</v>
      </c>
    </row>
    <row r="4169" spans="1:10" x14ac:dyDescent="0.2">
      <c r="A4169">
        <v>1.2256325437890999E-22</v>
      </c>
      <c r="B4169">
        <v>0.36304141618943597</v>
      </c>
      <c r="C4169">
        <v>0.94499999999999995</v>
      </c>
      <c r="D4169">
        <v>0.88500000000000001</v>
      </c>
      <c r="E4169">
        <v>1.70338410935809E-18</v>
      </c>
      <c r="F4169">
        <v>12</v>
      </c>
      <c r="G4169" t="s">
        <v>1707</v>
      </c>
      <c r="H4169" t="s">
        <v>1708</v>
      </c>
      <c r="I4169" t="str">
        <f>HYPERLINK("https://zfin.org/ZDB-GENE-030131-7647")</f>
        <v>https://zfin.org/ZDB-GENE-030131-7647</v>
      </c>
      <c r="J4169" t="s">
        <v>1709</v>
      </c>
    </row>
    <row r="4170" spans="1:10" x14ac:dyDescent="0.2">
      <c r="A4170">
        <v>3.1112296008877499E-22</v>
      </c>
      <c r="B4170">
        <v>0.38633275763220098</v>
      </c>
      <c r="C4170">
        <v>0.79800000000000004</v>
      </c>
      <c r="D4170">
        <v>0.69699999999999995</v>
      </c>
      <c r="E4170">
        <v>4.3239868993137896E-18</v>
      </c>
      <c r="F4170">
        <v>12</v>
      </c>
      <c r="G4170" t="s">
        <v>1695</v>
      </c>
      <c r="H4170" t="s">
        <v>1696</v>
      </c>
      <c r="I4170" t="str">
        <f>HYPERLINK("https://zfin.org/ZDB-GENE-040426-2770")</f>
        <v>https://zfin.org/ZDB-GENE-040426-2770</v>
      </c>
      <c r="J4170" t="s">
        <v>1697</v>
      </c>
    </row>
    <row r="4171" spans="1:10" x14ac:dyDescent="0.2">
      <c r="A4171">
        <v>5.3377488344488495E-22</v>
      </c>
      <c r="B4171">
        <v>0.57066299861797898</v>
      </c>
      <c r="C4171">
        <v>0.371</v>
      </c>
      <c r="D4171">
        <v>0.19400000000000001</v>
      </c>
      <c r="E4171">
        <v>7.4184033301170102E-18</v>
      </c>
      <c r="F4171">
        <v>12</v>
      </c>
      <c r="G4171" t="s">
        <v>6894</v>
      </c>
      <c r="H4171" t="s">
        <v>6895</v>
      </c>
      <c r="I4171" t="str">
        <f>HYPERLINK("https://zfin.org/ZDB-GENE-050913-47")</f>
        <v>https://zfin.org/ZDB-GENE-050913-47</v>
      </c>
      <c r="J4171" t="s">
        <v>6896</v>
      </c>
    </row>
    <row r="4172" spans="1:10" x14ac:dyDescent="0.2">
      <c r="A4172">
        <v>6.3091087270080897E-22</v>
      </c>
      <c r="B4172">
        <v>0.42572833869828702</v>
      </c>
      <c r="C4172">
        <v>0.192</v>
      </c>
      <c r="D4172">
        <v>6.3E-2</v>
      </c>
      <c r="E4172">
        <v>8.7683993087958396E-18</v>
      </c>
      <c r="F4172">
        <v>12</v>
      </c>
      <c r="G4172" t="s">
        <v>6897</v>
      </c>
      <c r="H4172" t="s">
        <v>6898</v>
      </c>
      <c r="I4172" t="str">
        <f>HYPERLINK("https://zfin.org/ZDB-GENE-000125-12")</f>
        <v>https://zfin.org/ZDB-GENE-000125-12</v>
      </c>
      <c r="J4172" t="s">
        <v>6899</v>
      </c>
    </row>
    <row r="4173" spans="1:10" x14ac:dyDescent="0.2">
      <c r="A4173">
        <v>5.1720567914568302E-21</v>
      </c>
      <c r="B4173">
        <v>-0.91558668527051001</v>
      </c>
      <c r="C4173">
        <v>7.1999999999999995E-2</v>
      </c>
      <c r="D4173">
        <v>0.26700000000000002</v>
      </c>
      <c r="E4173">
        <v>7.1881245287666998E-17</v>
      </c>
      <c r="F4173">
        <v>12</v>
      </c>
      <c r="G4173" t="s">
        <v>3032</v>
      </c>
      <c r="H4173" t="s">
        <v>3033</v>
      </c>
      <c r="I4173" t="str">
        <f>HYPERLINK("https://zfin.org/ZDB-GENE-041010-89")</f>
        <v>https://zfin.org/ZDB-GENE-041010-89</v>
      </c>
      <c r="J4173" t="s">
        <v>3034</v>
      </c>
    </row>
    <row r="4174" spans="1:10" x14ac:dyDescent="0.2">
      <c r="A4174">
        <v>7.4158247845517197E-21</v>
      </c>
      <c r="B4174">
        <v>0.34613210130844502</v>
      </c>
      <c r="C4174">
        <v>0.88400000000000001</v>
      </c>
      <c r="D4174">
        <v>0.76400000000000001</v>
      </c>
      <c r="E4174">
        <v>1.030651328557E-16</v>
      </c>
      <c r="F4174">
        <v>12</v>
      </c>
      <c r="G4174" t="s">
        <v>1405</v>
      </c>
      <c r="H4174" t="s">
        <v>1406</v>
      </c>
      <c r="I4174" t="str">
        <f>HYPERLINK("https://zfin.org/ZDB-GENE-031002-9")</f>
        <v>https://zfin.org/ZDB-GENE-031002-9</v>
      </c>
      <c r="J4174" t="s">
        <v>1407</v>
      </c>
    </row>
    <row r="4175" spans="1:10" x14ac:dyDescent="0.2">
      <c r="A4175">
        <v>8.0491840567252706E-21</v>
      </c>
      <c r="B4175">
        <v>0.342540477777662</v>
      </c>
      <c r="C4175">
        <v>0.114</v>
      </c>
      <c r="D4175">
        <v>2.5000000000000001E-2</v>
      </c>
      <c r="E4175">
        <v>1.11867560020368E-16</v>
      </c>
      <c r="F4175">
        <v>12</v>
      </c>
      <c r="G4175" t="s">
        <v>6900</v>
      </c>
      <c r="H4175" t="s">
        <v>6901</v>
      </c>
      <c r="I4175" t="str">
        <f>HYPERLINK("https://zfin.org/ZDB-GENE-030131-2376")</f>
        <v>https://zfin.org/ZDB-GENE-030131-2376</v>
      </c>
      <c r="J4175" t="s">
        <v>6902</v>
      </c>
    </row>
    <row r="4176" spans="1:10" x14ac:dyDescent="0.2">
      <c r="A4176">
        <v>1.37676883581838E-20</v>
      </c>
      <c r="B4176">
        <v>0.31904179621520001</v>
      </c>
      <c r="C4176">
        <v>0.92600000000000005</v>
      </c>
      <c r="D4176">
        <v>0.86</v>
      </c>
      <c r="E4176">
        <v>1.9134333280203799E-16</v>
      </c>
      <c r="F4176">
        <v>12</v>
      </c>
      <c r="G4176" t="s">
        <v>1149</v>
      </c>
      <c r="H4176" t="s">
        <v>1150</v>
      </c>
      <c r="I4176" t="str">
        <f>HYPERLINK("https://zfin.org/ZDB-GENE-040426-2768")</f>
        <v>https://zfin.org/ZDB-GENE-040426-2768</v>
      </c>
      <c r="J4176" t="s">
        <v>1151</v>
      </c>
    </row>
    <row r="4177" spans="1:10" x14ac:dyDescent="0.2">
      <c r="A4177">
        <v>2.2471770411432801E-20</v>
      </c>
      <c r="B4177">
        <v>0.51457595063516803</v>
      </c>
      <c r="C4177">
        <v>0.40799999999999997</v>
      </c>
      <c r="D4177">
        <v>0.23100000000000001</v>
      </c>
      <c r="E4177">
        <v>3.1231266517809201E-16</v>
      </c>
      <c r="F4177">
        <v>12</v>
      </c>
      <c r="G4177" t="s">
        <v>3252</v>
      </c>
      <c r="H4177" t="s">
        <v>3253</v>
      </c>
      <c r="I4177" t="str">
        <f>HYPERLINK("https://zfin.org/ZDB-GENE-131121-599")</f>
        <v>https://zfin.org/ZDB-GENE-131121-599</v>
      </c>
      <c r="J4177" t="s">
        <v>3254</v>
      </c>
    </row>
    <row r="4178" spans="1:10" x14ac:dyDescent="0.2">
      <c r="A4178">
        <v>3.8599528935649599E-20</v>
      </c>
      <c r="B4178">
        <v>0.43725066811177199</v>
      </c>
      <c r="C4178">
        <v>0.68600000000000005</v>
      </c>
      <c r="D4178">
        <v>0.52300000000000002</v>
      </c>
      <c r="E4178">
        <v>5.3645625314765799E-16</v>
      </c>
      <c r="F4178">
        <v>12</v>
      </c>
      <c r="G4178" t="s">
        <v>2352</v>
      </c>
      <c r="H4178" t="s">
        <v>2353</v>
      </c>
      <c r="I4178" t="str">
        <f>HYPERLINK("https://zfin.org/ZDB-GENE-051023-8")</f>
        <v>https://zfin.org/ZDB-GENE-051023-8</v>
      </c>
      <c r="J4178" t="s">
        <v>2354</v>
      </c>
    </row>
    <row r="4179" spans="1:10" x14ac:dyDescent="0.2">
      <c r="A4179">
        <v>4.9754718859460599E-20</v>
      </c>
      <c r="B4179">
        <v>0.32176411410196798</v>
      </c>
      <c r="C4179">
        <v>0.94699999999999995</v>
      </c>
      <c r="D4179">
        <v>0.91500000000000004</v>
      </c>
      <c r="E4179">
        <v>6.9149108270878399E-16</v>
      </c>
      <c r="F4179">
        <v>12</v>
      </c>
      <c r="G4179" t="s">
        <v>1167</v>
      </c>
      <c r="H4179" t="s">
        <v>1168</v>
      </c>
      <c r="I4179" t="str">
        <f>HYPERLINK("https://zfin.org/ZDB-GENE-061201-9")</f>
        <v>https://zfin.org/ZDB-GENE-061201-9</v>
      </c>
      <c r="J4179" t="s">
        <v>1169</v>
      </c>
    </row>
    <row r="4180" spans="1:10" x14ac:dyDescent="0.2">
      <c r="A4180">
        <v>8.5848870650564704E-20</v>
      </c>
      <c r="B4180">
        <v>-0.51599410848998095</v>
      </c>
      <c r="C4180">
        <v>0.2</v>
      </c>
      <c r="D4180">
        <v>0.434</v>
      </c>
      <c r="E4180">
        <v>1.19312760430155E-15</v>
      </c>
      <c r="F4180">
        <v>12</v>
      </c>
      <c r="G4180" t="s">
        <v>2700</v>
      </c>
      <c r="H4180" t="s">
        <v>2701</v>
      </c>
      <c r="I4180" t="str">
        <f>HYPERLINK("https://zfin.org/ZDB-GENE-050417-338")</f>
        <v>https://zfin.org/ZDB-GENE-050417-338</v>
      </c>
      <c r="J4180" t="s">
        <v>2702</v>
      </c>
    </row>
    <row r="4181" spans="1:10" x14ac:dyDescent="0.2">
      <c r="A4181">
        <v>9.8684036889814898E-20</v>
      </c>
      <c r="B4181">
        <v>0.45213724006044798</v>
      </c>
      <c r="C4181">
        <v>0.72399999999999998</v>
      </c>
      <c r="D4181">
        <v>0.58099999999999996</v>
      </c>
      <c r="E4181">
        <v>1.37151074469465E-15</v>
      </c>
      <c r="F4181">
        <v>12</v>
      </c>
      <c r="G4181" t="s">
        <v>2051</v>
      </c>
      <c r="H4181" t="s">
        <v>2052</v>
      </c>
      <c r="I4181" t="str">
        <f>HYPERLINK("https://zfin.org/ZDB-GENE-030825-1")</f>
        <v>https://zfin.org/ZDB-GENE-030825-1</v>
      </c>
      <c r="J4181" t="s">
        <v>2053</v>
      </c>
    </row>
    <row r="4182" spans="1:10" x14ac:dyDescent="0.2">
      <c r="A4182">
        <v>1.7132422045668601E-19</v>
      </c>
      <c r="B4182">
        <v>0.46978368827968398</v>
      </c>
      <c r="C4182">
        <v>0.255</v>
      </c>
      <c r="D4182">
        <v>0.11</v>
      </c>
      <c r="E4182">
        <v>2.3810640159070202E-15</v>
      </c>
      <c r="F4182">
        <v>12</v>
      </c>
      <c r="G4182" t="s">
        <v>6903</v>
      </c>
      <c r="H4182" t="s">
        <v>6904</v>
      </c>
      <c r="I4182" t="str">
        <f>HYPERLINK("https://zfin.org/ZDB-GENE-091204-346")</f>
        <v>https://zfin.org/ZDB-GENE-091204-346</v>
      </c>
      <c r="J4182" t="s">
        <v>6905</v>
      </c>
    </row>
    <row r="4183" spans="1:10" x14ac:dyDescent="0.2">
      <c r="A4183">
        <v>1.8119287086371301E-19</v>
      </c>
      <c r="B4183">
        <v>-0.52707540796341401</v>
      </c>
      <c r="C4183">
        <v>0.38900000000000001</v>
      </c>
      <c r="D4183">
        <v>0.61799999999999999</v>
      </c>
      <c r="E4183">
        <v>2.51821851926388E-15</v>
      </c>
      <c r="F4183">
        <v>12</v>
      </c>
      <c r="G4183" t="s">
        <v>3573</v>
      </c>
      <c r="H4183" t="s">
        <v>3574</v>
      </c>
      <c r="I4183" t="str">
        <f>HYPERLINK("https://zfin.org/ZDB-GENE-040808-35")</f>
        <v>https://zfin.org/ZDB-GENE-040808-35</v>
      </c>
      <c r="J4183" t="s">
        <v>3575</v>
      </c>
    </row>
    <row r="4184" spans="1:10" x14ac:dyDescent="0.2">
      <c r="A4184">
        <v>1.88498818525582E-19</v>
      </c>
      <c r="B4184">
        <v>0.32386083490617901</v>
      </c>
      <c r="C4184">
        <v>0.76</v>
      </c>
      <c r="D4184">
        <v>0.62</v>
      </c>
      <c r="E4184">
        <v>2.6197565798685399E-15</v>
      </c>
      <c r="F4184">
        <v>12</v>
      </c>
      <c r="G4184" t="s">
        <v>6230</v>
      </c>
      <c r="H4184" t="s">
        <v>6231</v>
      </c>
      <c r="I4184" t="str">
        <f>HYPERLINK("https://zfin.org/ZDB-GENE-030707-1")</f>
        <v>https://zfin.org/ZDB-GENE-030707-1</v>
      </c>
      <c r="J4184" t="s">
        <v>6232</v>
      </c>
    </row>
    <row r="4185" spans="1:10" x14ac:dyDescent="0.2">
      <c r="A4185">
        <v>2.92223043867156E-19</v>
      </c>
      <c r="B4185">
        <v>-0.76151500434174302</v>
      </c>
      <c r="C4185">
        <v>0.114</v>
      </c>
      <c r="D4185">
        <v>0.312</v>
      </c>
      <c r="E4185">
        <v>4.0613158636657304E-15</v>
      </c>
      <c r="F4185">
        <v>12</v>
      </c>
      <c r="G4185" t="s">
        <v>2783</v>
      </c>
      <c r="H4185" t="s">
        <v>2784</v>
      </c>
      <c r="I4185" t="str">
        <f>HYPERLINK("https://zfin.org/ZDB-GENE-070720-11")</f>
        <v>https://zfin.org/ZDB-GENE-070720-11</v>
      </c>
      <c r="J4185" t="s">
        <v>2785</v>
      </c>
    </row>
    <row r="4186" spans="1:10" x14ac:dyDescent="0.2">
      <c r="A4186">
        <v>5.63567554947692E-19</v>
      </c>
      <c r="B4186">
        <v>0.42568494987282401</v>
      </c>
      <c r="C4186">
        <v>0.219</v>
      </c>
      <c r="D4186">
        <v>8.5999999999999993E-2</v>
      </c>
      <c r="E4186">
        <v>7.8324618786630195E-15</v>
      </c>
      <c r="F4186">
        <v>12</v>
      </c>
      <c r="G4186" t="s">
        <v>6906</v>
      </c>
      <c r="H4186" t="s">
        <v>6907</v>
      </c>
      <c r="I4186" t="str">
        <f>HYPERLINK("https://zfin.org/ZDB-GENE-040625-27")</f>
        <v>https://zfin.org/ZDB-GENE-040625-27</v>
      </c>
      <c r="J4186" t="s">
        <v>6908</v>
      </c>
    </row>
    <row r="4187" spans="1:10" x14ac:dyDescent="0.2">
      <c r="A4187">
        <v>6.7602179605548304E-19</v>
      </c>
      <c r="B4187">
        <v>0.27206725116750302</v>
      </c>
      <c r="C4187">
        <v>0.92400000000000004</v>
      </c>
      <c r="D4187">
        <v>0.85199999999999998</v>
      </c>
      <c r="E4187">
        <v>9.3953509215790997E-15</v>
      </c>
      <c r="F4187">
        <v>12</v>
      </c>
      <c r="G4187" t="s">
        <v>1353</v>
      </c>
      <c r="H4187" t="s">
        <v>1354</v>
      </c>
      <c r="I4187" t="str">
        <f>HYPERLINK("https://zfin.org/")</f>
        <v>https://zfin.org/</v>
      </c>
    </row>
    <row r="4188" spans="1:10" x14ac:dyDescent="0.2">
      <c r="A4188">
        <v>8.2991188933638599E-19</v>
      </c>
      <c r="B4188">
        <v>0.49007516644627203</v>
      </c>
      <c r="C4188">
        <v>0.316</v>
      </c>
      <c r="D4188">
        <v>0.161</v>
      </c>
      <c r="E4188">
        <v>1.1534115437997099E-14</v>
      </c>
      <c r="F4188">
        <v>12</v>
      </c>
      <c r="G4188" t="s">
        <v>6909</v>
      </c>
      <c r="H4188" t="s">
        <v>6910</v>
      </c>
      <c r="I4188" t="str">
        <f>HYPERLINK("https://zfin.org/ZDB-GENE-051120-147")</f>
        <v>https://zfin.org/ZDB-GENE-051120-147</v>
      </c>
      <c r="J4188" t="s">
        <v>6911</v>
      </c>
    </row>
    <row r="4189" spans="1:10" x14ac:dyDescent="0.2">
      <c r="A4189">
        <v>1.0736062965215E-18</v>
      </c>
      <c r="B4189">
        <v>0.42753770986984502</v>
      </c>
      <c r="C4189">
        <v>0.876</v>
      </c>
      <c r="D4189">
        <v>0.83299999999999996</v>
      </c>
      <c r="E4189">
        <v>1.49209803090559E-14</v>
      </c>
      <c r="F4189">
        <v>12</v>
      </c>
      <c r="G4189" t="s">
        <v>1857</v>
      </c>
      <c r="H4189" t="s">
        <v>1858</v>
      </c>
      <c r="I4189" t="str">
        <f>HYPERLINK("https://zfin.org/ZDB-GENE-030131-8599")</f>
        <v>https://zfin.org/ZDB-GENE-030131-8599</v>
      </c>
      <c r="J4189" t="s">
        <v>1859</v>
      </c>
    </row>
    <row r="4190" spans="1:10" x14ac:dyDescent="0.2">
      <c r="A4190">
        <v>1.27778990743147E-18</v>
      </c>
      <c r="B4190">
        <v>-0.61886963230612302</v>
      </c>
      <c r="C4190">
        <v>0.34100000000000003</v>
      </c>
      <c r="D4190">
        <v>0.55000000000000004</v>
      </c>
      <c r="E4190">
        <v>1.7758724133482501E-14</v>
      </c>
      <c r="F4190">
        <v>12</v>
      </c>
      <c r="G4190" t="s">
        <v>3534</v>
      </c>
      <c r="H4190" t="s">
        <v>3535</v>
      </c>
      <c r="I4190" t="str">
        <f>HYPERLINK("https://zfin.org/ZDB-GENE-030131-247")</f>
        <v>https://zfin.org/ZDB-GENE-030131-247</v>
      </c>
      <c r="J4190" t="s">
        <v>3536</v>
      </c>
    </row>
    <row r="4191" spans="1:10" x14ac:dyDescent="0.2">
      <c r="A4191">
        <v>1.50592198355069E-18</v>
      </c>
      <c r="B4191">
        <v>0.481275547368678</v>
      </c>
      <c r="C4191">
        <v>0.32</v>
      </c>
      <c r="D4191">
        <v>0.157</v>
      </c>
      <c r="E4191">
        <v>2.0929303727387501E-14</v>
      </c>
      <c r="F4191">
        <v>12</v>
      </c>
      <c r="G4191" t="s">
        <v>2900</v>
      </c>
      <c r="H4191" t="s">
        <v>2901</v>
      </c>
      <c r="I4191" t="str">
        <f>HYPERLINK("https://zfin.org/ZDB-GENE-070912-648")</f>
        <v>https://zfin.org/ZDB-GENE-070912-648</v>
      </c>
      <c r="J4191" t="s">
        <v>2902</v>
      </c>
    </row>
    <row r="4192" spans="1:10" x14ac:dyDescent="0.2">
      <c r="A4192">
        <v>2.1415608581114901E-18</v>
      </c>
      <c r="B4192">
        <v>-0.41702028721703699</v>
      </c>
      <c r="C4192">
        <v>0.70699999999999996</v>
      </c>
      <c r="D4192">
        <v>0.83699999999999997</v>
      </c>
      <c r="E4192">
        <v>2.97634128060335E-14</v>
      </c>
      <c r="F4192">
        <v>12</v>
      </c>
      <c r="G4192" t="s">
        <v>2583</v>
      </c>
      <c r="H4192" t="s">
        <v>2584</v>
      </c>
      <c r="I4192" t="str">
        <f>HYPERLINK("https://zfin.org/ZDB-GENE-030131-8625")</f>
        <v>https://zfin.org/ZDB-GENE-030131-8625</v>
      </c>
      <c r="J4192" t="s">
        <v>2585</v>
      </c>
    </row>
    <row r="4193" spans="1:10" x14ac:dyDescent="0.2">
      <c r="A4193">
        <v>2.8291713857488599E-18</v>
      </c>
      <c r="B4193">
        <v>-0.85645870293824899</v>
      </c>
      <c r="C4193">
        <v>7.8E-2</v>
      </c>
      <c r="D4193">
        <v>0.25800000000000001</v>
      </c>
      <c r="E4193">
        <v>3.9319823919137602E-14</v>
      </c>
      <c r="F4193">
        <v>12</v>
      </c>
      <c r="G4193" t="s">
        <v>1011</v>
      </c>
      <c r="H4193" t="s">
        <v>1012</v>
      </c>
      <c r="I4193" t="str">
        <f>HYPERLINK("https://zfin.org/ZDB-GENE-990415-17")</f>
        <v>https://zfin.org/ZDB-GENE-990415-17</v>
      </c>
      <c r="J4193" t="s">
        <v>1013</v>
      </c>
    </row>
    <row r="4194" spans="1:10" x14ac:dyDescent="0.2">
      <c r="A4194">
        <v>7.4054686994083093E-18</v>
      </c>
      <c r="B4194">
        <v>0.45542409950430102</v>
      </c>
      <c r="C4194">
        <v>0.34499999999999997</v>
      </c>
      <c r="D4194">
        <v>0.185</v>
      </c>
      <c r="E4194">
        <v>1.02921203984377E-13</v>
      </c>
      <c r="F4194">
        <v>12</v>
      </c>
      <c r="G4194" t="s">
        <v>6912</v>
      </c>
      <c r="H4194" t="s">
        <v>6913</v>
      </c>
      <c r="I4194" t="str">
        <f>HYPERLINK("https://zfin.org/ZDB-GENE-061103-631")</f>
        <v>https://zfin.org/ZDB-GENE-061103-631</v>
      </c>
      <c r="J4194" t="s">
        <v>6914</v>
      </c>
    </row>
    <row r="4195" spans="1:10" x14ac:dyDescent="0.2">
      <c r="A4195">
        <v>8.2836863637546896E-18</v>
      </c>
      <c r="B4195">
        <v>0.33090170460312002</v>
      </c>
      <c r="C4195">
        <v>0.83399999999999996</v>
      </c>
      <c r="D4195">
        <v>0.73899999999999999</v>
      </c>
      <c r="E4195">
        <v>1.15126673083463E-13</v>
      </c>
      <c r="F4195">
        <v>12</v>
      </c>
      <c r="G4195" t="s">
        <v>2484</v>
      </c>
      <c r="H4195" t="s">
        <v>2485</v>
      </c>
      <c r="I4195" t="str">
        <f>HYPERLINK("https://zfin.org/ZDB-GENE-990712-18")</f>
        <v>https://zfin.org/ZDB-GENE-990712-18</v>
      </c>
      <c r="J4195" t="s">
        <v>2486</v>
      </c>
    </row>
    <row r="4196" spans="1:10" x14ac:dyDescent="0.2">
      <c r="A4196">
        <v>9.8120163622754203E-18</v>
      </c>
      <c r="B4196">
        <v>0.50311688866094195</v>
      </c>
      <c r="C4196">
        <v>0.32400000000000001</v>
      </c>
      <c r="D4196">
        <v>0.17100000000000001</v>
      </c>
      <c r="E4196">
        <v>1.36367403402904E-13</v>
      </c>
      <c r="F4196">
        <v>12</v>
      </c>
      <c r="G4196" t="s">
        <v>3408</v>
      </c>
      <c r="H4196" t="s">
        <v>3409</v>
      </c>
      <c r="I4196" t="str">
        <f>HYPERLINK("https://zfin.org/ZDB-GENE-030131-5344")</f>
        <v>https://zfin.org/ZDB-GENE-030131-5344</v>
      </c>
      <c r="J4196" t="s">
        <v>3410</v>
      </c>
    </row>
    <row r="4197" spans="1:10" x14ac:dyDescent="0.2">
      <c r="A4197">
        <v>1.13351730018511E-17</v>
      </c>
      <c r="B4197">
        <v>0.52599556319818097</v>
      </c>
      <c r="C4197">
        <v>0.34699999999999998</v>
      </c>
      <c r="D4197">
        <v>0.193</v>
      </c>
      <c r="E4197">
        <v>1.57536234379726E-13</v>
      </c>
      <c r="F4197">
        <v>12</v>
      </c>
      <c r="G4197" t="s">
        <v>5168</v>
      </c>
      <c r="H4197" t="s">
        <v>5169</v>
      </c>
      <c r="I4197" t="str">
        <f>HYPERLINK("https://zfin.org/ZDB-GENE-120215-186")</f>
        <v>https://zfin.org/ZDB-GENE-120215-186</v>
      </c>
      <c r="J4197" t="s">
        <v>5170</v>
      </c>
    </row>
    <row r="4198" spans="1:10" x14ac:dyDescent="0.2">
      <c r="A4198">
        <v>1.4162840006554401E-17</v>
      </c>
      <c r="B4198">
        <v>0.26529978297694101</v>
      </c>
      <c r="C4198">
        <v>0.93899999999999995</v>
      </c>
      <c r="D4198">
        <v>0.89300000000000002</v>
      </c>
      <c r="E4198">
        <v>1.9683515041109301E-13</v>
      </c>
      <c r="F4198">
        <v>12</v>
      </c>
      <c r="G4198" t="s">
        <v>2096</v>
      </c>
      <c r="H4198" t="s">
        <v>2097</v>
      </c>
      <c r="I4198" t="str">
        <f>HYPERLINK("https://zfin.org/ZDB-GENE-030131-8417")</f>
        <v>https://zfin.org/ZDB-GENE-030131-8417</v>
      </c>
      <c r="J4198" t="s">
        <v>2098</v>
      </c>
    </row>
    <row r="4199" spans="1:10" x14ac:dyDescent="0.2">
      <c r="A4199">
        <v>1.4177172126134899E-17</v>
      </c>
      <c r="B4199">
        <v>0.447401042268393</v>
      </c>
      <c r="C4199">
        <v>0.52400000000000002</v>
      </c>
      <c r="D4199">
        <v>0.35599999999999998</v>
      </c>
      <c r="E4199">
        <v>1.9703433820902301E-13</v>
      </c>
      <c r="F4199">
        <v>12</v>
      </c>
      <c r="G4199" t="s">
        <v>2765</v>
      </c>
      <c r="H4199" t="s">
        <v>2766</v>
      </c>
      <c r="I4199" t="str">
        <f>HYPERLINK("https://zfin.org/ZDB-GENE-050320-111")</f>
        <v>https://zfin.org/ZDB-GENE-050320-111</v>
      </c>
      <c r="J4199" t="s">
        <v>2767</v>
      </c>
    </row>
    <row r="4200" spans="1:10" x14ac:dyDescent="0.2">
      <c r="A4200">
        <v>1.95968271340432E-17</v>
      </c>
      <c r="B4200">
        <v>0.40058033888266498</v>
      </c>
      <c r="C4200">
        <v>0.65500000000000003</v>
      </c>
      <c r="D4200">
        <v>0.51100000000000001</v>
      </c>
      <c r="E4200">
        <v>2.7235670350893199E-13</v>
      </c>
      <c r="F4200">
        <v>12</v>
      </c>
      <c r="G4200" t="s">
        <v>6915</v>
      </c>
      <c r="H4200" t="s">
        <v>6916</v>
      </c>
      <c r="I4200" t="str">
        <f>HYPERLINK("https://zfin.org/ZDB-GENE-070912-397")</f>
        <v>https://zfin.org/ZDB-GENE-070912-397</v>
      </c>
      <c r="J4200" t="s">
        <v>6917</v>
      </c>
    </row>
    <row r="4201" spans="1:10" x14ac:dyDescent="0.2">
      <c r="A4201">
        <v>2.63821468257098E-17</v>
      </c>
      <c r="B4201">
        <v>-0.73673722478090498</v>
      </c>
      <c r="C4201">
        <v>0.65700000000000003</v>
      </c>
      <c r="D4201">
        <v>0.77400000000000002</v>
      </c>
      <c r="E4201">
        <v>3.6665907658371402E-13</v>
      </c>
      <c r="F4201">
        <v>12</v>
      </c>
      <c r="G4201" t="s">
        <v>2565</v>
      </c>
      <c r="H4201" t="s">
        <v>2566</v>
      </c>
      <c r="I4201" t="str">
        <f>HYPERLINK("https://zfin.org/ZDB-GENE-040912-122")</f>
        <v>https://zfin.org/ZDB-GENE-040912-122</v>
      </c>
      <c r="J4201" t="s">
        <v>2567</v>
      </c>
    </row>
    <row r="4202" spans="1:10" x14ac:dyDescent="0.2">
      <c r="A4202">
        <v>2.7574460006019399E-17</v>
      </c>
      <c r="B4202">
        <v>0.44688493070048702</v>
      </c>
      <c r="C4202">
        <v>0.60599999999999998</v>
      </c>
      <c r="D4202">
        <v>0.45900000000000002</v>
      </c>
      <c r="E4202">
        <v>3.83229845163657E-13</v>
      </c>
      <c r="F4202">
        <v>12</v>
      </c>
      <c r="G4202" t="s">
        <v>2448</v>
      </c>
      <c r="H4202" t="s">
        <v>2449</v>
      </c>
      <c r="I4202" t="str">
        <f>HYPERLINK("https://zfin.org/ZDB-GENE-031113-9")</f>
        <v>https://zfin.org/ZDB-GENE-031113-9</v>
      </c>
      <c r="J4202" t="s">
        <v>2450</v>
      </c>
    </row>
    <row r="4203" spans="1:10" x14ac:dyDescent="0.2">
      <c r="A4203">
        <v>3.2829618047101603E-17</v>
      </c>
      <c r="B4203">
        <v>0.53237875368029197</v>
      </c>
      <c r="C4203">
        <v>0.30099999999999999</v>
      </c>
      <c r="D4203">
        <v>0.157</v>
      </c>
      <c r="E4203">
        <v>4.5626603161861798E-13</v>
      </c>
      <c r="F4203">
        <v>12</v>
      </c>
      <c r="G4203" t="s">
        <v>2849</v>
      </c>
      <c r="H4203" t="s">
        <v>2850</v>
      </c>
      <c r="I4203" t="str">
        <f>HYPERLINK("https://zfin.org/ZDB-GENE-001212-5")</f>
        <v>https://zfin.org/ZDB-GENE-001212-5</v>
      </c>
      <c r="J4203" t="s">
        <v>2851</v>
      </c>
    </row>
    <row r="4204" spans="1:10" x14ac:dyDescent="0.2">
      <c r="A4204">
        <v>4.05741674816933E-17</v>
      </c>
      <c r="B4204">
        <v>0.47313880397758401</v>
      </c>
      <c r="C4204">
        <v>0.38300000000000001</v>
      </c>
      <c r="D4204">
        <v>0.224</v>
      </c>
      <c r="E4204">
        <v>5.6389977966057399E-13</v>
      </c>
      <c r="F4204">
        <v>12</v>
      </c>
      <c r="G4204" t="s">
        <v>3148</v>
      </c>
      <c r="H4204" t="s">
        <v>3149</v>
      </c>
      <c r="I4204" t="str">
        <f>HYPERLINK("https://zfin.org/ZDB-GENE-070912-355")</f>
        <v>https://zfin.org/ZDB-GENE-070912-355</v>
      </c>
      <c r="J4204" t="s">
        <v>3150</v>
      </c>
    </row>
    <row r="4205" spans="1:10" x14ac:dyDescent="0.2">
      <c r="A4205">
        <v>7.45668196629454E-17</v>
      </c>
      <c r="B4205">
        <v>0.435787257220138</v>
      </c>
      <c r="C4205">
        <v>0.50900000000000001</v>
      </c>
      <c r="D4205">
        <v>0.35799999999999998</v>
      </c>
      <c r="E4205">
        <v>1.03632965967562E-12</v>
      </c>
      <c r="F4205">
        <v>12</v>
      </c>
      <c r="G4205" t="s">
        <v>3035</v>
      </c>
      <c r="H4205" t="s">
        <v>3036</v>
      </c>
      <c r="I4205" t="str">
        <f>HYPERLINK("https://zfin.org/ZDB-GENE-040808-46")</f>
        <v>https://zfin.org/ZDB-GENE-040808-46</v>
      </c>
      <c r="J4205" t="s">
        <v>3037</v>
      </c>
    </row>
    <row r="4206" spans="1:10" x14ac:dyDescent="0.2">
      <c r="A4206">
        <v>8.0348513765854894E-17</v>
      </c>
      <c r="B4206">
        <v>0.477594008161777</v>
      </c>
      <c r="C4206">
        <v>0.58099999999999996</v>
      </c>
      <c r="D4206">
        <v>0.41299999999999998</v>
      </c>
      <c r="E4206">
        <v>1.1166836443178499E-12</v>
      </c>
      <c r="F4206">
        <v>12</v>
      </c>
      <c r="G4206" t="s">
        <v>2706</v>
      </c>
      <c r="H4206" t="s">
        <v>2707</v>
      </c>
      <c r="I4206" t="str">
        <f>HYPERLINK("https://zfin.org/ZDB-GENE-080829-12")</f>
        <v>https://zfin.org/ZDB-GENE-080829-12</v>
      </c>
      <c r="J4206" t="s">
        <v>2708</v>
      </c>
    </row>
    <row r="4207" spans="1:10" x14ac:dyDescent="0.2">
      <c r="A4207">
        <v>1.3763003393740601E-16</v>
      </c>
      <c r="B4207">
        <v>-0.40368071614329998</v>
      </c>
      <c r="C4207">
        <v>0.78500000000000003</v>
      </c>
      <c r="D4207">
        <v>0.87</v>
      </c>
      <c r="E4207">
        <v>1.9127822116620599E-12</v>
      </c>
      <c r="F4207">
        <v>12</v>
      </c>
      <c r="G4207" t="s">
        <v>1269</v>
      </c>
      <c r="H4207" t="s">
        <v>1270</v>
      </c>
      <c r="I4207" t="str">
        <f>HYPERLINK("https://zfin.org/ZDB-GENE-061111-1")</f>
        <v>https://zfin.org/ZDB-GENE-061111-1</v>
      </c>
      <c r="J4207" t="s">
        <v>1271</v>
      </c>
    </row>
    <row r="4208" spans="1:10" x14ac:dyDescent="0.2">
      <c r="A4208">
        <v>1.4860098218555601E-16</v>
      </c>
      <c r="B4208">
        <v>0.40710673991099999</v>
      </c>
      <c r="C4208">
        <v>0.2</v>
      </c>
      <c r="D4208">
        <v>0.08</v>
      </c>
      <c r="E4208">
        <v>2.0652564504148501E-12</v>
      </c>
      <c r="F4208">
        <v>12</v>
      </c>
      <c r="G4208" t="s">
        <v>6918</v>
      </c>
      <c r="H4208" t="s">
        <v>6919</v>
      </c>
      <c r="I4208" t="str">
        <f>HYPERLINK("https://zfin.org/ZDB-GENE-090814-2")</f>
        <v>https://zfin.org/ZDB-GENE-090814-2</v>
      </c>
      <c r="J4208" t="s">
        <v>6920</v>
      </c>
    </row>
    <row r="4209" spans="1:10" x14ac:dyDescent="0.2">
      <c r="A4209">
        <v>1.571902666658E-16</v>
      </c>
      <c r="B4209">
        <v>0.35350931445374101</v>
      </c>
      <c r="C4209">
        <v>0.13700000000000001</v>
      </c>
      <c r="D4209">
        <v>4.2999999999999997E-2</v>
      </c>
      <c r="E4209">
        <v>2.1846303261212901E-12</v>
      </c>
      <c r="F4209">
        <v>12</v>
      </c>
      <c r="G4209" t="s">
        <v>6921</v>
      </c>
      <c r="H4209" t="s">
        <v>6922</v>
      </c>
      <c r="I4209" t="str">
        <f>HYPERLINK("https://zfin.org/ZDB-GENE-080229-6")</f>
        <v>https://zfin.org/ZDB-GENE-080229-6</v>
      </c>
      <c r="J4209" t="s">
        <v>6923</v>
      </c>
    </row>
    <row r="4210" spans="1:10" x14ac:dyDescent="0.2">
      <c r="A4210">
        <v>2.8818087956209199E-16</v>
      </c>
      <c r="B4210">
        <v>0.49868906100448701</v>
      </c>
      <c r="C4210">
        <v>0.309</v>
      </c>
      <c r="D4210">
        <v>0.16700000000000001</v>
      </c>
      <c r="E4210">
        <v>4.0051378641539501E-12</v>
      </c>
      <c r="F4210">
        <v>12</v>
      </c>
      <c r="G4210" t="s">
        <v>3011</v>
      </c>
      <c r="H4210" t="s">
        <v>3012</v>
      </c>
      <c r="I4210" t="str">
        <f>HYPERLINK("https://zfin.org/ZDB-GENE-040426-1370")</f>
        <v>https://zfin.org/ZDB-GENE-040426-1370</v>
      </c>
      <c r="J4210" t="s">
        <v>3013</v>
      </c>
    </row>
    <row r="4211" spans="1:10" x14ac:dyDescent="0.2">
      <c r="A4211">
        <v>3.0672210997779899E-16</v>
      </c>
      <c r="B4211">
        <v>0.49796872238962397</v>
      </c>
      <c r="C4211">
        <v>0.16400000000000001</v>
      </c>
      <c r="D4211">
        <v>0.06</v>
      </c>
      <c r="E4211">
        <v>4.2628238844714499E-12</v>
      </c>
      <c r="F4211">
        <v>12</v>
      </c>
      <c r="G4211" t="s">
        <v>6924</v>
      </c>
      <c r="H4211" t="s">
        <v>6925</v>
      </c>
      <c r="I4211" t="str">
        <f>HYPERLINK("https://zfin.org/ZDB-GENE-030805-4")</f>
        <v>https://zfin.org/ZDB-GENE-030805-4</v>
      </c>
      <c r="J4211" t="s">
        <v>6926</v>
      </c>
    </row>
    <row r="4212" spans="1:10" x14ac:dyDescent="0.2">
      <c r="A4212">
        <v>3.9345314028522798E-16</v>
      </c>
      <c r="B4212">
        <v>0.37674810317644503</v>
      </c>
      <c r="C4212">
        <v>0.66300000000000003</v>
      </c>
      <c r="D4212">
        <v>0.54700000000000004</v>
      </c>
      <c r="E4212">
        <v>5.4682117436841004E-12</v>
      </c>
      <c r="F4212">
        <v>12</v>
      </c>
      <c r="G4212" t="s">
        <v>6927</v>
      </c>
      <c r="H4212" t="s">
        <v>6928</v>
      </c>
      <c r="I4212" t="str">
        <f>HYPERLINK("https://zfin.org/ZDB-GENE-040426-1065")</f>
        <v>https://zfin.org/ZDB-GENE-040426-1065</v>
      </c>
      <c r="J4212" t="s">
        <v>6929</v>
      </c>
    </row>
    <row r="4213" spans="1:10" x14ac:dyDescent="0.2">
      <c r="A4213">
        <v>6.8248413647612002E-16</v>
      </c>
      <c r="B4213">
        <v>-0.54926091015657996</v>
      </c>
      <c r="C4213">
        <v>5.2999999999999999E-2</v>
      </c>
      <c r="D4213">
        <v>0.21</v>
      </c>
      <c r="E4213">
        <v>9.4851645287451092E-12</v>
      </c>
      <c r="F4213">
        <v>12</v>
      </c>
      <c r="G4213" t="s">
        <v>2957</v>
      </c>
      <c r="H4213" t="s">
        <v>2958</v>
      </c>
      <c r="I4213" t="str">
        <f>HYPERLINK("https://zfin.org/ZDB-GENE-141212-376")</f>
        <v>https://zfin.org/ZDB-GENE-141212-376</v>
      </c>
      <c r="J4213" t="s">
        <v>2959</v>
      </c>
    </row>
    <row r="4214" spans="1:10" x14ac:dyDescent="0.2">
      <c r="A4214">
        <v>1.0292782552764099E-15</v>
      </c>
      <c r="B4214">
        <v>-0.65822349798098601</v>
      </c>
      <c r="C4214">
        <v>0.20399999999999999</v>
      </c>
      <c r="D4214">
        <v>0.39300000000000002</v>
      </c>
      <c r="E4214">
        <v>1.43049091918315E-11</v>
      </c>
      <c r="F4214">
        <v>12</v>
      </c>
      <c r="G4214" t="s">
        <v>3360</v>
      </c>
      <c r="H4214" t="s">
        <v>3361</v>
      </c>
      <c r="I4214" t="str">
        <f>HYPERLINK("https://zfin.org/ZDB-GENE-030411-6")</f>
        <v>https://zfin.org/ZDB-GENE-030411-6</v>
      </c>
      <c r="J4214" t="s">
        <v>3362</v>
      </c>
    </row>
    <row r="4215" spans="1:10" x14ac:dyDescent="0.2">
      <c r="A4215">
        <v>1.2426853689337199E-15</v>
      </c>
      <c r="B4215">
        <v>-0.989562434040272</v>
      </c>
      <c r="C4215">
        <v>4.8000000000000001E-2</v>
      </c>
      <c r="D4215">
        <v>0.19600000000000001</v>
      </c>
      <c r="E4215">
        <v>1.7270841257440801E-11</v>
      </c>
      <c r="F4215">
        <v>12</v>
      </c>
      <c r="G4215" t="s">
        <v>438</v>
      </c>
      <c r="H4215" t="s">
        <v>439</v>
      </c>
      <c r="I4215" t="str">
        <f>HYPERLINK("https://zfin.org/ZDB-GENE-040628-1")</f>
        <v>https://zfin.org/ZDB-GENE-040628-1</v>
      </c>
      <c r="J4215" t="s">
        <v>440</v>
      </c>
    </row>
    <row r="4216" spans="1:10" x14ac:dyDescent="0.2">
      <c r="A4216">
        <v>1.31759444275755E-15</v>
      </c>
      <c r="B4216">
        <v>0.47397889930785297</v>
      </c>
      <c r="C4216">
        <v>0.253</v>
      </c>
      <c r="D4216">
        <v>0.122</v>
      </c>
      <c r="E4216">
        <v>1.8311927565444401E-11</v>
      </c>
      <c r="F4216">
        <v>12</v>
      </c>
      <c r="G4216" t="s">
        <v>6930</v>
      </c>
      <c r="H4216" t="s">
        <v>6931</v>
      </c>
      <c r="I4216" t="str">
        <f>HYPERLINK("https://zfin.org/ZDB-GENE-001020-1")</f>
        <v>https://zfin.org/ZDB-GENE-001020-1</v>
      </c>
      <c r="J4216" t="s">
        <v>6932</v>
      </c>
    </row>
    <row r="4217" spans="1:10" x14ac:dyDescent="0.2">
      <c r="A4217">
        <v>1.58000879509486E-15</v>
      </c>
      <c r="B4217">
        <v>0.39375439124077999</v>
      </c>
      <c r="C4217">
        <v>0.64</v>
      </c>
      <c r="D4217">
        <v>0.51900000000000002</v>
      </c>
      <c r="E4217">
        <v>2.19589622342283E-11</v>
      </c>
      <c r="F4217">
        <v>12</v>
      </c>
      <c r="G4217" t="s">
        <v>6933</v>
      </c>
      <c r="H4217" t="s">
        <v>6934</v>
      </c>
      <c r="I4217" t="str">
        <f>HYPERLINK("https://zfin.org/ZDB-GENE-070424-75")</f>
        <v>https://zfin.org/ZDB-GENE-070424-75</v>
      </c>
      <c r="J4217" t="s">
        <v>6935</v>
      </c>
    </row>
    <row r="4218" spans="1:10" x14ac:dyDescent="0.2">
      <c r="A4218">
        <v>2.8516328736602499E-15</v>
      </c>
      <c r="B4218">
        <v>-0.536342374067307</v>
      </c>
      <c r="C4218">
        <v>5.5E-2</v>
      </c>
      <c r="D4218">
        <v>0.20899999999999999</v>
      </c>
      <c r="E4218">
        <v>3.9631993678130198E-11</v>
      </c>
      <c r="F4218">
        <v>12</v>
      </c>
      <c r="G4218" t="s">
        <v>816</v>
      </c>
      <c r="H4218" t="s">
        <v>817</v>
      </c>
      <c r="I4218" t="str">
        <f>HYPERLINK("https://zfin.org/ZDB-GENE-050417-175")</f>
        <v>https://zfin.org/ZDB-GENE-050417-175</v>
      </c>
      <c r="J4218" t="s">
        <v>818</v>
      </c>
    </row>
    <row r="4219" spans="1:10" x14ac:dyDescent="0.2">
      <c r="A4219">
        <v>3.89920315707286E-15</v>
      </c>
      <c r="B4219">
        <v>0.431991653939793</v>
      </c>
      <c r="C4219">
        <v>0.432</v>
      </c>
      <c r="D4219">
        <v>0.28100000000000003</v>
      </c>
      <c r="E4219">
        <v>5.4191125476998701E-11</v>
      </c>
      <c r="F4219">
        <v>12</v>
      </c>
      <c r="G4219" t="s">
        <v>1776</v>
      </c>
      <c r="H4219" t="s">
        <v>1777</v>
      </c>
      <c r="I4219" t="str">
        <f>HYPERLINK("https://zfin.org/ZDB-GENE-050311-1")</f>
        <v>https://zfin.org/ZDB-GENE-050311-1</v>
      </c>
      <c r="J4219" t="s">
        <v>1778</v>
      </c>
    </row>
    <row r="4220" spans="1:10" x14ac:dyDescent="0.2">
      <c r="A4220">
        <v>5.0261129002631902E-15</v>
      </c>
      <c r="B4220">
        <v>0.37706274684679503</v>
      </c>
      <c r="C4220">
        <v>0.55600000000000005</v>
      </c>
      <c r="D4220">
        <v>0.4</v>
      </c>
      <c r="E4220">
        <v>6.9852917087857806E-11</v>
      </c>
      <c r="F4220">
        <v>12</v>
      </c>
      <c r="G4220" t="s">
        <v>4698</v>
      </c>
      <c r="H4220" t="s">
        <v>4699</v>
      </c>
      <c r="I4220" t="str">
        <f>HYPERLINK("https://zfin.org/ZDB-GENE-030131-5493")</f>
        <v>https://zfin.org/ZDB-GENE-030131-5493</v>
      </c>
      <c r="J4220" t="s">
        <v>4700</v>
      </c>
    </row>
    <row r="4221" spans="1:10" x14ac:dyDescent="0.2">
      <c r="A4221">
        <v>5.0779616788881202E-15</v>
      </c>
      <c r="B4221">
        <v>-1.4115401682014701</v>
      </c>
      <c r="C4221">
        <v>0.48199999999999998</v>
      </c>
      <c r="D4221">
        <v>0.64</v>
      </c>
      <c r="E4221">
        <v>7.0573511413187094E-11</v>
      </c>
      <c r="F4221">
        <v>12</v>
      </c>
      <c r="G4221" t="s">
        <v>702</v>
      </c>
      <c r="H4221" t="s">
        <v>703</v>
      </c>
      <c r="I4221" t="str">
        <f>HYPERLINK("https://zfin.org/ZDB-GENE-020806-4")</f>
        <v>https://zfin.org/ZDB-GENE-020806-4</v>
      </c>
      <c r="J4221" t="s">
        <v>704</v>
      </c>
    </row>
    <row r="4222" spans="1:10" x14ac:dyDescent="0.2">
      <c r="A4222">
        <v>5.8836275412646602E-15</v>
      </c>
      <c r="B4222">
        <v>0.40715768568472799</v>
      </c>
      <c r="C4222">
        <v>0.35199999999999998</v>
      </c>
      <c r="D4222">
        <v>0.20499999999999999</v>
      </c>
      <c r="E4222">
        <v>8.1770655568496306E-11</v>
      </c>
      <c r="F4222">
        <v>12</v>
      </c>
      <c r="G4222" t="s">
        <v>2960</v>
      </c>
      <c r="H4222" t="s">
        <v>2961</v>
      </c>
      <c r="I4222" t="str">
        <f>HYPERLINK("https://zfin.org/ZDB-GENE-050417-174")</f>
        <v>https://zfin.org/ZDB-GENE-050417-174</v>
      </c>
      <c r="J4222" t="s">
        <v>2962</v>
      </c>
    </row>
    <row r="4223" spans="1:10" x14ac:dyDescent="0.2">
      <c r="A4223">
        <v>8.28538192520111E-15</v>
      </c>
      <c r="B4223">
        <v>-0.29777231932427201</v>
      </c>
      <c r="C4223">
        <v>0.95399999999999996</v>
      </c>
      <c r="D4223">
        <v>0.96799999999999997</v>
      </c>
      <c r="E4223">
        <v>1.15150237996445E-10</v>
      </c>
      <c r="F4223">
        <v>12</v>
      </c>
      <c r="G4223" t="s">
        <v>1125</v>
      </c>
      <c r="H4223" t="s">
        <v>1126</v>
      </c>
      <c r="I4223" t="str">
        <f>HYPERLINK("https://zfin.org/ZDB-GENE-040718-72")</f>
        <v>https://zfin.org/ZDB-GENE-040718-72</v>
      </c>
      <c r="J4223" t="s">
        <v>1127</v>
      </c>
    </row>
    <row r="4224" spans="1:10" x14ac:dyDescent="0.2">
      <c r="A4224">
        <v>1.0624629961092699E-14</v>
      </c>
      <c r="B4224">
        <v>0.39264424172654699</v>
      </c>
      <c r="C4224">
        <v>0.27600000000000002</v>
      </c>
      <c r="D4224">
        <v>0.14000000000000001</v>
      </c>
      <c r="E4224">
        <v>1.4766110719926601E-10</v>
      </c>
      <c r="F4224">
        <v>12</v>
      </c>
      <c r="G4224" t="s">
        <v>6586</v>
      </c>
      <c r="H4224" t="s">
        <v>6587</v>
      </c>
      <c r="I4224" t="str">
        <f>HYPERLINK("https://zfin.org/ZDB-GENE-040704-33")</f>
        <v>https://zfin.org/ZDB-GENE-040704-33</v>
      </c>
      <c r="J4224" t="s">
        <v>6588</v>
      </c>
    </row>
    <row r="4225" spans="1:10" x14ac:dyDescent="0.2">
      <c r="A4225">
        <v>2.16499770491753E-14</v>
      </c>
      <c r="B4225">
        <v>-0.74574367637420502</v>
      </c>
      <c r="C4225">
        <v>1.2999999999999999E-2</v>
      </c>
      <c r="D4225">
        <v>0.13400000000000001</v>
      </c>
      <c r="E4225">
        <v>3.0089138102943798E-10</v>
      </c>
      <c r="F4225">
        <v>12</v>
      </c>
      <c r="G4225" t="s">
        <v>3186</v>
      </c>
      <c r="H4225" t="s">
        <v>3187</v>
      </c>
      <c r="I4225" t="str">
        <f>HYPERLINK("https://zfin.org/ZDB-GENE-040426-2321")</f>
        <v>https://zfin.org/ZDB-GENE-040426-2321</v>
      </c>
      <c r="J4225" t="s">
        <v>3188</v>
      </c>
    </row>
    <row r="4226" spans="1:10" x14ac:dyDescent="0.2">
      <c r="A4226">
        <v>2.3900129676643299E-14</v>
      </c>
      <c r="B4226">
        <v>0.37116716506837599</v>
      </c>
      <c r="C4226">
        <v>0.61899999999999999</v>
      </c>
      <c r="D4226">
        <v>0.48799999999999999</v>
      </c>
      <c r="E4226">
        <v>3.3216400224598799E-10</v>
      </c>
      <c r="F4226">
        <v>12</v>
      </c>
      <c r="G4226" t="s">
        <v>2745</v>
      </c>
      <c r="H4226" t="s">
        <v>2746</v>
      </c>
      <c r="I4226" t="str">
        <f>HYPERLINK("https://zfin.org/ZDB-GENE-041210-191")</f>
        <v>https://zfin.org/ZDB-GENE-041210-191</v>
      </c>
      <c r="J4226" t="s">
        <v>2747</v>
      </c>
    </row>
    <row r="4227" spans="1:10" x14ac:dyDescent="0.2">
      <c r="A4227">
        <v>2.7882069758437601E-14</v>
      </c>
      <c r="B4227">
        <v>0.40026227311292301</v>
      </c>
      <c r="C4227">
        <v>0.60199999999999998</v>
      </c>
      <c r="D4227">
        <v>0.49</v>
      </c>
      <c r="E4227">
        <v>3.8750500550276598E-10</v>
      </c>
      <c r="F4227">
        <v>12</v>
      </c>
      <c r="G4227" t="s">
        <v>6936</v>
      </c>
      <c r="H4227" t="s">
        <v>6937</v>
      </c>
      <c r="I4227" t="str">
        <f>HYPERLINK("https://zfin.org/ZDB-GENE-030131-5215")</f>
        <v>https://zfin.org/ZDB-GENE-030131-5215</v>
      </c>
      <c r="J4227" t="s">
        <v>6938</v>
      </c>
    </row>
    <row r="4228" spans="1:10" x14ac:dyDescent="0.2">
      <c r="A4228">
        <v>2.9203486078363999E-14</v>
      </c>
      <c r="B4228">
        <v>-1.0394202790332401</v>
      </c>
      <c r="C4228">
        <v>0.13100000000000001</v>
      </c>
      <c r="D4228">
        <v>0.28799999999999998</v>
      </c>
      <c r="E4228">
        <v>4.0587004951710398E-10</v>
      </c>
      <c r="F4228">
        <v>12</v>
      </c>
      <c r="G4228" t="s">
        <v>2948</v>
      </c>
      <c r="H4228" t="s">
        <v>2949</v>
      </c>
      <c r="I4228" t="str">
        <f>HYPERLINK("https://zfin.org/ZDB-GENE-031006-14")</f>
        <v>https://zfin.org/ZDB-GENE-031006-14</v>
      </c>
      <c r="J4228" t="s">
        <v>2950</v>
      </c>
    </row>
    <row r="4229" spans="1:10" x14ac:dyDescent="0.2">
      <c r="A4229">
        <v>3.36326494621918E-14</v>
      </c>
      <c r="B4229">
        <v>0.35532418972598501</v>
      </c>
      <c r="C4229">
        <v>0.223</v>
      </c>
      <c r="D4229">
        <v>0.10299999999999999</v>
      </c>
      <c r="E4229">
        <v>4.6742656222554101E-10</v>
      </c>
      <c r="F4229">
        <v>12</v>
      </c>
      <c r="G4229" t="s">
        <v>6939</v>
      </c>
      <c r="H4229" t="s">
        <v>6940</v>
      </c>
      <c r="I4229" t="str">
        <f>HYPERLINK("https://zfin.org/ZDB-GENE-030131-2144")</f>
        <v>https://zfin.org/ZDB-GENE-030131-2144</v>
      </c>
      <c r="J4229" t="s">
        <v>6941</v>
      </c>
    </row>
    <row r="4230" spans="1:10" x14ac:dyDescent="0.2">
      <c r="A4230">
        <v>3.93837070422835E-14</v>
      </c>
      <c r="B4230">
        <v>0.37714733704512499</v>
      </c>
      <c r="C4230">
        <v>0.50700000000000001</v>
      </c>
      <c r="D4230">
        <v>0.37</v>
      </c>
      <c r="E4230">
        <v>5.4735476047365601E-10</v>
      </c>
      <c r="F4230">
        <v>12</v>
      </c>
      <c r="G4230" t="s">
        <v>6942</v>
      </c>
      <c r="H4230" t="s">
        <v>6943</v>
      </c>
      <c r="I4230" t="str">
        <f>HYPERLINK("https://zfin.org/ZDB-GENE-050320-129")</f>
        <v>https://zfin.org/ZDB-GENE-050320-129</v>
      </c>
      <c r="J4230" t="s">
        <v>6944</v>
      </c>
    </row>
    <row r="4231" spans="1:10" x14ac:dyDescent="0.2">
      <c r="A4231">
        <v>4.6530475666900303E-14</v>
      </c>
      <c r="B4231">
        <v>0.43080656030766601</v>
      </c>
      <c r="C4231">
        <v>0.42699999999999999</v>
      </c>
      <c r="D4231">
        <v>0.28100000000000003</v>
      </c>
      <c r="E4231">
        <v>6.4668055081857995E-10</v>
      </c>
      <c r="F4231">
        <v>12</v>
      </c>
      <c r="G4231" t="s">
        <v>5033</v>
      </c>
      <c r="H4231" t="s">
        <v>5034</v>
      </c>
      <c r="I4231" t="str">
        <f>HYPERLINK("https://zfin.org/ZDB-GENE-040426-2517")</f>
        <v>https://zfin.org/ZDB-GENE-040426-2517</v>
      </c>
      <c r="J4231" t="s">
        <v>5035</v>
      </c>
    </row>
    <row r="4232" spans="1:10" x14ac:dyDescent="0.2">
      <c r="A4232">
        <v>7.6813585542628798E-14</v>
      </c>
      <c r="B4232">
        <v>-0.63560888136193305</v>
      </c>
      <c r="C4232">
        <v>0.107</v>
      </c>
      <c r="D4232">
        <v>0.26300000000000001</v>
      </c>
      <c r="E4232">
        <v>1.0675552118714601E-9</v>
      </c>
      <c r="F4232">
        <v>12</v>
      </c>
      <c r="G4232" t="s">
        <v>2801</v>
      </c>
      <c r="H4232" t="s">
        <v>2802</v>
      </c>
      <c r="I4232" t="str">
        <f>HYPERLINK("https://zfin.org/ZDB-GENE-980526-112")</f>
        <v>https://zfin.org/ZDB-GENE-980526-112</v>
      </c>
      <c r="J4232" t="s">
        <v>2803</v>
      </c>
    </row>
    <row r="4233" spans="1:10" x14ac:dyDescent="0.2">
      <c r="A4233">
        <v>8.4236749036357805E-14</v>
      </c>
      <c r="B4233">
        <v>0.45247604734492503</v>
      </c>
      <c r="C4233">
        <v>0.33500000000000002</v>
      </c>
      <c r="D4233">
        <v>0.2</v>
      </c>
      <c r="E4233">
        <v>1.1707223381073001E-9</v>
      </c>
      <c r="F4233">
        <v>12</v>
      </c>
      <c r="G4233" t="s">
        <v>2822</v>
      </c>
      <c r="H4233" t="s">
        <v>2823</v>
      </c>
      <c r="I4233" t="str">
        <f>HYPERLINK("https://zfin.org/ZDB-GENE-031118-20")</f>
        <v>https://zfin.org/ZDB-GENE-031118-20</v>
      </c>
      <c r="J4233" t="s">
        <v>2824</v>
      </c>
    </row>
    <row r="4234" spans="1:10" x14ac:dyDescent="0.2">
      <c r="A4234">
        <v>1.2276388567278801E-13</v>
      </c>
      <c r="B4234">
        <v>0.39212381227750698</v>
      </c>
      <c r="C4234">
        <v>0.53300000000000003</v>
      </c>
      <c r="D4234">
        <v>0.40799999999999997</v>
      </c>
      <c r="E4234">
        <v>1.7061724830804101E-9</v>
      </c>
      <c r="F4234">
        <v>12</v>
      </c>
      <c r="G4234" t="s">
        <v>2589</v>
      </c>
      <c r="H4234" t="s">
        <v>2590</v>
      </c>
      <c r="I4234" t="str">
        <f>HYPERLINK("https://zfin.org/ZDB-GENE-040718-183")</f>
        <v>https://zfin.org/ZDB-GENE-040718-183</v>
      </c>
      <c r="J4234" t="s">
        <v>2591</v>
      </c>
    </row>
    <row r="4235" spans="1:10" x14ac:dyDescent="0.2">
      <c r="A4235">
        <v>1.2694837508717299E-13</v>
      </c>
      <c r="B4235">
        <v>-0.43894750460923099</v>
      </c>
      <c r="C4235">
        <v>0.81899999999999995</v>
      </c>
      <c r="D4235">
        <v>0.86399999999999999</v>
      </c>
      <c r="E4235">
        <v>1.7643285169615299E-9</v>
      </c>
      <c r="F4235">
        <v>12</v>
      </c>
      <c r="G4235" t="s">
        <v>882</v>
      </c>
      <c r="H4235" t="s">
        <v>883</v>
      </c>
      <c r="I4235" t="str">
        <f>HYPERLINK("https://zfin.org/ZDB-GENE-030131-5590")</f>
        <v>https://zfin.org/ZDB-GENE-030131-5590</v>
      </c>
      <c r="J4235" t="s">
        <v>884</v>
      </c>
    </row>
    <row r="4236" spans="1:10" x14ac:dyDescent="0.2">
      <c r="A4236">
        <v>1.4316071198782801E-13</v>
      </c>
      <c r="B4236">
        <v>0.40601278358802301</v>
      </c>
      <c r="C4236">
        <v>0.54500000000000004</v>
      </c>
      <c r="D4236">
        <v>0.42399999999999999</v>
      </c>
      <c r="E4236">
        <v>1.98964757520683E-9</v>
      </c>
      <c r="F4236">
        <v>12</v>
      </c>
      <c r="G4236" t="s">
        <v>6945</v>
      </c>
      <c r="H4236" t="s">
        <v>6946</v>
      </c>
      <c r="I4236" t="str">
        <f>HYPERLINK("https://zfin.org/ZDB-GENE-040426-2574")</f>
        <v>https://zfin.org/ZDB-GENE-040426-2574</v>
      </c>
      <c r="J4236" t="s">
        <v>6947</v>
      </c>
    </row>
    <row r="4237" spans="1:10" x14ac:dyDescent="0.2">
      <c r="A4237">
        <v>2.0259244185281201E-13</v>
      </c>
      <c r="B4237">
        <v>-0.51679559735980896</v>
      </c>
      <c r="C4237">
        <v>6.0999999999999999E-2</v>
      </c>
      <c r="D4237">
        <v>0.20200000000000001</v>
      </c>
      <c r="E4237">
        <v>2.8156297568703798E-9</v>
      </c>
      <c r="F4237">
        <v>12</v>
      </c>
      <c r="G4237" t="s">
        <v>2972</v>
      </c>
      <c r="H4237" t="s">
        <v>2973</v>
      </c>
      <c r="I4237" t="str">
        <f>HYPERLINK("https://zfin.org/ZDB-GENE-980526-29")</f>
        <v>https://zfin.org/ZDB-GENE-980526-29</v>
      </c>
      <c r="J4237" t="s">
        <v>2974</v>
      </c>
    </row>
    <row r="4238" spans="1:10" x14ac:dyDescent="0.2">
      <c r="A4238">
        <v>2.0804012342581899E-13</v>
      </c>
      <c r="B4238">
        <v>0.30347012837342102</v>
      </c>
      <c r="C4238">
        <v>0.105</v>
      </c>
      <c r="D4238">
        <v>3.2000000000000001E-2</v>
      </c>
      <c r="E4238">
        <v>2.8913416353720299E-9</v>
      </c>
      <c r="F4238">
        <v>12</v>
      </c>
      <c r="G4238" t="s">
        <v>6948</v>
      </c>
      <c r="H4238" t="s">
        <v>6949</v>
      </c>
      <c r="I4238" t="str">
        <f>HYPERLINK("https://zfin.org/ZDB-GENE-051113-124")</f>
        <v>https://zfin.org/ZDB-GENE-051113-124</v>
      </c>
      <c r="J4238" t="s">
        <v>6950</v>
      </c>
    </row>
    <row r="4239" spans="1:10" x14ac:dyDescent="0.2">
      <c r="A4239">
        <v>3.4521521283940601E-13</v>
      </c>
      <c r="B4239">
        <v>0.32367139704627501</v>
      </c>
      <c r="C4239">
        <v>0.152</v>
      </c>
      <c r="D4239">
        <v>5.8999999999999997E-2</v>
      </c>
      <c r="E4239">
        <v>4.7978010280420601E-9</v>
      </c>
      <c r="F4239">
        <v>12</v>
      </c>
      <c r="G4239" t="s">
        <v>6951</v>
      </c>
      <c r="H4239" t="s">
        <v>6952</v>
      </c>
      <c r="I4239" t="str">
        <f>HYPERLINK("https://zfin.org/ZDB-GENE-061103-553")</f>
        <v>https://zfin.org/ZDB-GENE-061103-553</v>
      </c>
      <c r="J4239" t="s">
        <v>6953</v>
      </c>
    </row>
    <row r="4240" spans="1:10" x14ac:dyDescent="0.2">
      <c r="A4240">
        <v>5.2956439022333901E-13</v>
      </c>
      <c r="B4240">
        <v>0.45715301853274898</v>
      </c>
      <c r="C4240">
        <v>0.318</v>
      </c>
      <c r="D4240">
        <v>0.186</v>
      </c>
      <c r="E4240">
        <v>7.3598858953239698E-9</v>
      </c>
      <c r="F4240">
        <v>12</v>
      </c>
      <c r="G4240" t="s">
        <v>2754</v>
      </c>
      <c r="H4240" t="s">
        <v>2755</v>
      </c>
      <c r="I4240" t="str">
        <f>HYPERLINK("https://zfin.org/ZDB-GENE-030131-3481")</f>
        <v>https://zfin.org/ZDB-GENE-030131-3481</v>
      </c>
      <c r="J4240" t="s">
        <v>2756</v>
      </c>
    </row>
    <row r="4241" spans="1:10" x14ac:dyDescent="0.2">
      <c r="A4241">
        <v>5.9009778926996801E-13</v>
      </c>
      <c r="B4241">
        <v>-0.49299826025007398</v>
      </c>
      <c r="C4241">
        <v>0.20599999999999999</v>
      </c>
      <c r="D4241">
        <v>0.38300000000000001</v>
      </c>
      <c r="E4241">
        <v>8.2011790752740207E-9</v>
      </c>
      <c r="F4241">
        <v>12</v>
      </c>
      <c r="G4241" t="s">
        <v>3088</v>
      </c>
      <c r="H4241" t="s">
        <v>3089</v>
      </c>
      <c r="I4241" t="str">
        <f>HYPERLINK("https://zfin.org/ZDB-GENE-060503-618")</f>
        <v>https://zfin.org/ZDB-GENE-060503-618</v>
      </c>
      <c r="J4241" t="s">
        <v>3090</v>
      </c>
    </row>
    <row r="4242" spans="1:10" x14ac:dyDescent="0.2">
      <c r="A4242">
        <v>6.1027407075581E-13</v>
      </c>
      <c r="B4242">
        <v>-0.69895566847031998</v>
      </c>
      <c r="C4242">
        <v>0.41099999999999998</v>
      </c>
      <c r="D4242">
        <v>0.55200000000000005</v>
      </c>
      <c r="E4242">
        <v>8.48158903536425E-9</v>
      </c>
      <c r="F4242">
        <v>12</v>
      </c>
      <c r="G4242" t="s">
        <v>764</v>
      </c>
      <c r="H4242" t="s">
        <v>765</v>
      </c>
      <c r="I4242" t="str">
        <f>HYPERLINK("https://zfin.org/ZDB-GENE-030131-5590")</f>
        <v>https://zfin.org/ZDB-GENE-030131-5590</v>
      </c>
      <c r="J4242" t="s">
        <v>766</v>
      </c>
    </row>
    <row r="4243" spans="1:10" x14ac:dyDescent="0.2">
      <c r="A4243">
        <v>6.2636306484206196E-13</v>
      </c>
      <c r="B4243">
        <v>-0.48213348352081697</v>
      </c>
      <c r="C4243">
        <v>0.08</v>
      </c>
      <c r="D4243">
        <v>0.223</v>
      </c>
      <c r="E4243">
        <v>8.7051938751749795E-9</v>
      </c>
      <c r="F4243">
        <v>12</v>
      </c>
      <c r="G4243" t="s">
        <v>2792</v>
      </c>
      <c r="H4243" t="s">
        <v>2793</v>
      </c>
      <c r="I4243" t="str">
        <f>HYPERLINK("https://zfin.org/ZDB-GENE-030131-9149")</f>
        <v>https://zfin.org/ZDB-GENE-030131-9149</v>
      </c>
      <c r="J4243" t="s">
        <v>2794</v>
      </c>
    </row>
    <row r="4244" spans="1:10" x14ac:dyDescent="0.2">
      <c r="A4244">
        <v>6.8919033059297303E-13</v>
      </c>
      <c r="B4244">
        <v>-0.57157125408360998</v>
      </c>
      <c r="C4244">
        <v>1.0999999999999999E-2</v>
      </c>
      <c r="D4244">
        <v>0.12</v>
      </c>
      <c r="E4244">
        <v>9.5783672145811306E-9</v>
      </c>
      <c r="F4244">
        <v>12</v>
      </c>
      <c r="G4244" t="s">
        <v>390</v>
      </c>
      <c r="H4244" t="s">
        <v>391</v>
      </c>
      <c r="I4244" t="str">
        <f>HYPERLINK("https://zfin.org/ZDB-GENE-061114-1")</f>
        <v>https://zfin.org/ZDB-GENE-061114-1</v>
      </c>
      <c r="J4244" t="s">
        <v>392</v>
      </c>
    </row>
    <row r="4245" spans="1:10" x14ac:dyDescent="0.2">
      <c r="A4245">
        <v>1.0670310806885899E-12</v>
      </c>
      <c r="B4245">
        <v>-0.41599399165824902</v>
      </c>
      <c r="C4245">
        <v>0.21299999999999999</v>
      </c>
      <c r="D4245">
        <v>0.39</v>
      </c>
      <c r="E4245">
        <v>1.48295979594101E-8</v>
      </c>
      <c r="F4245">
        <v>12</v>
      </c>
      <c r="G4245" t="s">
        <v>5826</v>
      </c>
      <c r="H4245" t="s">
        <v>5827</v>
      </c>
      <c r="I4245" t="str">
        <f>HYPERLINK("https://zfin.org/ZDB-GENE-040123-1")</f>
        <v>https://zfin.org/ZDB-GENE-040123-1</v>
      </c>
      <c r="J4245" t="s">
        <v>5828</v>
      </c>
    </row>
    <row r="4246" spans="1:10" x14ac:dyDescent="0.2">
      <c r="A4246">
        <v>1.6976305463380301E-12</v>
      </c>
      <c r="B4246">
        <v>0.38001252059698498</v>
      </c>
      <c r="C4246">
        <v>0.23400000000000001</v>
      </c>
      <c r="D4246">
        <v>0.12</v>
      </c>
      <c r="E4246">
        <v>2.3593669333006E-8</v>
      </c>
      <c r="F4246">
        <v>12</v>
      </c>
      <c r="G4246" t="s">
        <v>6954</v>
      </c>
      <c r="H4246" t="s">
        <v>6955</v>
      </c>
      <c r="I4246" t="str">
        <f>HYPERLINK("https://zfin.org/ZDB-GENE-021115-6")</f>
        <v>https://zfin.org/ZDB-GENE-021115-6</v>
      </c>
      <c r="J4246" t="s">
        <v>6956</v>
      </c>
    </row>
    <row r="4247" spans="1:10" x14ac:dyDescent="0.2">
      <c r="A4247">
        <v>1.9221029490252599E-12</v>
      </c>
      <c r="B4247">
        <v>0.34988010318790302</v>
      </c>
      <c r="C4247">
        <v>0.156</v>
      </c>
      <c r="D4247">
        <v>6.4000000000000001E-2</v>
      </c>
      <c r="E4247">
        <v>2.6713386785553099E-8</v>
      </c>
      <c r="F4247">
        <v>12</v>
      </c>
      <c r="G4247" t="s">
        <v>6957</v>
      </c>
      <c r="H4247" t="s">
        <v>6958</v>
      </c>
      <c r="I4247" t="str">
        <f>HYPERLINK("https://zfin.org/ZDB-GENE-060526-117")</f>
        <v>https://zfin.org/ZDB-GENE-060526-117</v>
      </c>
      <c r="J4247" t="s">
        <v>6959</v>
      </c>
    </row>
    <row r="4248" spans="1:10" x14ac:dyDescent="0.2">
      <c r="A4248">
        <v>2.0400529868847199E-12</v>
      </c>
      <c r="B4248">
        <v>-0.44789925293438099</v>
      </c>
      <c r="C4248">
        <v>2.7E-2</v>
      </c>
      <c r="D4248">
        <v>0.14399999999999999</v>
      </c>
      <c r="E4248">
        <v>2.8352656411723798E-8</v>
      </c>
      <c r="F4248">
        <v>12</v>
      </c>
      <c r="G4248" t="s">
        <v>3468</v>
      </c>
      <c r="H4248" t="s">
        <v>3469</v>
      </c>
      <c r="I4248" t="str">
        <f>HYPERLINK("https://zfin.org/ZDB-GENE-081105-161")</f>
        <v>https://zfin.org/ZDB-GENE-081105-161</v>
      </c>
      <c r="J4248" t="s">
        <v>3470</v>
      </c>
    </row>
    <row r="4249" spans="1:10" x14ac:dyDescent="0.2">
      <c r="A4249">
        <v>2.4226978378430802E-12</v>
      </c>
      <c r="B4249">
        <v>0.38328994673497602</v>
      </c>
      <c r="C4249">
        <v>0.23200000000000001</v>
      </c>
      <c r="D4249">
        <v>0.11799999999999999</v>
      </c>
      <c r="E4249">
        <v>3.36706545503431E-8</v>
      </c>
      <c r="F4249">
        <v>12</v>
      </c>
      <c r="G4249" t="s">
        <v>6960</v>
      </c>
      <c r="H4249" t="s">
        <v>6961</v>
      </c>
      <c r="I4249" t="str">
        <f>HYPERLINK("https://zfin.org/ZDB-GENE-071120-5")</f>
        <v>https://zfin.org/ZDB-GENE-071120-5</v>
      </c>
      <c r="J4249" t="s">
        <v>6962</v>
      </c>
    </row>
    <row r="4250" spans="1:10" x14ac:dyDescent="0.2">
      <c r="A4250">
        <v>2.89176324913134E-12</v>
      </c>
      <c r="B4250">
        <v>0.38988447366740497</v>
      </c>
      <c r="C4250">
        <v>0.33700000000000002</v>
      </c>
      <c r="D4250">
        <v>0.20399999999999999</v>
      </c>
      <c r="E4250">
        <v>4.0189725636427297E-8</v>
      </c>
      <c r="F4250">
        <v>12</v>
      </c>
      <c r="G4250" t="s">
        <v>6612</v>
      </c>
      <c r="H4250" t="s">
        <v>6613</v>
      </c>
      <c r="I4250" t="str">
        <f>HYPERLINK("https://zfin.org/ZDB-GENE-040912-24")</f>
        <v>https://zfin.org/ZDB-GENE-040912-24</v>
      </c>
      <c r="J4250" t="s">
        <v>6614</v>
      </c>
    </row>
    <row r="4251" spans="1:10" x14ac:dyDescent="0.2">
      <c r="A4251">
        <v>3.3842911615281599E-12</v>
      </c>
      <c r="B4251">
        <v>0.38443261589052502</v>
      </c>
      <c r="C4251">
        <v>0.26900000000000002</v>
      </c>
      <c r="D4251">
        <v>0.151</v>
      </c>
      <c r="E4251">
        <v>4.7034878562918302E-8</v>
      </c>
      <c r="F4251">
        <v>12</v>
      </c>
      <c r="G4251" t="s">
        <v>6963</v>
      </c>
      <c r="H4251" t="s">
        <v>6964</v>
      </c>
      <c r="I4251" t="str">
        <f>HYPERLINK("https://zfin.org/ZDB-GENE-990415-257")</f>
        <v>https://zfin.org/ZDB-GENE-990415-257</v>
      </c>
      <c r="J4251" t="s">
        <v>6965</v>
      </c>
    </row>
    <row r="4252" spans="1:10" x14ac:dyDescent="0.2">
      <c r="A4252">
        <v>4.1191786795061701E-12</v>
      </c>
      <c r="B4252">
        <v>0.37084294922856798</v>
      </c>
      <c r="C4252">
        <v>0.371</v>
      </c>
      <c r="D4252">
        <v>0.23899999999999999</v>
      </c>
      <c r="E4252">
        <v>5.7248345287776802E-8</v>
      </c>
      <c r="F4252">
        <v>12</v>
      </c>
      <c r="G4252" t="s">
        <v>6343</v>
      </c>
      <c r="H4252" t="s">
        <v>6344</v>
      </c>
      <c r="I4252" t="str">
        <f>HYPERLINK("https://zfin.org/ZDB-GENE-060929-780")</f>
        <v>https://zfin.org/ZDB-GENE-060929-780</v>
      </c>
      <c r="J4252" t="s">
        <v>6345</v>
      </c>
    </row>
    <row r="4253" spans="1:10" x14ac:dyDescent="0.2">
      <c r="A4253">
        <v>4.5644574655983898E-12</v>
      </c>
      <c r="B4253">
        <v>0.36291095226754</v>
      </c>
      <c r="C4253">
        <v>0.49299999999999999</v>
      </c>
      <c r="D4253">
        <v>0.36699999999999999</v>
      </c>
      <c r="E4253">
        <v>6.3436829856886405E-8</v>
      </c>
      <c r="F4253">
        <v>12</v>
      </c>
      <c r="G4253" t="s">
        <v>6966</v>
      </c>
      <c r="H4253" t="s">
        <v>6967</v>
      </c>
      <c r="I4253" t="str">
        <f>HYPERLINK("https://zfin.org/ZDB-GENE-041114-109")</f>
        <v>https://zfin.org/ZDB-GENE-041114-109</v>
      </c>
      <c r="J4253" t="s">
        <v>6968</v>
      </c>
    </row>
    <row r="4254" spans="1:10" x14ac:dyDescent="0.2">
      <c r="A4254">
        <v>5.0816094041230101E-12</v>
      </c>
      <c r="B4254">
        <v>0.39028964595251298</v>
      </c>
      <c r="C4254">
        <v>0.185</v>
      </c>
      <c r="D4254">
        <v>8.5999999999999993E-2</v>
      </c>
      <c r="E4254">
        <v>7.0624207498501502E-8</v>
      </c>
      <c r="F4254">
        <v>12</v>
      </c>
      <c r="G4254" t="s">
        <v>6969</v>
      </c>
      <c r="H4254" t="s">
        <v>6970</v>
      </c>
      <c r="I4254" t="str">
        <f>HYPERLINK("https://zfin.org/ZDB-GENE-030131-7489")</f>
        <v>https://zfin.org/ZDB-GENE-030131-7489</v>
      </c>
      <c r="J4254" t="s">
        <v>6971</v>
      </c>
    </row>
    <row r="4255" spans="1:10" x14ac:dyDescent="0.2">
      <c r="A4255">
        <v>6.06065103703849E-12</v>
      </c>
      <c r="B4255">
        <v>0.37206059742872699</v>
      </c>
      <c r="C4255">
        <v>0.44600000000000001</v>
      </c>
      <c r="D4255">
        <v>0.317</v>
      </c>
      <c r="E4255">
        <v>8.4230928112760902E-8</v>
      </c>
      <c r="F4255">
        <v>12</v>
      </c>
      <c r="G4255" t="s">
        <v>3399</v>
      </c>
      <c r="H4255" t="s">
        <v>3400</v>
      </c>
      <c r="I4255" t="str">
        <f>HYPERLINK("https://zfin.org/ZDB-GENE-030113-3")</f>
        <v>https://zfin.org/ZDB-GENE-030113-3</v>
      </c>
      <c r="J4255" t="s">
        <v>3401</v>
      </c>
    </row>
    <row r="4256" spans="1:10" x14ac:dyDescent="0.2">
      <c r="A4256">
        <v>8.8040968838154498E-12</v>
      </c>
      <c r="B4256">
        <v>0.31033080863503998</v>
      </c>
      <c r="C4256">
        <v>0.67800000000000005</v>
      </c>
      <c r="D4256">
        <v>0.6</v>
      </c>
      <c r="E4256">
        <v>1.2235933849126701E-7</v>
      </c>
      <c r="F4256">
        <v>12</v>
      </c>
      <c r="G4256" t="s">
        <v>2499</v>
      </c>
      <c r="H4256" t="s">
        <v>2500</v>
      </c>
      <c r="I4256" t="str">
        <f>HYPERLINK("https://zfin.org/ZDB-GENE-030131-4915")</f>
        <v>https://zfin.org/ZDB-GENE-030131-4915</v>
      </c>
      <c r="J4256" t="s">
        <v>2501</v>
      </c>
    </row>
    <row r="4257" spans="1:10" x14ac:dyDescent="0.2">
      <c r="A4257">
        <v>9.2886612326072792E-12</v>
      </c>
      <c r="B4257">
        <v>0.30342499620426999</v>
      </c>
      <c r="C4257">
        <v>0.67600000000000005</v>
      </c>
      <c r="D4257">
        <v>0.57399999999999995</v>
      </c>
      <c r="E4257">
        <v>1.2909381381077601E-7</v>
      </c>
      <c r="F4257">
        <v>12</v>
      </c>
      <c r="G4257" t="s">
        <v>2475</v>
      </c>
      <c r="H4257" t="s">
        <v>2476</v>
      </c>
      <c r="I4257" t="str">
        <f>HYPERLINK("https://zfin.org/ZDB-GENE-030131-269")</f>
        <v>https://zfin.org/ZDB-GENE-030131-269</v>
      </c>
      <c r="J4257" t="s">
        <v>2477</v>
      </c>
    </row>
    <row r="4258" spans="1:10" x14ac:dyDescent="0.2">
      <c r="A4258">
        <v>9.2953316873740794E-12</v>
      </c>
      <c r="B4258">
        <v>-0.88693487652604097</v>
      </c>
      <c r="C4258">
        <v>0.66500000000000004</v>
      </c>
      <c r="D4258">
        <v>0.78200000000000003</v>
      </c>
      <c r="E4258">
        <v>1.2918651979112499E-7</v>
      </c>
      <c r="F4258">
        <v>12</v>
      </c>
      <c r="G4258" t="s">
        <v>749</v>
      </c>
      <c r="H4258" t="s">
        <v>750</v>
      </c>
      <c r="I4258" t="str">
        <f>HYPERLINK("https://zfin.org/ZDB-GENE-050522-428")</f>
        <v>https://zfin.org/ZDB-GENE-050522-428</v>
      </c>
      <c r="J4258" t="s">
        <v>751</v>
      </c>
    </row>
    <row r="4259" spans="1:10" x14ac:dyDescent="0.2">
      <c r="A4259">
        <v>9.4209809464812907E-12</v>
      </c>
      <c r="B4259">
        <v>0.28181635077440997</v>
      </c>
      <c r="C4259">
        <v>0.53100000000000003</v>
      </c>
      <c r="D4259">
        <v>0.376</v>
      </c>
      <c r="E4259">
        <v>1.3093279319419701E-7</v>
      </c>
      <c r="F4259">
        <v>12</v>
      </c>
      <c r="G4259" t="s">
        <v>2274</v>
      </c>
      <c r="H4259" t="s">
        <v>2275</v>
      </c>
      <c r="I4259" t="str">
        <f>HYPERLINK("https://zfin.org/ZDB-GENE-041114-138")</f>
        <v>https://zfin.org/ZDB-GENE-041114-138</v>
      </c>
      <c r="J4259" t="s">
        <v>2276</v>
      </c>
    </row>
    <row r="4260" spans="1:10" x14ac:dyDescent="0.2">
      <c r="A4260">
        <v>9.7389866991188701E-12</v>
      </c>
      <c r="B4260">
        <v>0.35251594698210997</v>
      </c>
      <c r="C4260">
        <v>0.192</v>
      </c>
      <c r="D4260">
        <v>9.1999999999999998E-2</v>
      </c>
      <c r="E4260">
        <v>1.3535243714435401E-7</v>
      </c>
      <c r="F4260">
        <v>12</v>
      </c>
      <c r="G4260" t="s">
        <v>6972</v>
      </c>
      <c r="H4260" t="s">
        <v>6973</v>
      </c>
      <c r="I4260" t="str">
        <f>HYPERLINK("https://zfin.org/ZDB-GENE-040426-1877")</f>
        <v>https://zfin.org/ZDB-GENE-040426-1877</v>
      </c>
      <c r="J4260" t="s">
        <v>6974</v>
      </c>
    </row>
    <row r="4261" spans="1:10" x14ac:dyDescent="0.2">
      <c r="A4261">
        <v>1.12830193704363E-11</v>
      </c>
      <c r="B4261">
        <v>-0.53822601570022</v>
      </c>
      <c r="C4261">
        <v>0.88400000000000001</v>
      </c>
      <c r="D4261">
        <v>0.92</v>
      </c>
      <c r="E4261">
        <v>1.5681140321032399E-7</v>
      </c>
      <c r="F4261">
        <v>12</v>
      </c>
      <c r="G4261" t="s">
        <v>3631</v>
      </c>
      <c r="H4261" t="s">
        <v>3632</v>
      </c>
      <c r="I4261" t="str">
        <f>HYPERLINK("https://zfin.org/ZDB-GENE-051120-126")</f>
        <v>https://zfin.org/ZDB-GENE-051120-126</v>
      </c>
      <c r="J4261" t="s">
        <v>3633</v>
      </c>
    </row>
    <row r="4262" spans="1:10" x14ac:dyDescent="0.2">
      <c r="A4262">
        <v>1.4402985655812599E-11</v>
      </c>
      <c r="B4262">
        <v>0.37734440276138398</v>
      </c>
      <c r="C4262">
        <v>0.156</v>
      </c>
      <c r="D4262">
        <v>6.7000000000000004E-2</v>
      </c>
      <c r="E4262">
        <v>2.00172694644484E-7</v>
      </c>
      <c r="F4262">
        <v>12</v>
      </c>
      <c r="G4262" t="s">
        <v>6975</v>
      </c>
      <c r="H4262" t="s">
        <v>6976</v>
      </c>
      <c r="I4262" t="str">
        <f>HYPERLINK("https://zfin.org/ZDB-GENE-060929-902")</f>
        <v>https://zfin.org/ZDB-GENE-060929-902</v>
      </c>
      <c r="J4262" t="s">
        <v>6977</v>
      </c>
    </row>
    <row r="4263" spans="1:10" x14ac:dyDescent="0.2">
      <c r="A4263">
        <v>1.5501914190972802E-11</v>
      </c>
      <c r="B4263">
        <v>0.25917220352889803</v>
      </c>
      <c r="C4263">
        <v>0.77700000000000002</v>
      </c>
      <c r="D4263">
        <v>0.70899999999999996</v>
      </c>
      <c r="E4263">
        <v>2.1544560342614E-7</v>
      </c>
      <c r="F4263">
        <v>12</v>
      </c>
      <c r="G4263" t="s">
        <v>6834</v>
      </c>
      <c r="H4263" t="s">
        <v>6835</v>
      </c>
      <c r="I4263" t="str">
        <f>HYPERLINK("https://zfin.org/ZDB-GENE-040426-2308")</f>
        <v>https://zfin.org/ZDB-GENE-040426-2308</v>
      </c>
      <c r="J4263" t="s">
        <v>6836</v>
      </c>
    </row>
    <row r="4264" spans="1:10" x14ac:dyDescent="0.2">
      <c r="A4264">
        <v>1.85922748721962E-11</v>
      </c>
      <c r="B4264">
        <v>0.344058400350302</v>
      </c>
      <c r="C4264">
        <v>0.17899999999999999</v>
      </c>
      <c r="D4264">
        <v>8.3000000000000004E-2</v>
      </c>
      <c r="E4264">
        <v>2.58395436173783E-7</v>
      </c>
      <c r="F4264">
        <v>12</v>
      </c>
      <c r="G4264" t="s">
        <v>6978</v>
      </c>
      <c r="H4264" t="s">
        <v>6979</v>
      </c>
      <c r="I4264" t="str">
        <f>HYPERLINK("https://zfin.org/ZDB-GENE-050522-18")</f>
        <v>https://zfin.org/ZDB-GENE-050522-18</v>
      </c>
      <c r="J4264" t="s">
        <v>6980</v>
      </c>
    </row>
    <row r="4265" spans="1:10" x14ac:dyDescent="0.2">
      <c r="A4265">
        <v>1.9065720835766401E-11</v>
      </c>
      <c r="B4265">
        <v>0.275167001403616</v>
      </c>
      <c r="C4265">
        <v>0.10100000000000001</v>
      </c>
      <c r="D4265">
        <v>3.3000000000000002E-2</v>
      </c>
      <c r="E4265">
        <v>2.6497538817548101E-7</v>
      </c>
      <c r="F4265">
        <v>12</v>
      </c>
      <c r="G4265" t="s">
        <v>3002</v>
      </c>
      <c r="H4265" t="s">
        <v>3003</v>
      </c>
      <c r="I4265" t="str">
        <f>HYPERLINK("https://zfin.org/ZDB-GENE-060503-653")</f>
        <v>https://zfin.org/ZDB-GENE-060503-653</v>
      </c>
      <c r="J4265" t="s">
        <v>3004</v>
      </c>
    </row>
    <row r="4266" spans="1:10" x14ac:dyDescent="0.2">
      <c r="A4266">
        <v>2.0296842947197401E-11</v>
      </c>
      <c r="B4266">
        <v>-0.38575171290600202</v>
      </c>
      <c r="C4266">
        <v>1.4999999999999999E-2</v>
      </c>
      <c r="D4266">
        <v>0.114</v>
      </c>
      <c r="E4266">
        <v>2.8208552328014902E-7</v>
      </c>
      <c r="F4266">
        <v>12</v>
      </c>
      <c r="G4266" t="s">
        <v>6665</v>
      </c>
      <c r="H4266" t="s">
        <v>6666</v>
      </c>
      <c r="I4266" t="str">
        <f>HYPERLINK("https://zfin.org/ZDB-GENE-030616-624")</f>
        <v>https://zfin.org/ZDB-GENE-030616-624</v>
      </c>
      <c r="J4266" t="s">
        <v>6667</v>
      </c>
    </row>
    <row r="4267" spans="1:10" x14ac:dyDescent="0.2">
      <c r="A4267">
        <v>2.5400515813782E-11</v>
      </c>
      <c r="B4267">
        <v>-0.34947265594531302</v>
      </c>
      <c r="C4267">
        <v>0.126</v>
      </c>
      <c r="D4267">
        <v>0.27500000000000002</v>
      </c>
      <c r="E4267">
        <v>3.5301636877994198E-7</v>
      </c>
      <c r="F4267">
        <v>12</v>
      </c>
      <c r="G4267" t="s">
        <v>1504</v>
      </c>
      <c r="H4267" t="s">
        <v>1505</v>
      </c>
      <c r="I4267" t="str">
        <f>HYPERLINK("https://zfin.org/ZDB-GENE-040426-1861")</f>
        <v>https://zfin.org/ZDB-GENE-040426-1861</v>
      </c>
      <c r="J4267" t="s">
        <v>1506</v>
      </c>
    </row>
    <row r="4268" spans="1:10" x14ac:dyDescent="0.2">
      <c r="A4268">
        <v>2.55165552214465E-11</v>
      </c>
      <c r="B4268">
        <v>-0.37304978457003202</v>
      </c>
      <c r="C4268">
        <v>1.2999999999999999E-2</v>
      </c>
      <c r="D4268">
        <v>0.11</v>
      </c>
      <c r="E4268">
        <v>3.5462908446766299E-7</v>
      </c>
      <c r="F4268">
        <v>12</v>
      </c>
      <c r="G4268" t="s">
        <v>3264</v>
      </c>
      <c r="H4268" t="s">
        <v>3265</v>
      </c>
      <c r="I4268" t="str">
        <f>HYPERLINK("https://zfin.org/ZDB-GENE-110718-2")</f>
        <v>https://zfin.org/ZDB-GENE-110718-2</v>
      </c>
      <c r="J4268" t="s">
        <v>3266</v>
      </c>
    </row>
    <row r="4269" spans="1:10" x14ac:dyDescent="0.2">
      <c r="A4269">
        <v>2.8260863916487699E-11</v>
      </c>
      <c r="B4269">
        <v>0.413241427312103</v>
      </c>
      <c r="C4269">
        <v>0.23400000000000001</v>
      </c>
      <c r="D4269">
        <v>0.128</v>
      </c>
      <c r="E4269">
        <v>3.9276948671134598E-7</v>
      </c>
      <c r="F4269">
        <v>12</v>
      </c>
      <c r="G4269" t="s">
        <v>3375</v>
      </c>
      <c r="H4269" t="s">
        <v>3376</v>
      </c>
      <c r="I4269" t="str">
        <f>HYPERLINK("https://zfin.org/ZDB-GENE-020402-4")</f>
        <v>https://zfin.org/ZDB-GENE-020402-4</v>
      </c>
      <c r="J4269" t="s">
        <v>3377</v>
      </c>
    </row>
    <row r="4270" spans="1:10" x14ac:dyDescent="0.2">
      <c r="A4270">
        <v>3.12477249697388E-11</v>
      </c>
      <c r="B4270">
        <v>0.40293869867050203</v>
      </c>
      <c r="C4270">
        <v>0.39200000000000002</v>
      </c>
      <c r="D4270">
        <v>0.26900000000000002</v>
      </c>
      <c r="E4270">
        <v>4.3428088162942999E-7</v>
      </c>
      <c r="F4270">
        <v>12</v>
      </c>
      <c r="G4270" t="s">
        <v>6981</v>
      </c>
      <c r="H4270" t="s">
        <v>6982</v>
      </c>
      <c r="I4270" t="str">
        <f>HYPERLINK("https://zfin.org/ZDB-GENE-040426-2830")</f>
        <v>https://zfin.org/ZDB-GENE-040426-2830</v>
      </c>
      <c r="J4270" t="s">
        <v>6983</v>
      </c>
    </row>
    <row r="4271" spans="1:10" x14ac:dyDescent="0.2">
      <c r="A4271">
        <v>3.1778528057445802E-11</v>
      </c>
      <c r="B4271">
        <v>0.40541630329429701</v>
      </c>
      <c r="C4271">
        <v>0.309</v>
      </c>
      <c r="D4271">
        <v>0.19</v>
      </c>
      <c r="E4271">
        <v>4.41657982942382E-7</v>
      </c>
      <c r="F4271">
        <v>12</v>
      </c>
      <c r="G4271" t="s">
        <v>6984</v>
      </c>
      <c r="H4271" t="s">
        <v>6985</v>
      </c>
      <c r="I4271" t="str">
        <f>HYPERLINK("https://zfin.org/ZDB-GENE-041212-69")</f>
        <v>https://zfin.org/ZDB-GENE-041212-69</v>
      </c>
      <c r="J4271" t="s">
        <v>6986</v>
      </c>
    </row>
    <row r="4272" spans="1:10" x14ac:dyDescent="0.2">
      <c r="A4272">
        <v>3.2099209127794797E-11</v>
      </c>
      <c r="B4272">
        <v>0.39112879046120602</v>
      </c>
      <c r="C4272">
        <v>0.375</v>
      </c>
      <c r="D4272">
        <v>0.252</v>
      </c>
      <c r="E4272">
        <v>4.4611480845809197E-7</v>
      </c>
      <c r="F4272">
        <v>12</v>
      </c>
      <c r="G4272" t="s">
        <v>6987</v>
      </c>
      <c r="H4272" t="s">
        <v>6988</v>
      </c>
      <c r="I4272" t="str">
        <f>HYPERLINK("https://zfin.org/ZDB-GENE-040426-2417")</f>
        <v>https://zfin.org/ZDB-GENE-040426-2417</v>
      </c>
      <c r="J4272" t="s">
        <v>6989</v>
      </c>
    </row>
    <row r="4273" spans="1:10" x14ac:dyDescent="0.2">
      <c r="A4273">
        <v>3.3621489863594301E-11</v>
      </c>
      <c r="B4273">
        <v>-0.45737504403116203</v>
      </c>
      <c r="C4273">
        <v>7.8E-2</v>
      </c>
      <c r="D4273">
        <v>0.20599999999999999</v>
      </c>
      <c r="E4273">
        <v>4.67271466124234E-7</v>
      </c>
      <c r="F4273">
        <v>12</v>
      </c>
      <c r="G4273" t="s">
        <v>3501</v>
      </c>
      <c r="H4273" t="s">
        <v>3502</v>
      </c>
      <c r="I4273" t="str">
        <f>HYPERLINK("https://zfin.org/ZDB-GENE-030131-5561")</f>
        <v>https://zfin.org/ZDB-GENE-030131-5561</v>
      </c>
      <c r="J4273" t="s">
        <v>3503</v>
      </c>
    </row>
    <row r="4274" spans="1:10" x14ac:dyDescent="0.2">
      <c r="A4274">
        <v>3.5757310391695003E-11</v>
      </c>
      <c r="B4274">
        <v>0.39122689813164502</v>
      </c>
      <c r="C4274">
        <v>0.80600000000000005</v>
      </c>
      <c r="D4274">
        <v>0.76</v>
      </c>
      <c r="E4274">
        <v>4.9695509982377695E-7</v>
      </c>
      <c r="F4274">
        <v>12</v>
      </c>
      <c r="G4274" t="s">
        <v>2858</v>
      </c>
      <c r="H4274" t="s">
        <v>2859</v>
      </c>
      <c r="I4274" t="str">
        <f>HYPERLINK("https://zfin.org/ZDB-GENE-991110-23")</f>
        <v>https://zfin.org/ZDB-GENE-991110-23</v>
      </c>
      <c r="J4274" t="s">
        <v>2860</v>
      </c>
    </row>
    <row r="4275" spans="1:10" x14ac:dyDescent="0.2">
      <c r="A4275">
        <v>5.81041292801253E-11</v>
      </c>
      <c r="B4275">
        <v>0.40391309174311002</v>
      </c>
      <c r="C4275">
        <v>0.217</v>
      </c>
      <c r="D4275">
        <v>0.11799999999999999</v>
      </c>
      <c r="E4275">
        <v>8.0753118873518198E-7</v>
      </c>
      <c r="F4275">
        <v>12</v>
      </c>
      <c r="G4275" t="s">
        <v>6990</v>
      </c>
      <c r="H4275" t="s">
        <v>6991</v>
      </c>
      <c r="I4275" t="str">
        <f>HYPERLINK("https://zfin.org/ZDB-GENE-070410-43")</f>
        <v>https://zfin.org/ZDB-GENE-070410-43</v>
      </c>
      <c r="J4275" t="s">
        <v>6992</v>
      </c>
    </row>
    <row r="4276" spans="1:10" x14ac:dyDescent="0.2">
      <c r="A4276">
        <v>6.3081706319555503E-11</v>
      </c>
      <c r="B4276">
        <v>0.45784887467004098</v>
      </c>
      <c r="C4276">
        <v>0.318</v>
      </c>
      <c r="D4276">
        <v>0.20100000000000001</v>
      </c>
      <c r="E4276">
        <v>8.7670955442918296E-7</v>
      </c>
      <c r="F4276">
        <v>12</v>
      </c>
      <c r="G4276" t="s">
        <v>6993</v>
      </c>
      <c r="H4276" t="s">
        <v>6994</v>
      </c>
      <c r="I4276" t="str">
        <f>HYPERLINK("https://zfin.org/ZDB-GENE-991111-3")</f>
        <v>https://zfin.org/ZDB-GENE-991111-3</v>
      </c>
      <c r="J4276" t="s">
        <v>6995</v>
      </c>
    </row>
    <row r="4277" spans="1:10" x14ac:dyDescent="0.2">
      <c r="A4277">
        <v>7.5600817847105599E-11</v>
      </c>
      <c r="B4277">
        <v>0.35961146763188401</v>
      </c>
      <c r="C4277">
        <v>0.32200000000000001</v>
      </c>
      <c r="D4277">
        <v>0.19800000000000001</v>
      </c>
      <c r="E4277">
        <v>1.05070016643907E-6</v>
      </c>
      <c r="F4277">
        <v>12</v>
      </c>
      <c r="G4277" t="s">
        <v>6624</v>
      </c>
      <c r="H4277" t="s">
        <v>6625</v>
      </c>
      <c r="I4277" t="str">
        <f>HYPERLINK("https://zfin.org/ZDB-GENE-050417-307")</f>
        <v>https://zfin.org/ZDB-GENE-050417-307</v>
      </c>
      <c r="J4277" t="s">
        <v>6626</v>
      </c>
    </row>
    <row r="4278" spans="1:10" x14ac:dyDescent="0.2">
      <c r="A4278">
        <v>8.0485090761493406E-11</v>
      </c>
      <c r="B4278">
        <v>0.43739524634971699</v>
      </c>
      <c r="C4278">
        <v>0.17499999999999999</v>
      </c>
      <c r="D4278">
        <v>8.3000000000000004E-2</v>
      </c>
      <c r="E4278">
        <v>1.1185817914032401E-6</v>
      </c>
      <c r="F4278">
        <v>12</v>
      </c>
      <c r="G4278" t="s">
        <v>3234</v>
      </c>
      <c r="H4278" t="s">
        <v>3235</v>
      </c>
      <c r="I4278" t="str">
        <f>HYPERLINK("https://zfin.org/ZDB-GENE-020102-1")</f>
        <v>https://zfin.org/ZDB-GENE-020102-1</v>
      </c>
      <c r="J4278" t="s">
        <v>3236</v>
      </c>
    </row>
    <row r="4279" spans="1:10" x14ac:dyDescent="0.2">
      <c r="A4279">
        <v>1.0084266743289E-10</v>
      </c>
      <c r="B4279">
        <v>0.33721155694486499</v>
      </c>
      <c r="C4279">
        <v>0.6</v>
      </c>
      <c r="D4279">
        <v>0.495</v>
      </c>
      <c r="E4279">
        <v>1.40151139198231E-6</v>
      </c>
      <c r="F4279">
        <v>12</v>
      </c>
      <c r="G4279" t="s">
        <v>2487</v>
      </c>
      <c r="H4279" t="s">
        <v>2488</v>
      </c>
      <c r="I4279" t="str">
        <f>HYPERLINK("https://zfin.org/ZDB-GENE-040912-149")</f>
        <v>https://zfin.org/ZDB-GENE-040912-149</v>
      </c>
      <c r="J4279" t="s">
        <v>2489</v>
      </c>
    </row>
    <row r="4280" spans="1:10" x14ac:dyDescent="0.2">
      <c r="A4280">
        <v>1.06110454604036E-10</v>
      </c>
      <c r="B4280">
        <v>-0.768177277442321</v>
      </c>
      <c r="C4280">
        <v>0.35799999999999998</v>
      </c>
      <c r="D4280">
        <v>0.504</v>
      </c>
      <c r="E4280">
        <v>1.4747230980868901E-6</v>
      </c>
      <c r="F4280">
        <v>12</v>
      </c>
      <c r="G4280" t="s">
        <v>900</v>
      </c>
      <c r="H4280" t="s">
        <v>901</v>
      </c>
      <c r="I4280" t="str">
        <f>HYPERLINK("https://zfin.org/ZDB-GENE-040426-2879")</f>
        <v>https://zfin.org/ZDB-GENE-040426-2879</v>
      </c>
      <c r="J4280" t="s">
        <v>902</v>
      </c>
    </row>
    <row r="4281" spans="1:10" x14ac:dyDescent="0.2">
      <c r="A4281">
        <v>1.13544136922118E-10</v>
      </c>
      <c r="B4281">
        <v>-0.33364558990430598</v>
      </c>
      <c r="C4281">
        <v>0.255</v>
      </c>
      <c r="D4281">
        <v>0.41799999999999998</v>
      </c>
      <c r="E4281">
        <v>1.57803641494359E-6</v>
      </c>
      <c r="F4281">
        <v>12</v>
      </c>
      <c r="G4281" t="s">
        <v>1438</v>
      </c>
      <c r="H4281" t="s">
        <v>1439</v>
      </c>
      <c r="I4281" t="str">
        <f>HYPERLINK("https://zfin.org/ZDB-GENE-040625-38")</f>
        <v>https://zfin.org/ZDB-GENE-040625-38</v>
      </c>
      <c r="J4281" t="s">
        <v>1440</v>
      </c>
    </row>
    <row r="4282" spans="1:10" x14ac:dyDescent="0.2">
      <c r="A4282">
        <v>1.5422280611348599E-10</v>
      </c>
      <c r="B4282">
        <v>-0.35278628009403001</v>
      </c>
      <c r="C4282">
        <v>9.0999999999999998E-2</v>
      </c>
      <c r="D4282">
        <v>0.221</v>
      </c>
      <c r="E4282">
        <v>2.1433885593652298E-6</v>
      </c>
      <c r="F4282">
        <v>12</v>
      </c>
      <c r="G4282" t="s">
        <v>6538</v>
      </c>
      <c r="H4282" t="s">
        <v>6539</v>
      </c>
      <c r="I4282" t="str">
        <f>HYPERLINK("https://zfin.org/ZDB-GENE-000831-5")</f>
        <v>https://zfin.org/ZDB-GENE-000831-5</v>
      </c>
      <c r="J4282" t="s">
        <v>6540</v>
      </c>
    </row>
    <row r="4283" spans="1:10" x14ac:dyDescent="0.2">
      <c r="A4283">
        <v>1.6340818886306099E-10</v>
      </c>
      <c r="B4283">
        <v>-0.433952816637804</v>
      </c>
      <c r="C4283">
        <v>0.29099999999999998</v>
      </c>
      <c r="D4283">
        <v>0.438</v>
      </c>
      <c r="E4283">
        <v>2.2710470088188202E-6</v>
      </c>
      <c r="F4283">
        <v>12</v>
      </c>
      <c r="G4283" t="s">
        <v>1098</v>
      </c>
      <c r="H4283" t="s">
        <v>1099</v>
      </c>
      <c r="I4283" t="str">
        <f>HYPERLINK("https://zfin.org/ZDB-GENE-030127-1")</f>
        <v>https://zfin.org/ZDB-GENE-030127-1</v>
      </c>
      <c r="J4283" t="s">
        <v>1100</v>
      </c>
    </row>
    <row r="4284" spans="1:10" x14ac:dyDescent="0.2">
      <c r="A4284">
        <v>1.6560446286082099E-10</v>
      </c>
      <c r="B4284">
        <v>-0.46980297735611298</v>
      </c>
      <c r="C4284">
        <v>0.309</v>
      </c>
      <c r="D4284">
        <v>0.46200000000000002</v>
      </c>
      <c r="E4284">
        <v>2.3015708248396902E-6</v>
      </c>
      <c r="F4284">
        <v>12</v>
      </c>
      <c r="G4284" t="s">
        <v>2415</v>
      </c>
      <c r="H4284" t="s">
        <v>2416</v>
      </c>
      <c r="I4284" t="str">
        <f>HYPERLINK("https://zfin.org/ZDB-GENE-980526-416")</f>
        <v>https://zfin.org/ZDB-GENE-980526-416</v>
      </c>
      <c r="J4284" t="s">
        <v>2417</v>
      </c>
    </row>
    <row r="4285" spans="1:10" x14ac:dyDescent="0.2">
      <c r="A4285">
        <v>1.6775623466201501E-10</v>
      </c>
      <c r="B4285">
        <v>0.272677052221312</v>
      </c>
      <c r="C4285">
        <v>0.107</v>
      </c>
      <c r="D4285">
        <v>0.04</v>
      </c>
      <c r="E4285">
        <v>2.33147614933268E-6</v>
      </c>
      <c r="F4285">
        <v>12</v>
      </c>
      <c r="G4285" t="s">
        <v>6996</v>
      </c>
      <c r="H4285" t="s">
        <v>6997</v>
      </c>
      <c r="I4285" t="str">
        <f>HYPERLINK("https://zfin.org/ZDB-GENE-041014-323")</f>
        <v>https://zfin.org/ZDB-GENE-041014-323</v>
      </c>
      <c r="J4285" t="s">
        <v>6998</v>
      </c>
    </row>
    <row r="4286" spans="1:10" x14ac:dyDescent="0.2">
      <c r="A4286">
        <v>1.68712491716971E-10</v>
      </c>
      <c r="B4286">
        <v>0.360723126424638</v>
      </c>
      <c r="C4286">
        <v>0.14699999999999999</v>
      </c>
      <c r="D4286">
        <v>6.5000000000000002E-2</v>
      </c>
      <c r="E4286">
        <v>2.3447662098824598E-6</v>
      </c>
      <c r="F4286">
        <v>12</v>
      </c>
      <c r="G4286" t="s">
        <v>6999</v>
      </c>
      <c r="H4286" t="s">
        <v>7000</v>
      </c>
      <c r="I4286" t="str">
        <f>HYPERLINK("https://zfin.org/ZDB-GENE-081028-51")</f>
        <v>https://zfin.org/ZDB-GENE-081028-51</v>
      </c>
      <c r="J4286" t="s">
        <v>7001</v>
      </c>
    </row>
    <row r="4287" spans="1:10" x14ac:dyDescent="0.2">
      <c r="A4287">
        <v>2.0029394429600001E-10</v>
      </c>
      <c r="B4287">
        <v>0.35131242853059602</v>
      </c>
      <c r="C4287">
        <v>0.52</v>
      </c>
      <c r="D4287">
        <v>0.41399999999999998</v>
      </c>
      <c r="E4287">
        <v>2.7836852378258002E-6</v>
      </c>
      <c r="F4287">
        <v>12</v>
      </c>
      <c r="G4287" t="s">
        <v>2861</v>
      </c>
      <c r="H4287" t="s">
        <v>2862</v>
      </c>
      <c r="I4287" t="str">
        <f>HYPERLINK("https://zfin.org/ZDB-GENE-030131-879")</f>
        <v>https://zfin.org/ZDB-GENE-030131-879</v>
      </c>
      <c r="J4287" t="s">
        <v>2863</v>
      </c>
    </row>
    <row r="4288" spans="1:10" x14ac:dyDescent="0.2">
      <c r="A4288">
        <v>3.1234277171962698E-10</v>
      </c>
      <c r="B4288">
        <v>-0.32702259397043998</v>
      </c>
      <c r="C4288">
        <v>7.8E-2</v>
      </c>
      <c r="D4288">
        <v>0.20300000000000001</v>
      </c>
      <c r="E4288">
        <v>4.3409398413593802E-6</v>
      </c>
      <c r="F4288">
        <v>12</v>
      </c>
      <c r="G4288" t="s">
        <v>1872</v>
      </c>
      <c r="H4288" t="s">
        <v>1873</v>
      </c>
      <c r="I4288" t="str">
        <f>HYPERLINK("https://zfin.org/ZDB-GENE-081105-65")</f>
        <v>https://zfin.org/ZDB-GENE-081105-65</v>
      </c>
      <c r="J4288" t="s">
        <v>1874</v>
      </c>
    </row>
    <row r="4289" spans="1:10" x14ac:dyDescent="0.2">
      <c r="A4289">
        <v>3.1500910692692998E-10</v>
      </c>
      <c r="B4289">
        <v>0.29989366384326799</v>
      </c>
      <c r="C4289">
        <v>0.58299999999999996</v>
      </c>
      <c r="D4289">
        <v>0.48399999999999999</v>
      </c>
      <c r="E4289">
        <v>4.3779965680704796E-6</v>
      </c>
      <c r="F4289">
        <v>12</v>
      </c>
      <c r="G4289" t="s">
        <v>7002</v>
      </c>
      <c r="H4289" t="s">
        <v>7003</v>
      </c>
      <c r="I4289" t="str">
        <f>HYPERLINK("https://zfin.org/ZDB-GENE-120215-185")</f>
        <v>https://zfin.org/ZDB-GENE-120215-185</v>
      </c>
      <c r="J4289" t="s">
        <v>7004</v>
      </c>
    </row>
    <row r="4290" spans="1:10" x14ac:dyDescent="0.2">
      <c r="A4290">
        <v>3.37770250072243E-10</v>
      </c>
      <c r="B4290">
        <v>0.34412051248303399</v>
      </c>
      <c r="C4290">
        <v>0.29899999999999999</v>
      </c>
      <c r="D4290">
        <v>0.185</v>
      </c>
      <c r="E4290">
        <v>4.6943309355040297E-6</v>
      </c>
      <c r="F4290">
        <v>12</v>
      </c>
      <c r="G4290" t="s">
        <v>7005</v>
      </c>
      <c r="H4290" t="s">
        <v>7006</v>
      </c>
      <c r="I4290" t="str">
        <f>HYPERLINK("https://zfin.org/ZDB-GENE-030131-9925")</f>
        <v>https://zfin.org/ZDB-GENE-030131-9925</v>
      </c>
      <c r="J4290" t="s">
        <v>7007</v>
      </c>
    </row>
    <row r="4291" spans="1:10" x14ac:dyDescent="0.2">
      <c r="A4291">
        <v>3.8148591018587299E-10</v>
      </c>
      <c r="B4291">
        <v>-0.46052918715302499</v>
      </c>
      <c r="C4291">
        <v>3.5999999999999997E-2</v>
      </c>
      <c r="D4291">
        <v>0.13800000000000001</v>
      </c>
      <c r="E4291">
        <v>5.30189117976326E-6</v>
      </c>
      <c r="F4291">
        <v>12</v>
      </c>
      <c r="G4291" t="s">
        <v>224</v>
      </c>
      <c r="H4291" t="s">
        <v>225</v>
      </c>
      <c r="I4291" t="str">
        <f>HYPERLINK("https://zfin.org/ZDB-GENE-030925-29")</f>
        <v>https://zfin.org/ZDB-GENE-030925-29</v>
      </c>
      <c r="J4291" t="s">
        <v>226</v>
      </c>
    </row>
    <row r="4292" spans="1:10" x14ac:dyDescent="0.2">
      <c r="A4292">
        <v>3.82635478452793E-10</v>
      </c>
      <c r="B4292">
        <v>0.33092395224753701</v>
      </c>
      <c r="C4292">
        <v>0.46700000000000003</v>
      </c>
      <c r="D4292">
        <v>0.36299999999999999</v>
      </c>
      <c r="E4292">
        <v>5.3178678795369202E-6</v>
      </c>
      <c r="F4292">
        <v>12</v>
      </c>
      <c r="G4292" t="s">
        <v>7008</v>
      </c>
      <c r="H4292" t="s">
        <v>7009</v>
      </c>
      <c r="I4292" t="str">
        <f>HYPERLINK("https://zfin.org/ZDB-GENE-040625-45")</f>
        <v>https://zfin.org/ZDB-GENE-040625-45</v>
      </c>
      <c r="J4292" t="s">
        <v>7010</v>
      </c>
    </row>
    <row r="4293" spans="1:10" x14ac:dyDescent="0.2">
      <c r="A4293">
        <v>4.1530084055902E-10</v>
      </c>
      <c r="B4293">
        <v>0.27181357434344899</v>
      </c>
      <c r="C4293">
        <v>0.10100000000000001</v>
      </c>
      <c r="D4293">
        <v>3.6999999999999998E-2</v>
      </c>
      <c r="E4293">
        <v>5.7718510820892603E-6</v>
      </c>
      <c r="F4293">
        <v>12</v>
      </c>
      <c r="G4293" t="s">
        <v>7011</v>
      </c>
      <c r="H4293" t="s">
        <v>7012</v>
      </c>
      <c r="I4293" t="str">
        <f>HYPERLINK("https://zfin.org/ZDB-GENE-040426-1135")</f>
        <v>https://zfin.org/ZDB-GENE-040426-1135</v>
      </c>
      <c r="J4293" t="s">
        <v>7013</v>
      </c>
    </row>
    <row r="4294" spans="1:10" x14ac:dyDescent="0.2">
      <c r="A4294">
        <v>5.0393684205844299E-10</v>
      </c>
      <c r="B4294">
        <v>-0.33855273679765702</v>
      </c>
      <c r="C4294">
        <v>0.64800000000000002</v>
      </c>
      <c r="D4294">
        <v>0.754</v>
      </c>
      <c r="E4294">
        <v>7.0037142309282402E-6</v>
      </c>
      <c r="F4294">
        <v>12</v>
      </c>
      <c r="G4294" t="s">
        <v>2786</v>
      </c>
      <c r="H4294" t="s">
        <v>2787</v>
      </c>
      <c r="I4294" t="str">
        <f>HYPERLINK("https://zfin.org/ZDB-GENE-050417-329")</f>
        <v>https://zfin.org/ZDB-GENE-050417-329</v>
      </c>
      <c r="J4294" t="s">
        <v>2788</v>
      </c>
    </row>
    <row r="4295" spans="1:10" x14ac:dyDescent="0.2">
      <c r="A4295">
        <v>6.0097091499103097E-10</v>
      </c>
      <c r="B4295">
        <v>0.40531256357544998</v>
      </c>
      <c r="C4295">
        <v>0.32600000000000001</v>
      </c>
      <c r="D4295">
        <v>0.217</v>
      </c>
      <c r="E4295">
        <v>8.3522937765453494E-6</v>
      </c>
      <c r="F4295">
        <v>12</v>
      </c>
      <c r="G4295" t="s">
        <v>2879</v>
      </c>
      <c r="H4295" t="s">
        <v>2880</v>
      </c>
      <c r="I4295" t="str">
        <f>HYPERLINK("https://zfin.org/ZDB-GENE-011213-1")</f>
        <v>https://zfin.org/ZDB-GENE-011213-1</v>
      </c>
      <c r="J4295" t="s">
        <v>2881</v>
      </c>
    </row>
    <row r="4296" spans="1:10" x14ac:dyDescent="0.2">
      <c r="A4296">
        <v>6.1393689240124003E-10</v>
      </c>
      <c r="B4296">
        <v>-0.28713945132327601</v>
      </c>
      <c r="C4296">
        <v>1.4999999999999999E-2</v>
      </c>
      <c r="D4296">
        <v>0.10299999999999999</v>
      </c>
      <c r="E4296">
        <v>8.5324949305924395E-6</v>
      </c>
      <c r="F4296">
        <v>12</v>
      </c>
      <c r="G4296" t="s">
        <v>7014</v>
      </c>
      <c r="H4296" t="s">
        <v>7015</v>
      </c>
      <c r="I4296" t="str">
        <f>HYPERLINK("https://zfin.org/ZDB-GENE-060130-56")</f>
        <v>https://zfin.org/ZDB-GENE-060130-56</v>
      </c>
      <c r="J4296" t="s">
        <v>7016</v>
      </c>
    </row>
    <row r="4297" spans="1:10" x14ac:dyDescent="0.2">
      <c r="A4297">
        <v>6.1975043530463297E-10</v>
      </c>
      <c r="B4297">
        <v>0.28409515194537299</v>
      </c>
      <c r="C4297">
        <v>0.19400000000000001</v>
      </c>
      <c r="D4297">
        <v>0.1</v>
      </c>
      <c r="E4297">
        <v>8.6132915498637906E-6</v>
      </c>
      <c r="F4297">
        <v>12</v>
      </c>
      <c r="G4297" t="s">
        <v>7017</v>
      </c>
      <c r="H4297" t="s">
        <v>7018</v>
      </c>
      <c r="I4297" t="str">
        <f>HYPERLINK("https://zfin.org/ZDB-GENE-050809-123")</f>
        <v>https://zfin.org/ZDB-GENE-050809-123</v>
      </c>
      <c r="J4297" t="s">
        <v>7019</v>
      </c>
    </row>
    <row r="4298" spans="1:10" x14ac:dyDescent="0.2">
      <c r="A4298">
        <v>6.3311807306819298E-10</v>
      </c>
      <c r="B4298">
        <v>0.30118393036837798</v>
      </c>
      <c r="C4298">
        <v>0.78300000000000003</v>
      </c>
      <c r="D4298">
        <v>0.73</v>
      </c>
      <c r="E4298">
        <v>8.7990749795017503E-6</v>
      </c>
      <c r="F4298">
        <v>12</v>
      </c>
      <c r="G4298" t="s">
        <v>2015</v>
      </c>
      <c r="H4298" t="s">
        <v>2016</v>
      </c>
      <c r="I4298" t="str">
        <f>HYPERLINK("https://zfin.org/ZDB-GENE-030131-12")</f>
        <v>https://zfin.org/ZDB-GENE-030131-12</v>
      </c>
      <c r="J4298" t="s">
        <v>2017</v>
      </c>
    </row>
    <row r="4299" spans="1:10" x14ac:dyDescent="0.2">
      <c r="A4299">
        <v>7.0148009730009E-10</v>
      </c>
      <c r="B4299">
        <v>0.326386811529847</v>
      </c>
      <c r="C4299">
        <v>0.126</v>
      </c>
      <c r="D4299">
        <v>5.1999999999999998E-2</v>
      </c>
      <c r="E4299">
        <v>9.7491703922766494E-6</v>
      </c>
      <c r="F4299">
        <v>12</v>
      </c>
      <c r="G4299" t="s">
        <v>7020</v>
      </c>
      <c r="H4299" t="s">
        <v>7021</v>
      </c>
      <c r="I4299" t="str">
        <f>HYPERLINK("https://zfin.org/ZDB-GENE-990415-179")</f>
        <v>https://zfin.org/ZDB-GENE-990415-179</v>
      </c>
      <c r="J4299" t="s">
        <v>7022</v>
      </c>
    </row>
    <row r="4300" spans="1:10" x14ac:dyDescent="0.2">
      <c r="A4300">
        <v>8.1653812625893299E-10</v>
      </c>
      <c r="B4300">
        <v>-0.52867307511439299</v>
      </c>
      <c r="C4300">
        <v>0.10100000000000001</v>
      </c>
      <c r="D4300">
        <v>0.22600000000000001</v>
      </c>
      <c r="E4300">
        <v>1.1348246878746699E-5</v>
      </c>
      <c r="F4300">
        <v>12</v>
      </c>
      <c r="G4300" t="s">
        <v>3026</v>
      </c>
      <c r="H4300" t="s">
        <v>3027</v>
      </c>
      <c r="I4300" t="str">
        <f>HYPERLINK("https://zfin.org/ZDB-GENE-060815-1")</f>
        <v>https://zfin.org/ZDB-GENE-060815-1</v>
      </c>
      <c r="J4300" t="s">
        <v>3028</v>
      </c>
    </row>
    <row r="4301" spans="1:10" x14ac:dyDescent="0.2">
      <c r="A4301">
        <v>8.6334470054779797E-10</v>
      </c>
      <c r="B4301">
        <v>0.33981592131716198</v>
      </c>
      <c r="C4301">
        <v>0.41299999999999998</v>
      </c>
      <c r="D4301">
        <v>0.30099999999999999</v>
      </c>
      <c r="E4301">
        <v>1.1998764648213301E-5</v>
      </c>
      <c r="F4301">
        <v>12</v>
      </c>
      <c r="G4301" t="s">
        <v>2951</v>
      </c>
      <c r="H4301" t="s">
        <v>2952</v>
      </c>
      <c r="I4301" t="str">
        <f>HYPERLINK("https://zfin.org/ZDB-GENE-040426-2114")</f>
        <v>https://zfin.org/ZDB-GENE-040426-2114</v>
      </c>
      <c r="J4301" t="s">
        <v>2953</v>
      </c>
    </row>
    <row r="4302" spans="1:10" x14ac:dyDescent="0.2">
      <c r="A4302">
        <v>8.7018761535373303E-10</v>
      </c>
      <c r="B4302">
        <v>-0.31266943789033902</v>
      </c>
      <c r="C4302">
        <v>1.7000000000000001E-2</v>
      </c>
      <c r="D4302">
        <v>0.106</v>
      </c>
      <c r="E4302">
        <v>1.20938674781862E-5</v>
      </c>
      <c r="F4302">
        <v>12</v>
      </c>
      <c r="G4302" t="s">
        <v>3489</v>
      </c>
      <c r="H4302" t="s">
        <v>3490</v>
      </c>
      <c r="I4302" t="str">
        <f>HYPERLINK("https://zfin.org/ZDB-GENE-980526-114")</f>
        <v>https://zfin.org/ZDB-GENE-980526-114</v>
      </c>
      <c r="J4302" t="s">
        <v>3491</v>
      </c>
    </row>
    <row r="4303" spans="1:10" x14ac:dyDescent="0.2">
      <c r="A4303">
        <v>8.7422920069846505E-10</v>
      </c>
      <c r="B4303">
        <v>-0.29446833333723899</v>
      </c>
      <c r="C4303">
        <v>5.5E-2</v>
      </c>
      <c r="D4303">
        <v>0.16600000000000001</v>
      </c>
      <c r="E4303">
        <v>1.21500374313073E-5</v>
      </c>
      <c r="F4303">
        <v>12</v>
      </c>
      <c r="G4303" t="s">
        <v>1302</v>
      </c>
      <c r="H4303" t="s">
        <v>1303</v>
      </c>
      <c r="I4303" t="str">
        <f>HYPERLINK("https://zfin.org/ZDB-GENE-040801-250")</f>
        <v>https://zfin.org/ZDB-GENE-040801-250</v>
      </c>
      <c r="J4303" t="s">
        <v>1304</v>
      </c>
    </row>
    <row r="4304" spans="1:10" x14ac:dyDescent="0.2">
      <c r="A4304">
        <v>9.6232021829869109E-10</v>
      </c>
      <c r="B4304">
        <v>-0.37925386796798899</v>
      </c>
      <c r="C4304">
        <v>1.7000000000000001E-2</v>
      </c>
      <c r="D4304">
        <v>0.105</v>
      </c>
      <c r="E4304">
        <v>1.3374326393915201E-5</v>
      </c>
      <c r="F4304">
        <v>12</v>
      </c>
      <c r="G4304" t="s">
        <v>597</v>
      </c>
      <c r="H4304" t="s">
        <v>598</v>
      </c>
      <c r="I4304" t="str">
        <f>HYPERLINK("https://zfin.org/ZDB-GENE-031001-3")</f>
        <v>https://zfin.org/ZDB-GENE-031001-3</v>
      </c>
      <c r="J4304" t="s">
        <v>599</v>
      </c>
    </row>
    <row r="4305" spans="1:10" x14ac:dyDescent="0.2">
      <c r="A4305">
        <v>9.728976181431929E-10</v>
      </c>
      <c r="B4305">
        <v>0.31695784611750699</v>
      </c>
      <c r="C4305">
        <v>0.19400000000000001</v>
      </c>
      <c r="D4305">
        <v>0.10100000000000001</v>
      </c>
      <c r="E4305">
        <v>1.35213310969541E-5</v>
      </c>
      <c r="F4305">
        <v>12</v>
      </c>
      <c r="G4305" t="s">
        <v>7023</v>
      </c>
      <c r="H4305" t="s">
        <v>7024</v>
      </c>
      <c r="I4305" t="str">
        <f>HYPERLINK("https://zfin.org/ZDB-GENE-040426-1493")</f>
        <v>https://zfin.org/ZDB-GENE-040426-1493</v>
      </c>
      <c r="J4305" t="s">
        <v>7025</v>
      </c>
    </row>
    <row r="4306" spans="1:10" x14ac:dyDescent="0.2">
      <c r="A4306">
        <v>9.8012769584939907E-10</v>
      </c>
      <c r="B4306">
        <v>-0.43878597111110001</v>
      </c>
      <c r="C4306">
        <v>8.4000000000000005E-2</v>
      </c>
      <c r="D4306">
        <v>0.20200000000000001</v>
      </c>
      <c r="E4306">
        <v>1.3621814716915001E-5</v>
      </c>
      <c r="F4306">
        <v>12</v>
      </c>
      <c r="G4306" t="s">
        <v>3345</v>
      </c>
      <c r="H4306" t="s">
        <v>3346</v>
      </c>
      <c r="I4306" t="str">
        <f>HYPERLINK("https://zfin.org/ZDB-GENE-040426-977")</f>
        <v>https://zfin.org/ZDB-GENE-040426-977</v>
      </c>
      <c r="J4306" t="s">
        <v>3347</v>
      </c>
    </row>
    <row r="4307" spans="1:10" x14ac:dyDescent="0.2">
      <c r="A4307">
        <v>1.00664669265205E-9</v>
      </c>
      <c r="B4307">
        <v>0.36555980652175502</v>
      </c>
      <c r="C4307">
        <v>0.255</v>
      </c>
      <c r="D4307">
        <v>0.152</v>
      </c>
      <c r="E4307">
        <v>1.39903757344782E-5</v>
      </c>
      <c r="F4307">
        <v>12</v>
      </c>
      <c r="G4307" t="s">
        <v>7026</v>
      </c>
      <c r="H4307" t="s">
        <v>7027</v>
      </c>
      <c r="I4307" t="str">
        <f>HYPERLINK("https://zfin.org/ZDB-GENE-040625-164")</f>
        <v>https://zfin.org/ZDB-GENE-040625-164</v>
      </c>
      <c r="J4307" t="s">
        <v>7028</v>
      </c>
    </row>
    <row r="4308" spans="1:10" x14ac:dyDescent="0.2">
      <c r="A4308">
        <v>1.0068427894019001E-9</v>
      </c>
      <c r="B4308">
        <v>-0.41504589280112097</v>
      </c>
      <c r="C4308">
        <v>3.7999999999999999E-2</v>
      </c>
      <c r="D4308">
        <v>0.13800000000000001</v>
      </c>
      <c r="E4308">
        <v>1.39931010871076E-5</v>
      </c>
      <c r="F4308">
        <v>12</v>
      </c>
      <c r="G4308" t="s">
        <v>3543</v>
      </c>
      <c r="H4308" t="s">
        <v>3544</v>
      </c>
      <c r="I4308" t="str">
        <f>HYPERLINK("https://zfin.org/ZDB-GENE-030131-8290")</f>
        <v>https://zfin.org/ZDB-GENE-030131-8290</v>
      </c>
      <c r="J4308" t="s">
        <v>3545</v>
      </c>
    </row>
    <row r="4309" spans="1:10" x14ac:dyDescent="0.2">
      <c r="A4309">
        <v>1.0244916013030999E-9</v>
      </c>
      <c r="B4309">
        <v>0.35561175287018099</v>
      </c>
      <c r="C4309">
        <v>0.41499999999999998</v>
      </c>
      <c r="D4309">
        <v>0.312</v>
      </c>
      <c r="E4309">
        <v>1.42383842749105E-5</v>
      </c>
      <c r="F4309">
        <v>12</v>
      </c>
      <c r="G4309" t="s">
        <v>7029</v>
      </c>
      <c r="H4309" t="s">
        <v>7030</v>
      </c>
      <c r="I4309" t="str">
        <f>HYPERLINK("https://zfin.org/ZDB-GENE-040426-1060")</f>
        <v>https://zfin.org/ZDB-GENE-040426-1060</v>
      </c>
      <c r="J4309" t="s">
        <v>7031</v>
      </c>
    </row>
    <row r="4310" spans="1:10" x14ac:dyDescent="0.2">
      <c r="A4310">
        <v>1.0919648065699901E-9</v>
      </c>
      <c r="B4310">
        <v>-0.35506456421838101</v>
      </c>
      <c r="C4310">
        <v>0.11600000000000001</v>
      </c>
      <c r="D4310">
        <v>0.24399999999999999</v>
      </c>
      <c r="E4310">
        <v>1.51761268817097E-5</v>
      </c>
      <c r="F4310">
        <v>12</v>
      </c>
      <c r="G4310" t="s">
        <v>2852</v>
      </c>
      <c r="H4310" t="s">
        <v>2853</v>
      </c>
      <c r="I4310" t="str">
        <f>HYPERLINK("https://zfin.org/ZDB-GENE-041130-1")</f>
        <v>https://zfin.org/ZDB-GENE-041130-1</v>
      </c>
      <c r="J4310" t="s">
        <v>2854</v>
      </c>
    </row>
    <row r="4311" spans="1:10" x14ac:dyDescent="0.2">
      <c r="A4311">
        <v>1.2113977110699101E-9</v>
      </c>
      <c r="B4311">
        <v>-0.27941928430996299</v>
      </c>
      <c r="C4311">
        <v>2.9000000000000001E-2</v>
      </c>
      <c r="D4311">
        <v>0.126</v>
      </c>
      <c r="E4311">
        <v>1.6836005388449699E-5</v>
      </c>
      <c r="F4311">
        <v>12</v>
      </c>
      <c r="G4311" t="s">
        <v>3384</v>
      </c>
      <c r="H4311" t="s">
        <v>3385</v>
      </c>
      <c r="I4311" t="str">
        <f>HYPERLINK("https://zfin.org/ZDB-GENE-050417-201")</f>
        <v>https://zfin.org/ZDB-GENE-050417-201</v>
      </c>
      <c r="J4311" t="s">
        <v>3386</v>
      </c>
    </row>
    <row r="4312" spans="1:10" x14ac:dyDescent="0.2">
      <c r="A4312">
        <v>1.49614048481326E-9</v>
      </c>
      <c r="B4312">
        <v>0.56028254066941896</v>
      </c>
      <c r="C4312">
        <v>0.42099999999999999</v>
      </c>
      <c r="D4312">
        <v>0.314</v>
      </c>
      <c r="E4312">
        <v>2.0793360457934699E-5</v>
      </c>
      <c r="F4312">
        <v>12</v>
      </c>
      <c r="G4312" t="s">
        <v>5123</v>
      </c>
      <c r="H4312" t="s">
        <v>5124</v>
      </c>
      <c r="I4312" t="str">
        <f>HYPERLINK("https://zfin.org/ZDB-GENE-070424-74")</f>
        <v>https://zfin.org/ZDB-GENE-070424-74</v>
      </c>
      <c r="J4312" t="s">
        <v>5125</v>
      </c>
    </row>
    <row r="4313" spans="1:10" x14ac:dyDescent="0.2">
      <c r="A4313">
        <v>1.5727766308392999E-9</v>
      </c>
      <c r="B4313">
        <v>-0.35194483025994999</v>
      </c>
      <c r="C4313">
        <v>0.152</v>
      </c>
      <c r="D4313">
        <v>0.28599999999999998</v>
      </c>
      <c r="E4313">
        <v>2.18584496154046E-5</v>
      </c>
      <c r="F4313">
        <v>12</v>
      </c>
      <c r="G4313" t="s">
        <v>3853</v>
      </c>
      <c r="H4313" t="s">
        <v>3854</v>
      </c>
      <c r="I4313" t="str">
        <f>HYPERLINK("https://zfin.org/ZDB-GENE-030131-461")</f>
        <v>https://zfin.org/ZDB-GENE-030131-461</v>
      </c>
      <c r="J4313" t="s">
        <v>3855</v>
      </c>
    </row>
    <row r="4314" spans="1:10" x14ac:dyDescent="0.2">
      <c r="A4314">
        <v>1.9766240638912098E-9</v>
      </c>
      <c r="B4314">
        <v>-0.35350218289229801</v>
      </c>
      <c r="C4314">
        <v>1.7000000000000001E-2</v>
      </c>
      <c r="D4314">
        <v>0.10199999999999999</v>
      </c>
      <c r="E4314">
        <v>2.74711212399601E-5</v>
      </c>
      <c r="F4314">
        <v>12</v>
      </c>
      <c r="G4314" t="s">
        <v>6479</v>
      </c>
      <c r="H4314" t="s">
        <v>6480</v>
      </c>
      <c r="I4314" t="str">
        <f>HYPERLINK("https://zfin.org/ZDB-GENE-020320-4")</f>
        <v>https://zfin.org/ZDB-GENE-020320-4</v>
      </c>
      <c r="J4314" t="s">
        <v>6481</v>
      </c>
    </row>
    <row r="4315" spans="1:10" x14ac:dyDescent="0.2">
      <c r="A4315">
        <v>2.1372174250786502E-9</v>
      </c>
      <c r="B4315">
        <v>-0.60889962164807399</v>
      </c>
      <c r="C4315">
        <v>0.42299999999999999</v>
      </c>
      <c r="D4315">
        <v>0.55000000000000004</v>
      </c>
      <c r="E4315">
        <v>2.9703047773743102E-5</v>
      </c>
      <c r="F4315">
        <v>12</v>
      </c>
      <c r="G4315" t="s">
        <v>3062</v>
      </c>
      <c r="H4315" t="s">
        <v>3063</v>
      </c>
      <c r="I4315" t="str">
        <f>HYPERLINK("https://zfin.org/ZDB-GENE-010502-1")</f>
        <v>https://zfin.org/ZDB-GENE-010502-1</v>
      </c>
      <c r="J4315" t="s">
        <v>3064</v>
      </c>
    </row>
    <row r="4316" spans="1:10" x14ac:dyDescent="0.2">
      <c r="A4316">
        <v>2.16314940708189E-9</v>
      </c>
      <c r="B4316">
        <v>-0.52820950385515997</v>
      </c>
      <c r="C4316">
        <v>0.04</v>
      </c>
      <c r="D4316">
        <v>0.13700000000000001</v>
      </c>
      <c r="E4316">
        <v>3.00634504596241E-5</v>
      </c>
      <c r="F4316">
        <v>12</v>
      </c>
      <c r="G4316" t="s">
        <v>3210</v>
      </c>
      <c r="H4316" t="s">
        <v>3211</v>
      </c>
      <c r="I4316" t="str">
        <f>HYPERLINK("https://zfin.org/ZDB-GENE-050417-363")</f>
        <v>https://zfin.org/ZDB-GENE-050417-363</v>
      </c>
      <c r="J4316" t="s">
        <v>3212</v>
      </c>
    </row>
    <row r="4317" spans="1:10" x14ac:dyDescent="0.2">
      <c r="A4317">
        <v>2.4256253344947201E-9</v>
      </c>
      <c r="B4317">
        <v>-0.62848244777051399</v>
      </c>
      <c r="C4317">
        <v>0.109</v>
      </c>
      <c r="D4317">
        <v>0.22800000000000001</v>
      </c>
      <c r="E4317">
        <v>3.3711340898807599E-5</v>
      </c>
      <c r="F4317">
        <v>12</v>
      </c>
      <c r="G4317" t="s">
        <v>3047</v>
      </c>
      <c r="H4317" t="s">
        <v>3048</v>
      </c>
      <c r="I4317" t="str">
        <f>HYPERLINK("https://zfin.org/ZDB-GENE-030131-688")</f>
        <v>https://zfin.org/ZDB-GENE-030131-688</v>
      </c>
      <c r="J4317" t="s">
        <v>3049</v>
      </c>
    </row>
    <row r="4318" spans="1:10" x14ac:dyDescent="0.2">
      <c r="A4318">
        <v>2.5501503709595499E-9</v>
      </c>
      <c r="B4318">
        <v>-0.54756435821891103</v>
      </c>
      <c r="C4318">
        <v>4.8000000000000001E-2</v>
      </c>
      <c r="D4318">
        <v>0.15</v>
      </c>
      <c r="E4318">
        <v>3.54419898555958E-5</v>
      </c>
      <c r="F4318">
        <v>12</v>
      </c>
      <c r="G4318" t="s">
        <v>3222</v>
      </c>
      <c r="H4318" t="s">
        <v>3223</v>
      </c>
      <c r="I4318" t="str">
        <f>HYPERLINK("https://zfin.org/ZDB-GENE-000627-1")</f>
        <v>https://zfin.org/ZDB-GENE-000627-1</v>
      </c>
      <c r="J4318" t="s">
        <v>3224</v>
      </c>
    </row>
    <row r="4319" spans="1:10" x14ac:dyDescent="0.2">
      <c r="A4319">
        <v>2.70348726092483E-9</v>
      </c>
      <c r="B4319">
        <v>-0.41468352690253801</v>
      </c>
      <c r="C4319">
        <v>3.7999999999999999E-2</v>
      </c>
      <c r="D4319">
        <v>0.13400000000000001</v>
      </c>
      <c r="E4319">
        <v>3.7573065952333297E-5</v>
      </c>
      <c r="F4319">
        <v>12</v>
      </c>
      <c r="G4319" t="s">
        <v>267</v>
      </c>
      <c r="H4319" t="s">
        <v>268</v>
      </c>
      <c r="I4319" t="str">
        <f>HYPERLINK("https://zfin.org/ZDB-GENE-060616-326")</f>
        <v>https://zfin.org/ZDB-GENE-060616-326</v>
      </c>
      <c r="J4319" t="s">
        <v>269</v>
      </c>
    </row>
    <row r="4320" spans="1:10" x14ac:dyDescent="0.2">
      <c r="A4320">
        <v>2.9028192913049101E-9</v>
      </c>
      <c r="B4320">
        <v>-0.26358856919950602</v>
      </c>
      <c r="C4320">
        <v>0.12</v>
      </c>
      <c r="D4320">
        <v>0.254</v>
      </c>
      <c r="E4320">
        <v>4.0343382510555602E-5</v>
      </c>
      <c r="F4320">
        <v>12</v>
      </c>
      <c r="G4320" t="s">
        <v>3261</v>
      </c>
      <c r="H4320" t="s">
        <v>3262</v>
      </c>
      <c r="I4320" t="str">
        <f>HYPERLINK("https://zfin.org/ZDB-GENE-031118-120")</f>
        <v>https://zfin.org/ZDB-GENE-031118-120</v>
      </c>
      <c r="J4320" t="s">
        <v>3263</v>
      </c>
    </row>
    <row r="4321" spans="1:10" x14ac:dyDescent="0.2">
      <c r="A4321">
        <v>3.22748831440465E-9</v>
      </c>
      <c r="B4321">
        <v>0.37650498061342902</v>
      </c>
      <c r="C4321">
        <v>0.54300000000000004</v>
      </c>
      <c r="D4321">
        <v>0.44800000000000001</v>
      </c>
      <c r="E4321">
        <v>4.4855632593595897E-5</v>
      </c>
      <c r="F4321">
        <v>12</v>
      </c>
      <c r="G4321" t="s">
        <v>6361</v>
      </c>
      <c r="H4321" t="s">
        <v>6362</v>
      </c>
      <c r="I4321" t="str">
        <f>HYPERLINK("https://zfin.org/ZDB-GENE-030131-7859")</f>
        <v>https://zfin.org/ZDB-GENE-030131-7859</v>
      </c>
      <c r="J4321" t="s">
        <v>6363</v>
      </c>
    </row>
    <row r="4322" spans="1:10" x14ac:dyDescent="0.2">
      <c r="A4322">
        <v>3.4319806562482802E-9</v>
      </c>
      <c r="B4322">
        <v>0.323278553882412</v>
      </c>
      <c r="C4322">
        <v>0.45500000000000002</v>
      </c>
      <c r="D4322">
        <v>0.35199999999999998</v>
      </c>
      <c r="E4322">
        <v>4.7697667160538499E-5</v>
      </c>
      <c r="F4322">
        <v>12</v>
      </c>
      <c r="G4322" t="s">
        <v>7032</v>
      </c>
      <c r="H4322" t="s">
        <v>7033</v>
      </c>
      <c r="I4322" t="str">
        <f>HYPERLINK("https://zfin.org/ZDB-GENE-040426-1235")</f>
        <v>https://zfin.org/ZDB-GENE-040426-1235</v>
      </c>
      <c r="J4322" t="s">
        <v>7034</v>
      </c>
    </row>
    <row r="4323" spans="1:10" x14ac:dyDescent="0.2">
      <c r="A4323">
        <v>3.6402875135944198E-9</v>
      </c>
      <c r="B4323">
        <v>0.28995252538981903</v>
      </c>
      <c r="C4323">
        <v>0.16600000000000001</v>
      </c>
      <c r="D4323">
        <v>8.3000000000000004E-2</v>
      </c>
      <c r="E4323">
        <v>5.0592715863935302E-5</v>
      </c>
      <c r="F4323">
        <v>12</v>
      </c>
      <c r="G4323" t="s">
        <v>3267</v>
      </c>
      <c r="H4323" t="s">
        <v>3268</v>
      </c>
      <c r="I4323" t="str">
        <f>HYPERLINK("https://zfin.org/ZDB-GENE-091204-219")</f>
        <v>https://zfin.org/ZDB-GENE-091204-219</v>
      </c>
      <c r="J4323" t="s">
        <v>3269</v>
      </c>
    </row>
    <row r="4324" spans="1:10" x14ac:dyDescent="0.2">
      <c r="A4324">
        <v>4.4555615236356499E-9</v>
      </c>
      <c r="B4324">
        <v>-0.68107685257624495</v>
      </c>
      <c r="C4324">
        <v>6.7000000000000004E-2</v>
      </c>
      <c r="D4324">
        <v>0.17100000000000001</v>
      </c>
      <c r="E4324">
        <v>6.1923394055488201E-5</v>
      </c>
      <c r="F4324">
        <v>12</v>
      </c>
      <c r="G4324" t="s">
        <v>354</v>
      </c>
      <c r="H4324" t="s">
        <v>355</v>
      </c>
      <c r="I4324" t="str">
        <f>HYPERLINK("https://zfin.org/ZDB-GENE-051127-7")</f>
        <v>https://zfin.org/ZDB-GENE-051127-7</v>
      </c>
      <c r="J4324" t="s">
        <v>356</v>
      </c>
    </row>
    <row r="4325" spans="1:10" x14ac:dyDescent="0.2">
      <c r="A4325">
        <v>5.2725146421254898E-9</v>
      </c>
      <c r="B4325">
        <v>0.30429835771964803</v>
      </c>
      <c r="C4325">
        <v>0.55800000000000005</v>
      </c>
      <c r="D4325">
        <v>0.46400000000000002</v>
      </c>
      <c r="E4325">
        <v>7.3277408496260103E-5</v>
      </c>
      <c r="F4325">
        <v>12</v>
      </c>
      <c r="G4325" t="s">
        <v>2472</v>
      </c>
      <c r="H4325" t="s">
        <v>2473</v>
      </c>
      <c r="I4325" t="str">
        <f>HYPERLINK("https://zfin.org/ZDB-GENE-000208-17")</f>
        <v>https://zfin.org/ZDB-GENE-000208-17</v>
      </c>
      <c r="J4325" t="s">
        <v>2474</v>
      </c>
    </row>
    <row r="4326" spans="1:10" x14ac:dyDescent="0.2">
      <c r="A4326">
        <v>6.5491254682628698E-9</v>
      </c>
      <c r="B4326">
        <v>-0.31776847920594498</v>
      </c>
      <c r="C4326">
        <v>2.9000000000000001E-2</v>
      </c>
      <c r="D4326">
        <v>0.11799999999999999</v>
      </c>
      <c r="E4326">
        <v>9.1019745757917297E-5</v>
      </c>
      <c r="F4326">
        <v>12</v>
      </c>
      <c r="G4326" t="s">
        <v>5829</v>
      </c>
      <c r="H4326" t="s">
        <v>5830</v>
      </c>
      <c r="I4326" t="str">
        <f>HYPERLINK("https://zfin.org/ZDB-GENE-020419-27")</f>
        <v>https://zfin.org/ZDB-GENE-020419-27</v>
      </c>
      <c r="J4326" t="s">
        <v>5831</v>
      </c>
    </row>
    <row r="4327" spans="1:10" x14ac:dyDescent="0.2">
      <c r="A4327">
        <v>6.5898015273518703E-9</v>
      </c>
      <c r="B4327">
        <v>-0.30176791765157301</v>
      </c>
      <c r="C4327">
        <v>0.16800000000000001</v>
      </c>
      <c r="D4327">
        <v>0.31</v>
      </c>
      <c r="E4327">
        <v>9.1585061627136294E-5</v>
      </c>
      <c r="F4327">
        <v>12</v>
      </c>
      <c r="G4327" t="s">
        <v>6471</v>
      </c>
      <c r="H4327" t="s">
        <v>6472</v>
      </c>
      <c r="I4327" t="str">
        <f>HYPERLINK("https://zfin.org/ZDB-GENE-040426-2379")</f>
        <v>https://zfin.org/ZDB-GENE-040426-2379</v>
      </c>
      <c r="J4327" t="s">
        <v>6473</v>
      </c>
    </row>
    <row r="4328" spans="1:10" x14ac:dyDescent="0.2">
      <c r="A4328">
        <v>6.7077612505947598E-9</v>
      </c>
      <c r="B4328">
        <v>0.34951737256409998</v>
      </c>
      <c r="C4328">
        <v>0.32800000000000001</v>
      </c>
      <c r="D4328">
        <v>0.22500000000000001</v>
      </c>
      <c r="E4328">
        <v>9.3224465860765993E-5</v>
      </c>
      <c r="F4328">
        <v>12</v>
      </c>
      <c r="G4328" t="s">
        <v>7035</v>
      </c>
      <c r="H4328" t="s">
        <v>7036</v>
      </c>
      <c r="I4328" t="str">
        <f>HYPERLINK("https://zfin.org/ZDB-GENE-040426-1902")</f>
        <v>https://zfin.org/ZDB-GENE-040426-1902</v>
      </c>
      <c r="J4328" t="s">
        <v>7037</v>
      </c>
    </row>
    <row r="4329" spans="1:10" x14ac:dyDescent="0.2">
      <c r="A4329">
        <v>6.9918772007827498E-9</v>
      </c>
      <c r="B4329">
        <v>-0.54141636314366104</v>
      </c>
      <c r="C4329">
        <v>0.26300000000000001</v>
      </c>
      <c r="D4329">
        <v>0.39800000000000002</v>
      </c>
      <c r="E4329">
        <v>9.71731093364787E-5</v>
      </c>
      <c r="F4329">
        <v>12</v>
      </c>
      <c r="G4329" t="s">
        <v>984</v>
      </c>
      <c r="H4329" t="s">
        <v>985</v>
      </c>
      <c r="I4329" t="str">
        <f>HYPERLINK("https://zfin.org/ZDB-GENE-040718-162")</f>
        <v>https://zfin.org/ZDB-GENE-040718-162</v>
      </c>
      <c r="J4329" t="s">
        <v>986</v>
      </c>
    </row>
    <row r="4330" spans="1:10" x14ac:dyDescent="0.2">
      <c r="A4330">
        <v>7.0036089466262203E-9</v>
      </c>
      <c r="B4330">
        <v>-0.55780945515824298</v>
      </c>
      <c r="C4330">
        <v>9.0999999999999998E-2</v>
      </c>
      <c r="D4330">
        <v>0.20100000000000001</v>
      </c>
      <c r="E4330">
        <v>9.7336157140211302E-5</v>
      </c>
      <c r="F4330">
        <v>12</v>
      </c>
      <c r="G4330" t="s">
        <v>3255</v>
      </c>
      <c r="H4330" t="s">
        <v>3256</v>
      </c>
      <c r="I4330" t="str">
        <f>HYPERLINK("https://zfin.org/ZDB-GENE-000210-8")</f>
        <v>https://zfin.org/ZDB-GENE-000210-8</v>
      </c>
      <c r="J4330" t="s">
        <v>3257</v>
      </c>
    </row>
    <row r="4331" spans="1:10" x14ac:dyDescent="0.2">
      <c r="A4331">
        <v>7.3914811588027504E-9</v>
      </c>
      <c r="B4331">
        <v>-0.34181241268854601</v>
      </c>
      <c r="C4331">
        <v>3.2000000000000001E-2</v>
      </c>
      <c r="D4331">
        <v>0.121</v>
      </c>
      <c r="E4331">
        <v>1.02726805145041E-4</v>
      </c>
      <c r="F4331">
        <v>12</v>
      </c>
      <c r="G4331" t="s">
        <v>366</v>
      </c>
      <c r="H4331" t="s">
        <v>367</v>
      </c>
      <c r="I4331" t="str">
        <f>HYPERLINK("https://zfin.org/ZDB-GENE-070424-166")</f>
        <v>https://zfin.org/ZDB-GENE-070424-166</v>
      </c>
      <c r="J4331" t="s">
        <v>368</v>
      </c>
    </row>
    <row r="4332" spans="1:10" x14ac:dyDescent="0.2">
      <c r="A4332">
        <v>8.0831086085924695E-9</v>
      </c>
      <c r="B4332">
        <v>0.41184791587404901</v>
      </c>
      <c r="C4332">
        <v>0.221</v>
      </c>
      <c r="D4332">
        <v>0.13100000000000001</v>
      </c>
      <c r="E4332">
        <v>1.12339043442218E-4</v>
      </c>
      <c r="F4332">
        <v>12</v>
      </c>
      <c r="G4332" t="s">
        <v>3174</v>
      </c>
      <c r="H4332" t="s">
        <v>3175</v>
      </c>
      <c r="I4332" t="str">
        <f>HYPERLINK("https://zfin.org/ZDB-GENE-060213-2")</f>
        <v>https://zfin.org/ZDB-GENE-060213-2</v>
      </c>
      <c r="J4332" t="s">
        <v>3176</v>
      </c>
    </row>
    <row r="4333" spans="1:10" x14ac:dyDescent="0.2">
      <c r="A4333">
        <v>8.3640990751101203E-9</v>
      </c>
      <c r="B4333">
        <v>0.33249124906598698</v>
      </c>
      <c r="C4333">
        <v>0.17100000000000001</v>
      </c>
      <c r="D4333">
        <v>8.8999999999999996E-2</v>
      </c>
      <c r="E4333">
        <v>1.1624424894588E-4</v>
      </c>
      <c r="F4333">
        <v>12</v>
      </c>
      <c r="G4333" t="s">
        <v>3423</v>
      </c>
      <c r="H4333" t="s">
        <v>3424</v>
      </c>
      <c r="I4333" t="str">
        <f>HYPERLINK("https://zfin.org/ZDB-GENE-141212-262")</f>
        <v>https://zfin.org/ZDB-GENE-141212-262</v>
      </c>
      <c r="J4333" t="s">
        <v>3425</v>
      </c>
    </row>
    <row r="4334" spans="1:10" x14ac:dyDescent="0.2">
      <c r="A4334">
        <v>8.7795499631700003E-9</v>
      </c>
      <c r="B4334">
        <v>0.33589596892934598</v>
      </c>
      <c r="C4334">
        <v>0.24399999999999999</v>
      </c>
      <c r="D4334">
        <v>0.14799999999999999</v>
      </c>
      <c r="E4334">
        <v>1.2201818538813699E-4</v>
      </c>
      <c r="F4334">
        <v>12</v>
      </c>
      <c r="G4334" t="s">
        <v>7038</v>
      </c>
      <c r="H4334" t="s">
        <v>7039</v>
      </c>
      <c r="I4334" t="str">
        <f>HYPERLINK("https://zfin.org/ZDB-GENE-010507-2")</f>
        <v>https://zfin.org/ZDB-GENE-010507-2</v>
      </c>
      <c r="J4334" t="s">
        <v>7040</v>
      </c>
    </row>
    <row r="4335" spans="1:10" x14ac:dyDescent="0.2">
      <c r="A4335">
        <v>8.9715013553586794E-9</v>
      </c>
      <c r="B4335">
        <v>-0.32202202672000002</v>
      </c>
      <c r="C4335">
        <v>0.56799999999999995</v>
      </c>
      <c r="D4335">
        <v>0.67100000000000004</v>
      </c>
      <c r="E4335">
        <v>1.2468592583677501E-4</v>
      </c>
      <c r="F4335">
        <v>12</v>
      </c>
      <c r="G4335" t="s">
        <v>2855</v>
      </c>
      <c r="H4335" t="s">
        <v>2856</v>
      </c>
      <c r="I4335" t="str">
        <f>HYPERLINK("https://zfin.org/ZDB-GENE-061027-176")</f>
        <v>https://zfin.org/ZDB-GENE-061027-176</v>
      </c>
      <c r="J4335" t="s">
        <v>2857</v>
      </c>
    </row>
    <row r="4336" spans="1:10" x14ac:dyDescent="0.2">
      <c r="A4336">
        <v>9.8456726153329201E-9</v>
      </c>
      <c r="B4336">
        <v>-0.31067033938804101</v>
      </c>
      <c r="C4336">
        <v>2.3E-2</v>
      </c>
      <c r="D4336">
        <v>0.107</v>
      </c>
      <c r="E4336">
        <v>1.36835158007897E-4</v>
      </c>
      <c r="F4336">
        <v>12</v>
      </c>
      <c r="G4336" t="s">
        <v>2742</v>
      </c>
      <c r="H4336" t="s">
        <v>2743</v>
      </c>
      <c r="I4336" t="str">
        <f>HYPERLINK("https://zfin.org/ZDB-GENE-131127-337")</f>
        <v>https://zfin.org/ZDB-GENE-131127-337</v>
      </c>
      <c r="J4336" t="s">
        <v>2744</v>
      </c>
    </row>
    <row r="4337" spans="1:10" x14ac:dyDescent="0.2">
      <c r="A4337">
        <v>1.0092108333214099E-8</v>
      </c>
      <c r="B4337">
        <v>-0.38105595819704002</v>
      </c>
      <c r="C4337">
        <v>0.11600000000000001</v>
      </c>
      <c r="D4337">
        <v>0.23499999999999999</v>
      </c>
      <c r="E4337">
        <v>1.4026012161500901E-4</v>
      </c>
      <c r="F4337">
        <v>12</v>
      </c>
      <c r="G4337" t="s">
        <v>2807</v>
      </c>
      <c r="H4337" t="s">
        <v>2808</v>
      </c>
      <c r="I4337" t="str">
        <f>HYPERLINK("https://zfin.org/ZDB-GENE-070112-292")</f>
        <v>https://zfin.org/ZDB-GENE-070112-292</v>
      </c>
      <c r="J4337" t="s">
        <v>2809</v>
      </c>
    </row>
    <row r="4338" spans="1:10" x14ac:dyDescent="0.2">
      <c r="A4338">
        <v>1.0887913610791E-8</v>
      </c>
      <c r="B4338">
        <v>0.28069076273290799</v>
      </c>
      <c r="C4338">
        <v>0.377</v>
      </c>
      <c r="D4338">
        <v>0.26400000000000001</v>
      </c>
      <c r="E4338">
        <v>1.51320223362773E-4</v>
      </c>
      <c r="F4338">
        <v>12</v>
      </c>
      <c r="G4338" t="s">
        <v>7041</v>
      </c>
      <c r="H4338" t="s">
        <v>7042</v>
      </c>
      <c r="I4338" t="str">
        <f>HYPERLINK("https://zfin.org/")</f>
        <v>https://zfin.org/</v>
      </c>
    </row>
    <row r="4339" spans="1:10" x14ac:dyDescent="0.2">
      <c r="A4339">
        <v>1.1752324886138901E-8</v>
      </c>
      <c r="B4339">
        <v>-0.52234184963316099</v>
      </c>
      <c r="C4339">
        <v>0.48399999999999999</v>
      </c>
      <c r="D4339">
        <v>0.61499999999999999</v>
      </c>
      <c r="E4339">
        <v>1.6333381126755901E-4</v>
      </c>
      <c r="F4339">
        <v>12</v>
      </c>
      <c r="G4339" t="s">
        <v>5294</v>
      </c>
      <c r="H4339" t="s">
        <v>5295</v>
      </c>
      <c r="I4339" t="str">
        <f>HYPERLINK("https://zfin.org/ZDB-GENE-030131-722")</f>
        <v>https://zfin.org/ZDB-GENE-030131-722</v>
      </c>
      <c r="J4339" t="s">
        <v>5296</v>
      </c>
    </row>
    <row r="4340" spans="1:10" x14ac:dyDescent="0.2">
      <c r="A4340">
        <v>1.21191274180214E-8</v>
      </c>
      <c r="B4340">
        <v>0.32515314286771702</v>
      </c>
      <c r="C4340">
        <v>0.20200000000000001</v>
      </c>
      <c r="D4340">
        <v>0.113</v>
      </c>
      <c r="E4340">
        <v>1.68431632855661E-4</v>
      </c>
      <c r="F4340">
        <v>12</v>
      </c>
      <c r="G4340" t="s">
        <v>7043</v>
      </c>
      <c r="H4340" t="s">
        <v>7044</v>
      </c>
      <c r="I4340" t="str">
        <f>HYPERLINK("https://zfin.org/ZDB-GENE-041010-109")</f>
        <v>https://zfin.org/ZDB-GENE-041010-109</v>
      </c>
      <c r="J4340" t="s">
        <v>7045</v>
      </c>
    </row>
    <row r="4341" spans="1:10" x14ac:dyDescent="0.2">
      <c r="A4341">
        <v>1.24980109737777E-8</v>
      </c>
      <c r="B4341">
        <v>-0.40771397386245001</v>
      </c>
      <c r="C4341">
        <v>3.5999999999999997E-2</v>
      </c>
      <c r="D4341">
        <v>0.125</v>
      </c>
      <c r="E4341">
        <v>1.73697356513562E-4</v>
      </c>
      <c r="F4341">
        <v>12</v>
      </c>
      <c r="G4341" t="s">
        <v>5389</v>
      </c>
      <c r="H4341" t="s">
        <v>5390</v>
      </c>
      <c r="I4341" t="str">
        <f>HYPERLINK("https://zfin.org/")</f>
        <v>https://zfin.org/</v>
      </c>
    </row>
    <row r="4342" spans="1:10" x14ac:dyDescent="0.2">
      <c r="A4342">
        <v>1.43910379167487E-8</v>
      </c>
      <c r="B4342">
        <v>-0.271318001682259</v>
      </c>
      <c r="C4342">
        <v>5.0999999999999997E-2</v>
      </c>
      <c r="D4342">
        <v>0.14799999999999999</v>
      </c>
      <c r="E4342">
        <v>2.00006644966974E-4</v>
      </c>
      <c r="F4342">
        <v>12</v>
      </c>
      <c r="G4342" t="s">
        <v>4300</v>
      </c>
      <c r="H4342" t="s">
        <v>4301</v>
      </c>
      <c r="I4342" t="str">
        <f>HYPERLINK("https://zfin.org/ZDB-GENE-031219-6")</f>
        <v>https://zfin.org/ZDB-GENE-031219-6</v>
      </c>
      <c r="J4342" t="s">
        <v>4302</v>
      </c>
    </row>
    <row r="4343" spans="1:10" x14ac:dyDescent="0.2">
      <c r="A4343">
        <v>1.5520951835127699E-8</v>
      </c>
      <c r="B4343">
        <v>-0.37637492730052302</v>
      </c>
      <c r="C4343">
        <v>5.5E-2</v>
      </c>
      <c r="D4343">
        <v>0.151</v>
      </c>
      <c r="E4343">
        <v>2.15710188604605E-4</v>
      </c>
      <c r="F4343">
        <v>12</v>
      </c>
      <c r="G4343" t="s">
        <v>6828</v>
      </c>
      <c r="H4343" t="s">
        <v>6829</v>
      </c>
      <c r="I4343" t="str">
        <f>HYPERLINK("https://zfin.org/ZDB-GENE-080722-2")</f>
        <v>https://zfin.org/ZDB-GENE-080722-2</v>
      </c>
      <c r="J4343" t="s">
        <v>6830</v>
      </c>
    </row>
    <row r="4344" spans="1:10" x14ac:dyDescent="0.2">
      <c r="A4344">
        <v>1.7202146212679601E-8</v>
      </c>
      <c r="B4344">
        <v>0.31624756510847901</v>
      </c>
      <c r="C4344">
        <v>0.27800000000000002</v>
      </c>
      <c r="D4344">
        <v>0.17599999999999999</v>
      </c>
      <c r="E4344">
        <v>2.3907542806382001E-4</v>
      </c>
      <c r="F4344">
        <v>12</v>
      </c>
      <c r="G4344" t="s">
        <v>7046</v>
      </c>
      <c r="H4344" t="s">
        <v>7047</v>
      </c>
      <c r="I4344" t="str">
        <f>HYPERLINK("https://zfin.org/ZDB-GENE-060421-6479")</f>
        <v>https://zfin.org/ZDB-GENE-060421-6479</v>
      </c>
      <c r="J4344" t="s">
        <v>7048</v>
      </c>
    </row>
    <row r="4345" spans="1:10" x14ac:dyDescent="0.2">
      <c r="A4345">
        <v>1.80146716600667E-8</v>
      </c>
      <c r="B4345">
        <v>0.31921150095558998</v>
      </c>
      <c r="C4345">
        <v>0.505</v>
      </c>
      <c r="D4345">
        <v>0.41399999999999998</v>
      </c>
      <c r="E4345">
        <v>2.5036790673160601E-4</v>
      </c>
      <c r="F4345">
        <v>12</v>
      </c>
      <c r="G4345" t="s">
        <v>2532</v>
      </c>
      <c r="H4345" t="s">
        <v>2533</v>
      </c>
      <c r="I4345" t="str">
        <f>HYPERLINK("https://zfin.org/ZDB-GENE-040426-1356")</f>
        <v>https://zfin.org/ZDB-GENE-040426-1356</v>
      </c>
      <c r="J4345" t="s">
        <v>2534</v>
      </c>
    </row>
    <row r="4346" spans="1:10" x14ac:dyDescent="0.2">
      <c r="A4346">
        <v>2.12629463070439E-8</v>
      </c>
      <c r="B4346">
        <v>0.31429502637620099</v>
      </c>
      <c r="C4346">
        <v>0.26700000000000002</v>
      </c>
      <c r="D4346">
        <v>0.16800000000000001</v>
      </c>
      <c r="E4346">
        <v>2.9551242777529598E-4</v>
      </c>
      <c r="F4346">
        <v>12</v>
      </c>
      <c r="G4346" t="s">
        <v>6680</v>
      </c>
      <c r="H4346" t="s">
        <v>6681</v>
      </c>
      <c r="I4346" t="str">
        <f>HYPERLINK("https://zfin.org/ZDB-GENE-041010-152")</f>
        <v>https://zfin.org/ZDB-GENE-041010-152</v>
      </c>
      <c r="J4346" t="s">
        <v>6682</v>
      </c>
    </row>
    <row r="4347" spans="1:10" x14ac:dyDescent="0.2">
      <c r="A4347">
        <v>2.3328683823378399E-8</v>
      </c>
      <c r="B4347">
        <v>-0.31030534785108099</v>
      </c>
      <c r="C4347">
        <v>2.5000000000000001E-2</v>
      </c>
      <c r="D4347">
        <v>0.107</v>
      </c>
      <c r="E4347">
        <v>3.2422204777731399E-4</v>
      </c>
      <c r="F4347">
        <v>12</v>
      </c>
      <c r="G4347" t="s">
        <v>5805</v>
      </c>
      <c r="H4347" t="s">
        <v>5806</v>
      </c>
      <c r="I4347" t="str">
        <f>HYPERLINK("https://zfin.org/ZDB-GENE-010131-3")</f>
        <v>https://zfin.org/ZDB-GENE-010131-3</v>
      </c>
      <c r="J4347" t="s">
        <v>5807</v>
      </c>
    </row>
    <row r="4348" spans="1:10" x14ac:dyDescent="0.2">
      <c r="A4348">
        <v>2.5906783878831899E-8</v>
      </c>
      <c r="B4348">
        <v>0.34608173257685199</v>
      </c>
      <c r="C4348">
        <v>0.58899999999999997</v>
      </c>
      <c r="D4348">
        <v>0.51400000000000001</v>
      </c>
      <c r="E4348">
        <v>3.6005248234800602E-4</v>
      </c>
      <c r="F4348">
        <v>12</v>
      </c>
      <c r="G4348" t="s">
        <v>6346</v>
      </c>
      <c r="H4348" t="s">
        <v>6347</v>
      </c>
      <c r="I4348" t="str">
        <f>HYPERLINK("https://zfin.org/ZDB-GENE-001127-3")</f>
        <v>https://zfin.org/ZDB-GENE-001127-3</v>
      </c>
      <c r="J4348" t="s">
        <v>6348</v>
      </c>
    </row>
    <row r="4349" spans="1:10" x14ac:dyDescent="0.2">
      <c r="A4349">
        <v>2.6384355974751299E-8</v>
      </c>
      <c r="B4349">
        <v>0.297876821814888</v>
      </c>
      <c r="C4349">
        <v>0.17100000000000001</v>
      </c>
      <c r="D4349">
        <v>9.0999999999999998E-2</v>
      </c>
      <c r="E4349">
        <v>3.66689779337094E-4</v>
      </c>
      <c r="F4349">
        <v>12</v>
      </c>
      <c r="G4349" t="s">
        <v>3127</v>
      </c>
      <c r="H4349" t="s">
        <v>3128</v>
      </c>
      <c r="I4349" t="str">
        <f>HYPERLINK("https://zfin.org/ZDB-GENE-110429-1")</f>
        <v>https://zfin.org/ZDB-GENE-110429-1</v>
      </c>
      <c r="J4349" t="s">
        <v>3129</v>
      </c>
    </row>
    <row r="4350" spans="1:10" x14ac:dyDescent="0.2">
      <c r="A4350">
        <v>2.7182890765037399E-8</v>
      </c>
      <c r="B4350">
        <v>-0.44650553394306802</v>
      </c>
      <c r="C4350">
        <v>0.52200000000000002</v>
      </c>
      <c r="D4350">
        <v>0.63100000000000001</v>
      </c>
      <c r="E4350">
        <v>3.7778781585248998E-4</v>
      </c>
      <c r="F4350">
        <v>12</v>
      </c>
      <c r="G4350" t="s">
        <v>2873</v>
      </c>
      <c r="H4350" t="s">
        <v>2874</v>
      </c>
      <c r="I4350" t="str">
        <f>HYPERLINK("https://zfin.org/ZDB-GENE-050506-24")</f>
        <v>https://zfin.org/ZDB-GENE-050506-24</v>
      </c>
      <c r="J4350" t="s">
        <v>2875</v>
      </c>
    </row>
    <row r="4351" spans="1:10" x14ac:dyDescent="0.2">
      <c r="A4351">
        <v>3.1618363500048103E-8</v>
      </c>
      <c r="B4351">
        <v>0.27814471435805799</v>
      </c>
      <c r="C4351">
        <v>0.158</v>
      </c>
      <c r="D4351">
        <v>8.1000000000000003E-2</v>
      </c>
      <c r="E4351">
        <v>4.39432015923668E-4</v>
      </c>
      <c r="F4351">
        <v>12</v>
      </c>
      <c r="G4351" t="s">
        <v>7049</v>
      </c>
      <c r="H4351" t="s">
        <v>7050</v>
      </c>
      <c r="I4351" t="str">
        <f>HYPERLINK("https://zfin.org/ZDB-GENE-081107-62")</f>
        <v>https://zfin.org/ZDB-GENE-081107-62</v>
      </c>
      <c r="J4351" t="s">
        <v>7051</v>
      </c>
    </row>
    <row r="4352" spans="1:10" x14ac:dyDescent="0.2">
      <c r="A4352">
        <v>3.5045879178609198E-8</v>
      </c>
      <c r="B4352">
        <v>0.32006009858870199</v>
      </c>
      <c r="C4352">
        <v>0.33700000000000002</v>
      </c>
      <c r="D4352">
        <v>0.23599999999999999</v>
      </c>
      <c r="E4352">
        <v>4.8706762882431E-4</v>
      </c>
      <c r="F4352">
        <v>12</v>
      </c>
      <c r="G4352" t="s">
        <v>6771</v>
      </c>
      <c r="H4352" t="s">
        <v>6772</v>
      </c>
      <c r="I4352" t="str">
        <f>HYPERLINK("https://zfin.org/ZDB-GENE-050522-450")</f>
        <v>https://zfin.org/ZDB-GENE-050522-450</v>
      </c>
      <c r="J4352" t="s">
        <v>6773</v>
      </c>
    </row>
    <row r="4353" spans="1:10" x14ac:dyDescent="0.2">
      <c r="A4353">
        <v>3.6450491256717098E-8</v>
      </c>
      <c r="B4353">
        <v>0.402843253472281</v>
      </c>
      <c r="C4353">
        <v>0.2</v>
      </c>
      <c r="D4353">
        <v>0.114</v>
      </c>
      <c r="E4353">
        <v>5.0658892748585503E-4</v>
      </c>
      <c r="F4353">
        <v>12</v>
      </c>
      <c r="G4353" t="s">
        <v>3195</v>
      </c>
      <c r="H4353" t="s">
        <v>3196</v>
      </c>
      <c r="I4353" t="str">
        <f>HYPERLINK("https://zfin.org/ZDB-GENE-091204-19")</f>
        <v>https://zfin.org/ZDB-GENE-091204-19</v>
      </c>
      <c r="J4353" t="s">
        <v>3197</v>
      </c>
    </row>
    <row r="4354" spans="1:10" x14ac:dyDescent="0.2">
      <c r="A4354">
        <v>3.7897951472201797E-8</v>
      </c>
      <c r="B4354">
        <v>0.29953220784645201</v>
      </c>
      <c r="C4354">
        <v>0.25900000000000001</v>
      </c>
      <c r="D4354">
        <v>0.16300000000000001</v>
      </c>
      <c r="E4354">
        <v>5.2670572956066105E-4</v>
      </c>
      <c r="F4354">
        <v>12</v>
      </c>
      <c r="G4354" t="s">
        <v>781</v>
      </c>
      <c r="H4354" t="s">
        <v>782</v>
      </c>
      <c r="I4354" t="str">
        <f>HYPERLINK("https://zfin.org/ZDB-GENE-030131-3231")</f>
        <v>https://zfin.org/ZDB-GENE-030131-3231</v>
      </c>
      <c r="J4354" t="s">
        <v>783</v>
      </c>
    </row>
    <row r="4355" spans="1:10" x14ac:dyDescent="0.2">
      <c r="A4355">
        <v>5.3239777534679897E-8</v>
      </c>
      <c r="B4355">
        <v>-0.32977556455342899</v>
      </c>
      <c r="C4355">
        <v>4.2000000000000003E-2</v>
      </c>
      <c r="D4355">
        <v>0.129</v>
      </c>
      <c r="E4355">
        <v>7.3992642817698098E-4</v>
      </c>
      <c r="F4355">
        <v>12</v>
      </c>
      <c r="G4355" t="s">
        <v>6592</v>
      </c>
      <c r="H4355" t="s">
        <v>6593</v>
      </c>
      <c r="I4355" t="str">
        <f>HYPERLINK("https://zfin.org/")</f>
        <v>https://zfin.org/</v>
      </c>
    </row>
    <row r="4356" spans="1:10" x14ac:dyDescent="0.2">
      <c r="A4356">
        <v>6.6625287811527495E-8</v>
      </c>
      <c r="B4356">
        <v>0.28199568670142799</v>
      </c>
      <c r="C4356">
        <v>0.53300000000000003</v>
      </c>
      <c r="D4356">
        <v>0.434</v>
      </c>
      <c r="E4356">
        <v>9.2595825000460897E-4</v>
      </c>
      <c r="F4356">
        <v>12</v>
      </c>
      <c r="G4356" t="s">
        <v>2379</v>
      </c>
      <c r="H4356" t="s">
        <v>2380</v>
      </c>
      <c r="I4356" t="str">
        <f>HYPERLINK("https://zfin.org/ZDB-GENE-040930-3")</f>
        <v>https://zfin.org/ZDB-GENE-040930-3</v>
      </c>
      <c r="J4356" t="s">
        <v>2381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markerTable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Diaz, Daniel</cp:lastModifiedBy>
  <dcterms:created xsi:type="dcterms:W3CDTF">2018-11-04T14:58:34Z</dcterms:created>
  <dcterms:modified xsi:type="dcterms:W3CDTF">2018-11-30T21:29:19Z</dcterms:modified>
</cp:coreProperties>
</file>